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defaultThemeVersion="124226"/>
  <mc:AlternateContent xmlns:mc="http://schemas.openxmlformats.org/markup-compatibility/2006">
    <mc:Choice Requires="x15">
      <x15ac:absPath xmlns:x15ac="http://schemas.microsoft.com/office/spreadsheetml/2010/11/ac" url="C:\Users\RFredrickson\AppData\Local\Microsoft\Windows\INetCache\Content.Outlook\DBAORBHK\"/>
    </mc:Choice>
  </mc:AlternateContent>
  <xr:revisionPtr revIDLastSave="0" documentId="13_ncr:1_{9C55BFC4-20D0-433C-A4BD-4556E9FDA8FC}" xr6:coauthVersionLast="46" xr6:coauthVersionMax="47" xr10:uidLastSave="{00000000-0000-0000-0000-000000000000}"/>
  <bookViews>
    <workbookView xWindow="-23148" yWindow="-108" windowWidth="23256" windowHeight="12576" tabRatio="885" activeTab="6" xr2:uid="{00000000-000D-0000-FFFF-FFFF00000000}"/>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20-27" sheetId="36" r:id="rId7"/>
  </sheets>
  <definedNames>
    <definedName name="_xlnm.Print_Area" localSheetId="6">'Budget Detail FY 2020-27'!$B$4:$U$1350</definedName>
    <definedName name="_xlnm.Print_Area" localSheetId="0">'Budget Summary'!$A$1:$K$36,'Budget Summary'!$A$39:$K$74</definedName>
    <definedName name="_xlnm.Print_Area" localSheetId="1">'Budget Summary by Category'!$A$1:$L$37,'Budget Summary by Category'!$A$40:$L$76</definedName>
    <definedName name="_xlnm.Print_Area" localSheetId="2">'Fund Balance History'!$A$1:$K$49</definedName>
    <definedName name="_xlnm.Print_Area" localSheetId="3">'Fund Balance Summary'!$A$1:$N$37</definedName>
    <definedName name="_xlnm.Print_Area" localSheetId="5">'Fund Cover Sheets'!$B$1:$K$864</definedName>
    <definedName name="_xlnm.Print_Area" localSheetId="4">'Gen Fd Cover Sheets'!$A$1:$O$187</definedName>
    <definedName name="_xlnm.Print_Titles" localSheetId="6">'Budget Detail FY 2020-27'!$3:$6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04" i="36" l="1"/>
  <c r="N1101" i="36"/>
  <c r="M1101" i="36"/>
  <c r="U1350" i="36"/>
  <c r="T1350" i="36"/>
  <c r="S1350" i="36"/>
  <c r="U1349" i="36"/>
  <c r="T1349" i="36"/>
  <c r="S1349" i="36"/>
  <c r="R1350" i="36"/>
  <c r="R1349" i="36"/>
  <c r="Q1350" i="36"/>
  <c r="Q1349" i="36"/>
  <c r="P1350" i="36"/>
  <c r="O1350" i="36"/>
  <c r="P1349" i="36"/>
  <c r="O1349" i="36"/>
  <c r="P1348" i="36"/>
  <c r="O1348" i="36"/>
  <c r="P1347" i="36"/>
  <c r="O1347" i="36"/>
  <c r="N1350" i="36"/>
  <c r="N1349" i="36"/>
  <c r="N1348" i="36"/>
  <c r="N1347" i="36"/>
  <c r="M1350" i="36"/>
  <c r="M1349" i="36"/>
  <c r="M1348" i="36"/>
  <c r="M1347" i="36"/>
  <c r="N1106" i="36" l="1"/>
  <c r="M1346" i="36"/>
  <c r="U879" i="36"/>
  <c r="T879" i="36"/>
  <c r="S879" i="36"/>
  <c r="R879" i="36"/>
  <c r="Q879" i="36"/>
  <c r="U1336" i="36" l="1"/>
  <c r="T1336" i="36"/>
  <c r="S1336" i="36"/>
  <c r="R1336" i="36"/>
  <c r="N1336" i="36"/>
  <c r="M1336" i="36"/>
  <c r="U1335" i="36"/>
  <c r="T1335" i="36"/>
  <c r="S1335" i="36"/>
  <c r="R1335" i="36"/>
  <c r="N1335" i="36"/>
  <c r="M1335" i="36"/>
  <c r="U1344" i="36"/>
  <c r="U1343" i="36" s="1"/>
  <c r="T1344" i="36"/>
  <c r="T1343" i="36" s="1"/>
  <c r="S1344" i="36"/>
  <c r="S1343" i="36" s="1"/>
  <c r="Q1344" i="36"/>
  <c r="P1344" i="36"/>
  <c r="P1343" i="36" s="1"/>
  <c r="O1344" i="36"/>
  <c r="O1343" i="36" s="1"/>
  <c r="N1344" i="36"/>
  <c r="N1343" i="36" s="1"/>
  <c r="M1344" i="36"/>
  <c r="M1343" i="36" s="1"/>
  <c r="U1340" i="36"/>
  <c r="T1340" i="36"/>
  <c r="S1340" i="36"/>
  <c r="R1340" i="36"/>
  <c r="U1339" i="36"/>
  <c r="T1339" i="36"/>
  <c r="S1339" i="36"/>
  <c r="R1339" i="36"/>
  <c r="O1341" i="36"/>
  <c r="O1340" i="36"/>
  <c r="P1339" i="36"/>
  <c r="O1339" i="36"/>
  <c r="N1340" i="36"/>
  <c r="N1339" i="36"/>
  <c r="M1340" i="36"/>
  <c r="M1339" i="36"/>
  <c r="U1332" i="36"/>
  <c r="T1332" i="36"/>
  <c r="S1332" i="36"/>
  <c r="R1332" i="36"/>
  <c r="Q1332" i="36"/>
  <c r="P1332" i="36"/>
  <c r="O1332" i="36"/>
  <c r="P1331" i="36"/>
  <c r="O1331" i="36"/>
  <c r="N1332" i="36"/>
  <c r="N1331" i="36"/>
  <c r="M1332" i="36"/>
  <c r="Q369" i="36"/>
  <c r="U1334" i="36" l="1"/>
  <c r="R1334" i="36"/>
  <c r="O1338" i="36"/>
  <c r="Q1343" i="36"/>
  <c r="T1334" i="36"/>
  <c r="O1330" i="36"/>
  <c r="N1334" i="36"/>
  <c r="N1330" i="36"/>
  <c r="P1330" i="36"/>
  <c r="S1334" i="36"/>
  <c r="M1334" i="36"/>
  <c r="P547" i="36"/>
  <c r="Q547" i="36"/>
  <c r="Q1336" i="36" s="1"/>
  <c r="O1323" i="36"/>
  <c r="U1327" i="36"/>
  <c r="U1326" i="36" s="1"/>
  <c r="T1327" i="36"/>
  <c r="T1326" i="36" s="1"/>
  <c r="S1327" i="36"/>
  <c r="S1326" i="36" s="1"/>
  <c r="R1327" i="36"/>
  <c r="Q1327" i="36"/>
  <c r="Q1326" i="36" s="1"/>
  <c r="P1327" i="36"/>
  <c r="P1326" i="36" s="1"/>
  <c r="O1327" i="36"/>
  <c r="O1326" i="36" s="1"/>
  <c r="N1327" i="36"/>
  <c r="N1326" i="36" s="1"/>
  <c r="M1327" i="36"/>
  <c r="M1326" i="36" s="1"/>
  <c r="O1322" i="36"/>
  <c r="N1322" i="36"/>
  <c r="M1322" i="36"/>
  <c r="U1323" i="36"/>
  <c r="T1323" i="36"/>
  <c r="S1323" i="36"/>
  <c r="Q1323" i="36"/>
  <c r="N1323" i="36"/>
  <c r="M1323" i="36"/>
  <c r="U1319" i="36"/>
  <c r="T1319" i="36"/>
  <c r="S1319" i="36"/>
  <c r="R1319" i="36"/>
  <c r="P1319" i="36"/>
  <c r="O1319" i="36"/>
  <c r="N1319" i="36"/>
  <c r="M1319" i="36"/>
  <c r="U1318" i="36"/>
  <c r="T1318" i="36"/>
  <c r="S1318" i="36"/>
  <c r="R1318" i="36"/>
  <c r="Q1318" i="36"/>
  <c r="P1318" i="36"/>
  <c r="O1318" i="36"/>
  <c r="N1318" i="36"/>
  <c r="M1318" i="36"/>
  <c r="U1317" i="36"/>
  <c r="T1317" i="36"/>
  <c r="S1317" i="36"/>
  <c r="R1317" i="36"/>
  <c r="Q1317" i="36"/>
  <c r="P1317" i="36"/>
  <c r="O1317" i="36"/>
  <c r="N1317" i="36"/>
  <c r="M1317" i="36"/>
  <c r="U1314" i="36"/>
  <c r="U1313" i="36" s="1"/>
  <c r="T1314" i="36"/>
  <c r="S1314" i="36"/>
  <c r="S1313" i="36" s="1"/>
  <c r="R1314" i="36"/>
  <c r="R1313" i="36" s="1"/>
  <c r="P1314" i="36"/>
  <c r="P1313" i="36" s="1"/>
  <c r="O1314" i="36"/>
  <c r="O1313" i="36" s="1"/>
  <c r="N1314" i="36"/>
  <c r="N1313" i="36" s="1"/>
  <c r="M1314" i="36"/>
  <c r="U1276" i="36"/>
  <c r="U1275" i="36" s="1"/>
  <c r="T1276" i="36"/>
  <c r="T1275" i="36" s="1"/>
  <c r="S1276" i="36"/>
  <c r="S1275" i="36" s="1"/>
  <c r="R1276" i="36"/>
  <c r="R1275" i="36" s="1"/>
  <c r="Q1276" i="36"/>
  <c r="Q1275" i="36" s="1"/>
  <c r="P1276" i="36"/>
  <c r="P1275" i="36" s="1"/>
  <c r="O1276" i="36"/>
  <c r="O1275" i="36" s="1"/>
  <c r="N1276" i="36"/>
  <c r="N1275" i="36" s="1"/>
  <c r="M1276" i="36"/>
  <c r="M1275" i="36" s="1"/>
  <c r="U1273" i="36"/>
  <c r="T1273" i="36"/>
  <c r="S1273" i="36"/>
  <c r="R1273" i="36"/>
  <c r="Q1273" i="36"/>
  <c r="P1273" i="36"/>
  <c r="O1273" i="36"/>
  <c r="N1273" i="36"/>
  <c r="M1273" i="36"/>
  <c r="Q1272" i="36"/>
  <c r="P1272" i="36"/>
  <c r="O1272" i="36"/>
  <c r="N1272" i="36"/>
  <c r="M1272" i="36"/>
  <c r="U1311" i="36"/>
  <c r="T1311" i="36"/>
  <c r="U1310" i="36"/>
  <c r="T1310" i="36"/>
  <c r="U1309" i="36"/>
  <c r="T1309" i="36"/>
  <c r="U1308" i="36"/>
  <c r="T1308" i="36"/>
  <c r="S1310" i="36"/>
  <c r="R1310" i="36"/>
  <c r="P1311" i="36"/>
  <c r="O1311" i="36"/>
  <c r="P1310" i="36"/>
  <c r="O1310" i="36"/>
  <c r="P1309" i="36"/>
  <c r="O1309" i="36"/>
  <c r="P1308" i="36"/>
  <c r="O1308" i="36"/>
  <c r="N1311" i="36"/>
  <c r="N1310" i="36"/>
  <c r="N1309" i="36"/>
  <c r="N1308" i="36"/>
  <c r="M1311" i="36"/>
  <c r="M1310" i="36"/>
  <c r="M1309" i="36"/>
  <c r="M1308" i="36"/>
  <c r="U1305" i="36"/>
  <c r="T1305" i="36"/>
  <c r="S1305" i="36"/>
  <c r="R1305" i="36"/>
  <c r="P1305" i="36"/>
  <c r="O1305" i="36"/>
  <c r="N1305" i="36"/>
  <c r="U1304" i="36"/>
  <c r="T1304" i="36"/>
  <c r="S1304" i="36"/>
  <c r="R1304" i="36"/>
  <c r="Q1304" i="36"/>
  <c r="P1304" i="36"/>
  <c r="O1304" i="36"/>
  <c r="N1304" i="36"/>
  <c r="M1305" i="36"/>
  <c r="M1304" i="36"/>
  <c r="M1286" i="36"/>
  <c r="M1285" i="36" s="1"/>
  <c r="R1282" i="36"/>
  <c r="U1281" i="36"/>
  <c r="T1281" i="36"/>
  <c r="S1281" i="36"/>
  <c r="R1281" i="36"/>
  <c r="P1281" i="36"/>
  <c r="O1281" i="36"/>
  <c r="N1281" i="36"/>
  <c r="U1280" i="36"/>
  <c r="T1280" i="36"/>
  <c r="S1280" i="36"/>
  <c r="R1280" i="36"/>
  <c r="Q1280" i="36"/>
  <c r="P1280" i="36"/>
  <c r="O1280" i="36"/>
  <c r="N1280" i="36"/>
  <c r="M1281" i="36"/>
  <c r="M1280" i="36"/>
  <c r="M1279" i="36"/>
  <c r="G6" i="45"/>
  <c r="G44" i="42"/>
  <c r="M1321" i="36" l="1"/>
  <c r="N1321" i="36"/>
  <c r="O1307" i="36"/>
  <c r="M1316" i="36"/>
  <c r="O1321" i="36"/>
  <c r="U1303" i="36"/>
  <c r="S1316" i="36"/>
  <c r="O1316" i="36"/>
  <c r="R1316" i="36"/>
  <c r="P1316" i="36"/>
  <c r="N1316" i="36"/>
  <c r="U1316" i="36"/>
  <c r="T1316" i="36"/>
  <c r="Q1271" i="36"/>
  <c r="P1271" i="36"/>
  <c r="N1271" i="36"/>
  <c r="M1271" i="36"/>
  <c r="O1271" i="36"/>
  <c r="M1313" i="36"/>
  <c r="T1313" i="36"/>
  <c r="P1307" i="36"/>
  <c r="M1307" i="36"/>
  <c r="S1303" i="36"/>
  <c r="N1307" i="36"/>
  <c r="U1307" i="36"/>
  <c r="T1307" i="36"/>
  <c r="N1303" i="36"/>
  <c r="R1303" i="36"/>
  <c r="O1303" i="36"/>
  <c r="P1303" i="36"/>
  <c r="M1303" i="36"/>
  <c r="T1303" i="36"/>
  <c r="O1218" i="36" l="1"/>
  <c r="N1218" i="36"/>
  <c r="M1218" i="36"/>
  <c r="O1217" i="36"/>
  <c r="N1217" i="36"/>
  <c r="M1217" i="36"/>
  <c r="O1177" i="36" l="1"/>
  <c r="Q1177" i="36"/>
  <c r="N1177" i="36"/>
  <c r="M1177" i="36"/>
  <c r="M1173" i="36"/>
  <c r="R1078" i="36" l="1"/>
  <c r="S1078" i="36" s="1"/>
  <c r="T1078" i="36" s="1"/>
  <c r="U1078" i="36" s="1"/>
  <c r="S1309" i="36" l="1"/>
  <c r="R1309" i="36"/>
  <c r="Q1309" i="36"/>
  <c r="S1308" i="36" l="1"/>
  <c r="R1308" i="36"/>
  <c r="S1311" i="36"/>
  <c r="R1311" i="36"/>
  <c r="Q1314" i="36"/>
  <c r="Q1340" i="36"/>
  <c r="S1307" i="36" l="1"/>
  <c r="R1307" i="36"/>
  <c r="Q1313" i="36"/>
  <c r="Q1311" i="36"/>
  <c r="Q1308" i="36"/>
  <c r="K448" i="39"/>
  <c r="J448" i="39"/>
  <c r="I448" i="39"/>
  <c r="H448" i="39"/>
  <c r="G448" i="39"/>
  <c r="I70" i="43" s="1"/>
  <c r="F448" i="39"/>
  <c r="E448" i="39"/>
  <c r="D448" i="39"/>
  <c r="C448" i="39"/>
  <c r="I398" i="39"/>
  <c r="J398" i="39"/>
  <c r="K398" i="39"/>
  <c r="H398" i="39"/>
  <c r="G398" i="39"/>
  <c r="F398" i="39"/>
  <c r="E398" i="39"/>
  <c r="D398" i="39"/>
  <c r="C398" i="39"/>
  <c r="E790" i="39" l="1"/>
  <c r="F790" i="39"/>
  <c r="H790" i="39"/>
  <c r="I790" i="39"/>
  <c r="K790" i="39"/>
  <c r="J790" i="39"/>
  <c r="C790" i="39"/>
  <c r="D790" i="39"/>
  <c r="G790" i="39"/>
  <c r="I69" i="43"/>
  <c r="I76" i="43" s="1"/>
  <c r="P879" i="36"/>
  <c r="U561" i="36"/>
  <c r="U1341" i="36" s="1"/>
  <c r="U1338" i="36" s="1"/>
  <c r="T561" i="36"/>
  <c r="T1341" i="36" s="1"/>
  <c r="T1338" i="36" s="1"/>
  <c r="S561" i="36"/>
  <c r="S1341" i="36" s="1"/>
  <c r="S1338" i="36" s="1"/>
  <c r="Q1341" i="36"/>
  <c r="R1341" i="36"/>
  <c r="R1338" i="36" s="1"/>
  <c r="P1341" i="36"/>
  <c r="P1340" i="36"/>
  <c r="P1338" i="36" l="1"/>
  <c r="Q1305" i="36"/>
  <c r="Q57" i="36"/>
  <c r="R1328" i="36" l="1"/>
  <c r="Q1303" i="36"/>
  <c r="R1326" i="36" l="1"/>
  <c r="U1272" i="36" l="1"/>
  <c r="U1271" i="36" s="1"/>
  <c r="T1272" i="36"/>
  <c r="T1271" i="36" s="1"/>
  <c r="S1272" i="36"/>
  <c r="S1271" i="36" s="1"/>
  <c r="R1272" i="36"/>
  <c r="R1271" i="36" l="1"/>
  <c r="O633" i="36" l="1"/>
  <c r="N633" i="36"/>
  <c r="M633" i="36"/>
  <c r="U1348" i="36" l="1"/>
  <c r="T1348" i="36"/>
  <c r="S1348" i="36"/>
  <c r="R1348" i="36"/>
  <c r="Q1348" i="36"/>
  <c r="U1347" i="36"/>
  <c r="T1347" i="36"/>
  <c r="S1347" i="36"/>
  <c r="R1347" i="36"/>
  <c r="Q1347" i="36"/>
  <c r="U536" i="36" l="1"/>
  <c r="U1331" i="36" s="1"/>
  <c r="U1330" i="36" s="1"/>
  <c r="S536" i="36"/>
  <c r="S1331" i="36" s="1"/>
  <c r="S1330" i="36" s="1"/>
  <c r="R536" i="36"/>
  <c r="R1331" i="36" s="1"/>
  <c r="R1330" i="36" s="1"/>
  <c r="Q1310" i="36" l="1"/>
  <c r="Q1307" i="36" l="1"/>
  <c r="O1148" i="36" l="1"/>
  <c r="N1148" i="36"/>
  <c r="M1148" i="36"/>
  <c r="Q629" i="36" l="1"/>
  <c r="P598" i="36" l="1"/>
  <c r="I494" i="39" l="1"/>
  <c r="J494" i="39"/>
  <c r="K494" i="39"/>
  <c r="H494" i="39"/>
  <c r="G494" i="39"/>
  <c r="F494" i="39"/>
  <c r="E494" i="39"/>
  <c r="D494" i="39"/>
  <c r="C494" i="39"/>
  <c r="D230" i="39"/>
  <c r="C230" i="39"/>
  <c r="G228" i="39"/>
  <c r="F228" i="39"/>
  <c r="E228" i="39"/>
  <c r="D228" i="39"/>
  <c r="C228" i="39"/>
  <c r="U527" i="36" l="1"/>
  <c r="T527" i="36"/>
  <c r="S527" i="36"/>
  <c r="I278" i="39" s="1"/>
  <c r="R527" i="36"/>
  <c r="Q527" i="36"/>
  <c r="P527" i="36"/>
  <c r="O527" i="36"/>
  <c r="N527" i="36"/>
  <c r="M527" i="36"/>
  <c r="U856" i="36"/>
  <c r="T856" i="36"/>
  <c r="S856" i="36"/>
  <c r="R856" i="36"/>
  <c r="Q856" i="36"/>
  <c r="P856" i="36"/>
  <c r="O856" i="36"/>
  <c r="N856" i="36"/>
  <c r="N857" i="36" s="1"/>
  <c r="M856" i="36"/>
  <c r="U852" i="36"/>
  <c r="T852" i="36"/>
  <c r="S852" i="36"/>
  <c r="R852" i="36"/>
  <c r="Q852" i="36"/>
  <c r="P852" i="36"/>
  <c r="O852" i="36"/>
  <c r="N852" i="36"/>
  <c r="M852" i="36"/>
  <c r="U849" i="36"/>
  <c r="T849" i="36"/>
  <c r="S849" i="36"/>
  <c r="R849" i="36"/>
  <c r="Q849" i="36"/>
  <c r="P849" i="36"/>
  <c r="O849" i="36"/>
  <c r="N849" i="36"/>
  <c r="M849" i="36"/>
  <c r="S528" i="36" l="1"/>
  <c r="N528" i="36"/>
  <c r="D278" i="39"/>
  <c r="E278" i="39"/>
  <c r="O528" i="36"/>
  <c r="P528" i="36"/>
  <c r="F278" i="39"/>
  <c r="R528" i="36"/>
  <c r="H278" i="39"/>
  <c r="O854" i="36"/>
  <c r="T528" i="36"/>
  <c r="J278" i="39"/>
  <c r="P854" i="36"/>
  <c r="U528" i="36"/>
  <c r="K278" i="39"/>
  <c r="Q854" i="36"/>
  <c r="R854" i="36"/>
  <c r="S854" i="36"/>
  <c r="T854" i="36"/>
  <c r="N854" i="36"/>
  <c r="U854" i="36"/>
  <c r="M854" i="36"/>
  <c r="O857" i="36"/>
  <c r="P1177" i="36" l="1"/>
  <c r="T533" i="36" l="1"/>
  <c r="S533" i="36"/>
  <c r="R533" i="36"/>
  <c r="Q282" i="36" l="1"/>
  <c r="P282" i="36"/>
  <c r="Q563" i="36" l="1"/>
  <c r="Q1339" i="36" s="1"/>
  <c r="E447" i="39"/>
  <c r="D447" i="39"/>
  <c r="C447" i="39"/>
  <c r="I436" i="39"/>
  <c r="J436" i="39"/>
  <c r="K436" i="39"/>
  <c r="H436" i="39"/>
  <c r="F436" i="39"/>
  <c r="E436" i="39"/>
  <c r="D436" i="39"/>
  <c r="C436" i="39"/>
  <c r="I433" i="39"/>
  <c r="J433" i="39"/>
  <c r="K433" i="39"/>
  <c r="H433" i="39"/>
  <c r="G433" i="39"/>
  <c r="F433" i="39"/>
  <c r="E433" i="39"/>
  <c r="D433" i="39"/>
  <c r="C433" i="39"/>
  <c r="I382" i="39"/>
  <c r="J382" i="39"/>
  <c r="K382" i="39"/>
  <c r="H382" i="39"/>
  <c r="G382" i="39"/>
  <c r="F382" i="39"/>
  <c r="E382" i="39"/>
  <c r="D382" i="39"/>
  <c r="C382" i="39"/>
  <c r="I282" i="39"/>
  <c r="J282" i="39"/>
  <c r="K282" i="39"/>
  <c r="H282" i="39"/>
  <c r="G282" i="39"/>
  <c r="E282" i="39"/>
  <c r="D282" i="39"/>
  <c r="C282" i="39"/>
  <c r="E272" i="39"/>
  <c r="D272" i="39"/>
  <c r="C272" i="39"/>
  <c r="I231" i="39"/>
  <c r="J231" i="39"/>
  <c r="K231" i="39"/>
  <c r="H231" i="39"/>
  <c r="G231" i="39"/>
  <c r="F231" i="39"/>
  <c r="E231" i="39"/>
  <c r="D231" i="39"/>
  <c r="C231" i="39"/>
  <c r="E172" i="39"/>
  <c r="D172" i="39"/>
  <c r="Q1338" i="36" l="1"/>
  <c r="O537" i="36"/>
  <c r="N537" i="36"/>
  <c r="K447" i="39" l="1"/>
  <c r="J447" i="39"/>
  <c r="I447" i="39"/>
  <c r="H447" i="39"/>
  <c r="N561" i="36" l="1"/>
  <c r="N1341" i="36" s="1"/>
  <c r="N1338" i="36" s="1"/>
  <c r="M561" i="36"/>
  <c r="Q525" i="36"/>
  <c r="P534" i="36"/>
  <c r="M1341" i="36" l="1"/>
  <c r="M1338" i="36" s="1"/>
  <c r="Q528" i="36"/>
  <c r="G278" i="39"/>
  <c r="F282" i="39"/>
  <c r="P537" i="36"/>
  <c r="Q1335" i="36" l="1"/>
  <c r="P548" i="36"/>
  <c r="P1336" i="36"/>
  <c r="P1335" i="36" l="1"/>
  <c r="Q1334" i="36"/>
  <c r="G436" i="39"/>
  <c r="Q1319" i="36"/>
  <c r="P1334" i="36" l="1"/>
  <c r="Q1316" i="36"/>
  <c r="O1336" i="36" l="1"/>
  <c r="O1335" i="36"/>
  <c r="Q710" i="36"/>
  <c r="O1334" i="36" l="1"/>
  <c r="R710" i="36"/>
  <c r="H230" i="39" l="1"/>
  <c r="Q973" i="36" l="1"/>
  <c r="U537" i="36" l="1"/>
  <c r="T536" i="36"/>
  <c r="S537" i="36"/>
  <c r="R537" i="36"/>
  <c r="Q536" i="36"/>
  <c r="Q537" i="36" l="1"/>
  <c r="Q1331" i="36"/>
  <c r="T537" i="36"/>
  <c r="T1331" i="36"/>
  <c r="T1330" i="36" s="1"/>
  <c r="Q1330" i="36" l="1"/>
  <c r="P814" i="36"/>
  <c r="Q740" i="36" l="1"/>
  <c r="P1323" i="36"/>
  <c r="R740" i="36"/>
  <c r="T740" i="36"/>
  <c r="S740" i="36"/>
  <c r="U1282" i="36" l="1"/>
  <c r="T1282" i="36"/>
  <c r="S1282" i="36"/>
  <c r="R1344" i="36" l="1"/>
  <c r="Q1281" i="36"/>
  <c r="Q1282" i="36"/>
  <c r="R1343" i="36" l="1"/>
  <c r="I731" i="39" l="1"/>
  <c r="J731" i="39"/>
  <c r="K731" i="39"/>
  <c r="H731" i="39"/>
  <c r="G731" i="39"/>
  <c r="F731" i="39"/>
  <c r="E731" i="39"/>
  <c r="D731" i="39"/>
  <c r="C731" i="39"/>
  <c r="K526" i="39"/>
  <c r="J526" i="39"/>
  <c r="I526" i="39"/>
  <c r="H526" i="39"/>
  <c r="G526" i="39"/>
  <c r="D14" i="43" s="1"/>
  <c r="E526" i="39"/>
  <c r="D526" i="39"/>
  <c r="C526" i="39"/>
  <c r="H439" i="39"/>
  <c r="F439" i="39"/>
  <c r="E439" i="39"/>
  <c r="D439" i="39"/>
  <c r="C439" i="39"/>
  <c r="E452" i="39"/>
  <c r="D452" i="39"/>
  <c r="C452" i="39"/>
  <c r="F233" i="39"/>
  <c r="E233" i="39"/>
  <c r="D233" i="39"/>
  <c r="C233" i="39"/>
  <c r="M476" i="36"/>
  <c r="F182" i="39"/>
  <c r="E182" i="39"/>
  <c r="D182" i="39"/>
  <c r="E180" i="39"/>
  <c r="D180" i="39"/>
  <c r="I173" i="39"/>
  <c r="J173" i="39"/>
  <c r="K173" i="39"/>
  <c r="H173" i="39"/>
  <c r="G173" i="39"/>
  <c r="F173" i="39"/>
  <c r="E173" i="39"/>
  <c r="D173" i="39"/>
  <c r="C173" i="39"/>
  <c r="U566" i="36" l="1"/>
  <c r="U565" i="36"/>
  <c r="T566" i="36"/>
  <c r="T565" i="36"/>
  <c r="S566" i="36"/>
  <c r="S565" i="36"/>
  <c r="R566" i="36"/>
  <c r="R565" i="36"/>
  <c r="Q566" i="36"/>
  <c r="Q565" i="36"/>
  <c r="P566" i="36"/>
  <c r="P565" i="36"/>
  <c r="U551" i="36"/>
  <c r="U550" i="36"/>
  <c r="T551" i="36"/>
  <c r="T550" i="36"/>
  <c r="S551" i="36"/>
  <c r="S550" i="36"/>
  <c r="R551" i="36"/>
  <c r="R550" i="36"/>
  <c r="Q551" i="36"/>
  <c r="Q550" i="36"/>
  <c r="P550" i="36"/>
  <c r="P551" i="36"/>
  <c r="O815" i="36" l="1"/>
  <c r="N815" i="36"/>
  <c r="M815" i="36"/>
  <c r="O742" i="36"/>
  <c r="N742" i="36"/>
  <c r="M742" i="36"/>
  <c r="N476" i="36"/>
  <c r="J439" i="39"/>
  <c r="I439" i="39" l="1"/>
  <c r="K182" i="39" l="1"/>
  <c r="G182" i="39"/>
  <c r="H182" i="39"/>
  <c r="I182" i="39"/>
  <c r="J182" i="39"/>
  <c r="U300" i="36" l="1"/>
  <c r="R300" i="36"/>
  <c r="S300" i="36" s="1"/>
  <c r="T300" i="36" s="1"/>
  <c r="U282" i="36"/>
  <c r="R282" i="36"/>
  <c r="S282" i="36" s="1"/>
  <c r="T282" i="36" s="1"/>
  <c r="O1228" i="36" l="1"/>
  <c r="N1228" i="36"/>
  <c r="K233" i="39" l="1"/>
  <c r="J233" i="39"/>
  <c r="I233" i="39"/>
  <c r="H233" i="39"/>
  <c r="G233" i="39"/>
  <c r="G447" i="39" l="1"/>
  <c r="U740" i="36"/>
  <c r="P710" i="36"/>
  <c r="S479" i="36"/>
  <c r="S1322" i="36" s="1"/>
  <c r="S1321" i="36" s="1"/>
  <c r="T479" i="36"/>
  <c r="T1322" i="36" s="1"/>
  <c r="T1321" i="36" s="1"/>
  <c r="U479" i="36"/>
  <c r="U1322" i="36" s="1"/>
  <c r="U1321" i="36" s="1"/>
  <c r="R479" i="36"/>
  <c r="R1322" i="36" s="1"/>
  <c r="R1321" i="36" s="1"/>
  <c r="P479" i="36"/>
  <c r="P1322" i="36" s="1"/>
  <c r="P1321" i="36" l="1"/>
  <c r="U742" i="36"/>
  <c r="K439" i="39"/>
  <c r="P1086" i="36" l="1"/>
  <c r="U1065" i="36"/>
  <c r="U1218" i="36" s="1"/>
  <c r="U1064" i="36"/>
  <c r="U1217" i="36" s="1"/>
  <c r="T1065" i="36"/>
  <c r="T1218" i="36" s="1"/>
  <c r="S1065" i="36"/>
  <c r="S1218" i="36" s="1"/>
  <c r="R1065" i="36"/>
  <c r="R1218" i="36" s="1"/>
  <c r="T1064" i="36"/>
  <c r="T1217" i="36" s="1"/>
  <c r="S1064" i="36"/>
  <c r="S1217" i="36" s="1"/>
  <c r="R1064" i="36"/>
  <c r="R1217" i="36" s="1"/>
  <c r="Q1065" i="36"/>
  <c r="Q1218" i="36" s="1"/>
  <c r="Q1064" i="36"/>
  <c r="Q1217" i="36" s="1"/>
  <c r="P1065" i="36"/>
  <c r="P1064" i="36"/>
  <c r="F526" i="39"/>
  <c r="F447" i="39"/>
  <c r="P1228" i="36"/>
  <c r="P742" i="36"/>
  <c r="P819" i="36" s="1"/>
  <c r="P546" i="36"/>
  <c r="P540" i="36"/>
  <c r="E230" i="39"/>
  <c r="S1216" i="36" l="1"/>
  <c r="P444" i="36"/>
  <c r="P1217" i="36"/>
  <c r="P1218" i="36"/>
  <c r="F230" i="39"/>
  <c r="P857" i="36"/>
  <c r="O476" i="36"/>
  <c r="F272" i="39"/>
  <c r="P476" i="36"/>
  <c r="P812" i="36" l="1"/>
  <c r="F180" i="39" l="1"/>
  <c r="P1101" i="36" l="1"/>
  <c r="O1101" i="36"/>
  <c r="O355" i="36"/>
  <c r="N355" i="36"/>
  <c r="N89" i="36"/>
  <c r="M1084" i="36" l="1"/>
  <c r="M569" i="36"/>
  <c r="M554" i="36"/>
  <c r="M536" i="36"/>
  <c r="M1331" i="36" s="1"/>
  <c r="M1330" i="36" s="1"/>
  <c r="M524" i="36"/>
  <c r="C180" i="39"/>
  <c r="C172" i="39"/>
  <c r="G822" i="39"/>
  <c r="G765" i="39"/>
  <c r="G726" i="39"/>
  <c r="G690" i="39"/>
  <c r="G655" i="39"/>
  <c r="G615" i="39"/>
  <c r="G566" i="39"/>
  <c r="G522" i="39"/>
  <c r="G481" i="39"/>
  <c r="G429" i="39"/>
  <c r="G378" i="39"/>
  <c r="G341" i="39"/>
  <c r="G265" i="39"/>
  <c r="G214" i="39"/>
  <c r="G164" i="39"/>
  <c r="G127" i="39"/>
  <c r="G93" i="39"/>
  <c r="G58" i="39"/>
  <c r="G7" i="39"/>
  <c r="J159" i="40"/>
  <c r="J128" i="40"/>
  <c r="J100" i="40"/>
  <c r="J67" i="40"/>
  <c r="J39" i="40"/>
  <c r="G6" i="42"/>
  <c r="Q5" i="36"/>
  <c r="M1228" i="36" l="1"/>
  <c r="M528" i="36"/>
  <c r="C278" i="39"/>
  <c r="M857" i="36"/>
  <c r="M537" i="36"/>
  <c r="C182" i="39"/>
  <c r="M355" i="36"/>
  <c r="D31" i="43" l="1"/>
  <c r="D30" i="43" l="1"/>
  <c r="U877" i="36" l="1"/>
  <c r="T877" i="36"/>
  <c r="S877" i="36"/>
  <c r="R877" i="36"/>
  <c r="Q877" i="36"/>
  <c r="P877" i="36"/>
  <c r="O877" i="36"/>
  <c r="M877" i="36"/>
  <c r="O629" i="36"/>
  <c r="M629" i="36"/>
  <c r="T742" i="36"/>
  <c r="S742" i="36"/>
  <c r="R742" i="36"/>
  <c r="P738" i="36" l="1"/>
  <c r="O738" i="36"/>
  <c r="N738" i="36"/>
  <c r="Q742" i="36" l="1"/>
  <c r="G439" i="39"/>
  <c r="I627" i="39" l="1"/>
  <c r="I843" i="39" s="1"/>
  <c r="J627" i="39"/>
  <c r="J843" i="39" s="1"/>
  <c r="K627" i="39"/>
  <c r="K843" i="39" s="1"/>
  <c r="H627" i="39"/>
  <c r="H843" i="39" s="1"/>
  <c r="G627" i="39"/>
  <c r="G74" i="43" s="1"/>
  <c r="F627" i="39"/>
  <c r="F843" i="39" s="1"/>
  <c r="E627" i="39"/>
  <c r="E843" i="39" s="1"/>
  <c r="D627" i="39"/>
  <c r="D843" i="39" s="1"/>
  <c r="C627" i="39"/>
  <c r="C843" i="39" s="1"/>
  <c r="M1047" i="36"/>
  <c r="G843" i="39" l="1"/>
  <c r="E186" i="39" l="1"/>
  <c r="C186" i="39"/>
  <c r="J232" i="39"/>
  <c r="K232" i="39"/>
  <c r="H232" i="39"/>
  <c r="F232" i="39"/>
  <c r="E232" i="39"/>
  <c r="D232" i="39"/>
  <c r="C232" i="39"/>
  <c r="R711" i="36"/>
  <c r="S710" i="36"/>
  <c r="S711" i="36" s="1"/>
  <c r="Q711" i="36"/>
  <c r="P711" i="36"/>
  <c r="O711" i="36"/>
  <c r="N711" i="36"/>
  <c r="M711" i="36"/>
  <c r="R812" i="36"/>
  <c r="S812" i="36"/>
  <c r="Q812" i="36"/>
  <c r="O444" i="36"/>
  <c r="E224" i="39" s="1"/>
  <c r="N444" i="36"/>
  <c r="D224" i="39" s="1"/>
  <c r="M444" i="36"/>
  <c r="C224" i="39" s="1"/>
  <c r="U710" i="36"/>
  <c r="U711" i="36" s="1"/>
  <c r="G232" i="39"/>
  <c r="C402" i="39" l="1"/>
  <c r="O716" i="36"/>
  <c r="D402" i="39"/>
  <c r="S716" i="36"/>
  <c r="H402" i="39"/>
  <c r="U716" i="36"/>
  <c r="G402" i="39"/>
  <c r="T812" i="36"/>
  <c r="T710" i="36"/>
  <c r="T711" i="36" s="1"/>
  <c r="P716" i="36"/>
  <c r="F224" i="39"/>
  <c r="R716" i="36"/>
  <c r="Q716" i="36"/>
  <c r="M716" i="36"/>
  <c r="N716" i="36"/>
  <c r="F402" i="39"/>
  <c r="E402" i="39"/>
  <c r="K402" i="39"/>
  <c r="I402" i="39"/>
  <c r="U812" i="36"/>
  <c r="I232" i="39"/>
  <c r="Q444" i="36"/>
  <c r="G224" i="39" s="1"/>
  <c r="T716" i="36" l="1"/>
  <c r="J402" i="39"/>
  <c r="O416" i="36"/>
  <c r="M416" i="36"/>
  <c r="Q487" i="36" l="1"/>
  <c r="Q1101" i="36" l="1"/>
  <c r="E32" i="45"/>
  <c r="D32" i="45"/>
  <c r="C32" i="45"/>
  <c r="R444" i="36"/>
  <c r="H224" i="39" s="1"/>
  <c r="E219" i="39"/>
  <c r="D219" i="39"/>
  <c r="C219" i="39"/>
  <c r="G229" i="39"/>
  <c r="D66" i="43" s="1"/>
  <c r="F229" i="39"/>
  <c r="E229" i="39"/>
  <c r="D229" i="39"/>
  <c r="C229" i="39"/>
  <c r="C66" i="43"/>
  <c r="U1297" i="36"/>
  <c r="T1297" i="36"/>
  <c r="S1297" i="36"/>
  <c r="O1297" i="36"/>
  <c r="N1297" i="36"/>
  <c r="M1297" i="36"/>
  <c r="U1301" i="36"/>
  <c r="T1301" i="36"/>
  <c r="S1301" i="36"/>
  <c r="Q1301" i="36"/>
  <c r="P1301" i="36"/>
  <c r="O1301" i="36"/>
  <c r="N1301" i="36"/>
  <c r="U1300" i="36"/>
  <c r="T1300" i="36"/>
  <c r="S1300" i="36"/>
  <c r="Q1300" i="36"/>
  <c r="P1300" i="36"/>
  <c r="O1300" i="36"/>
  <c r="N1300" i="36"/>
  <c r="M1301" i="36"/>
  <c r="M1300" i="36"/>
  <c r="P1282" i="36"/>
  <c r="O1282" i="36"/>
  <c r="M1282" i="36"/>
  <c r="M1278" i="36" l="1"/>
  <c r="R1101" i="36"/>
  <c r="U1299" i="36"/>
  <c r="N1299" i="36"/>
  <c r="T1299" i="36"/>
  <c r="O1299" i="36"/>
  <c r="P1299" i="36"/>
  <c r="S1299" i="36"/>
  <c r="Q1299" i="36"/>
  <c r="M1299" i="36"/>
  <c r="S1101" i="36" l="1"/>
  <c r="U1295" i="36"/>
  <c r="T1295" i="36"/>
  <c r="S1295" i="36"/>
  <c r="R1295" i="36"/>
  <c r="Q1295" i="36"/>
  <c r="P1295" i="36"/>
  <c r="O1295" i="36"/>
  <c r="O1294" i="36" s="1"/>
  <c r="N1295" i="36"/>
  <c r="N1294" i="36" s="1"/>
  <c r="M1295" i="36"/>
  <c r="M1294" i="36" s="1"/>
  <c r="U1296" i="36"/>
  <c r="T1296" i="36"/>
  <c r="S1296" i="36"/>
  <c r="Q1246" i="36"/>
  <c r="P1246" i="36"/>
  <c r="O1246" i="36"/>
  <c r="M1246" i="36"/>
  <c r="Q1244" i="36"/>
  <c r="P1244" i="36"/>
  <c r="O1244" i="36"/>
  <c r="M1244" i="36"/>
  <c r="Q1226" i="36"/>
  <c r="P1226" i="36"/>
  <c r="O1226" i="36"/>
  <c r="O1181" i="36"/>
  <c r="M1181" i="36"/>
  <c r="O1179" i="36"/>
  <c r="M1179" i="36"/>
  <c r="U444" i="36"/>
  <c r="K224" i="39" s="1"/>
  <c r="T444" i="36"/>
  <c r="J224" i="39" s="1"/>
  <c r="S444" i="36"/>
  <c r="I224" i="39" s="1"/>
  <c r="M481" i="36"/>
  <c r="K272" i="39"/>
  <c r="J272" i="39"/>
  <c r="I272" i="39"/>
  <c r="H272" i="39"/>
  <c r="M436" i="36"/>
  <c r="I230" i="39"/>
  <c r="K230" i="39"/>
  <c r="J230" i="39"/>
  <c r="H228" i="39" l="1"/>
  <c r="Q540" i="36"/>
  <c r="G272" i="39"/>
  <c r="F219" i="39"/>
  <c r="U1101" i="36"/>
  <c r="T1101" i="36"/>
  <c r="S1294" i="36"/>
  <c r="T1294" i="36"/>
  <c r="U1294" i="36"/>
  <c r="M1183" i="36"/>
  <c r="O1183" i="36"/>
  <c r="H229" i="39"/>
  <c r="J66" i="43"/>
  <c r="F221" i="39"/>
  <c r="E221" i="39"/>
  <c r="D221" i="39"/>
  <c r="C221" i="39"/>
  <c r="I220" i="39"/>
  <c r="J220" i="39"/>
  <c r="K220" i="39"/>
  <c r="H220" i="39"/>
  <c r="G220" i="39"/>
  <c r="H27" i="43" s="1"/>
  <c r="F220" i="39"/>
  <c r="E220" i="39"/>
  <c r="D220" i="39"/>
  <c r="C220" i="39"/>
  <c r="I218" i="39"/>
  <c r="J218" i="39"/>
  <c r="K218" i="39"/>
  <c r="H218" i="39"/>
  <c r="G218" i="39"/>
  <c r="E27" i="43" s="1"/>
  <c r="F218" i="39"/>
  <c r="E218" i="39"/>
  <c r="D218" i="39"/>
  <c r="C218" i="39"/>
  <c r="F176" i="39"/>
  <c r="E176" i="39"/>
  <c r="D176" i="39"/>
  <c r="C176" i="39"/>
  <c r="O1143" i="36"/>
  <c r="N1143" i="36"/>
  <c r="M1143" i="36"/>
  <c r="O485" i="36"/>
  <c r="M485" i="36"/>
  <c r="M487" i="36"/>
  <c r="O481" i="36"/>
  <c r="O488" i="36" s="1"/>
  <c r="M488" i="36"/>
  <c r="G66" i="43"/>
  <c r="U359" i="36"/>
  <c r="T359" i="36"/>
  <c r="S359" i="36"/>
  <c r="R359" i="36"/>
  <c r="P359" i="36"/>
  <c r="O359" i="36"/>
  <c r="N359" i="36"/>
  <c r="M359" i="36"/>
  <c r="U481" i="36"/>
  <c r="U488" i="36" s="1"/>
  <c r="T481" i="36"/>
  <c r="T488" i="36" s="1"/>
  <c r="S481" i="36"/>
  <c r="S488" i="36" s="1"/>
  <c r="P478" i="36"/>
  <c r="P481" i="36" s="1"/>
  <c r="P483" i="36" s="1"/>
  <c r="N478" i="36"/>
  <c r="Q476" i="36"/>
  <c r="P487" i="36"/>
  <c r="O487" i="36"/>
  <c r="O436" i="36"/>
  <c r="J221" i="39"/>
  <c r="I221" i="39"/>
  <c r="H221" i="39"/>
  <c r="G221" i="39"/>
  <c r="J27" i="43" s="1"/>
  <c r="I228" i="39" l="1"/>
  <c r="N481" i="36"/>
  <c r="D236" i="39" s="1"/>
  <c r="G230" i="39"/>
  <c r="E66" i="43" s="1"/>
  <c r="R476" i="36"/>
  <c r="R485" i="36" s="1"/>
  <c r="P57" i="36"/>
  <c r="E234" i="39"/>
  <c r="F234" i="39"/>
  <c r="R481" i="36"/>
  <c r="H236" i="39" s="1"/>
  <c r="F66" i="43"/>
  <c r="K27" i="43"/>
  <c r="C234" i="39"/>
  <c r="D234" i="39"/>
  <c r="S57" i="36"/>
  <c r="C64" i="42"/>
  <c r="E64" i="42"/>
  <c r="C236" i="39"/>
  <c r="U57" i="36"/>
  <c r="K236" i="39"/>
  <c r="J176" i="39"/>
  <c r="K221" i="39"/>
  <c r="H176" i="39"/>
  <c r="J236" i="39"/>
  <c r="I176" i="39"/>
  <c r="H234" i="39"/>
  <c r="I236" i="39"/>
  <c r="R57" i="36"/>
  <c r="K176" i="39"/>
  <c r="T57" i="36"/>
  <c r="E236" i="39"/>
  <c r="E222" i="39"/>
  <c r="E225" i="39" s="1"/>
  <c r="C222" i="39"/>
  <c r="C225" i="39" s="1"/>
  <c r="F222" i="39"/>
  <c r="D222" i="39"/>
  <c r="U487" i="36"/>
  <c r="U489" i="36" s="1"/>
  <c r="M446" i="36"/>
  <c r="T487" i="36"/>
  <c r="T489" i="36" s="1"/>
  <c r="M483" i="36"/>
  <c r="M489" i="36"/>
  <c r="M491" i="36" s="1"/>
  <c r="N485" i="36"/>
  <c r="O446" i="36"/>
  <c r="O489" i="36"/>
  <c r="O483" i="36"/>
  <c r="P485" i="36"/>
  <c r="N487" i="36"/>
  <c r="D237" i="39" l="1"/>
  <c r="N488" i="36"/>
  <c r="N489" i="36" s="1"/>
  <c r="D64" i="42"/>
  <c r="J228" i="39"/>
  <c r="S476" i="36"/>
  <c r="S483" i="36" s="1"/>
  <c r="F236" i="39"/>
  <c r="F237" i="39" s="1"/>
  <c r="F64" i="42"/>
  <c r="I229" i="39"/>
  <c r="I234" i="39" s="1"/>
  <c r="I237" i="39" s="1"/>
  <c r="G234" i="39"/>
  <c r="R483" i="36"/>
  <c r="R488" i="36"/>
  <c r="Q485" i="36"/>
  <c r="H25" i="44"/>
  <c r="E26" i="42"/>
  <c r="C26" i="42"/>
  <c r="S487" i="36"/>
  <c r="S489" i="36" s="1"/>
  <c r="H237" i="39"/>
  <c r="C237" i="39"/>
  <c r="M1124" i="36"/>
  <c r="E237" i="39"/>
  <c r="D225" i="39"/>
  <c r="F225" i="39"/>
  <c r="R487" i="36"/>
  <c r="P488" i="36"/>
  <c r="O491" i="36"/>
  <c r="P436" i="36"/>
  <c r="P446" i="36" s="1"/>
  <c r="N483" i="36"/>
  <c r="K228" i="39" l="1"/>
  <c r="S485" i="36"/>
  <c r="I64" i="42" s="1"/>
  <c r="T476" i="36"/>
  <c r="T485" i="36" s="1"/>
  <c r="J64" i="42" s="1"/>
  <c r="J229" i="39"/>
  <c r="J234" i="39" s="1"/>
  <c r="J237" i="39" s="1"/>
  <c r="R489" i="36"/>
  <c r="C239" i="39"/>
  <c r="H64" i="42"/>
  <c r="E239" i="39"/>
  <c r="O1124" i="36"/>
  <c r="F239" i="39"/>
  <c r="F241" i="39" s="1"/>
  <c r="D239" i="39"/>
  <c r="P489" i="36"/>
  <c r="K229" i="39" l="1"/>
  <c r="K234" i="39" s="1"/>
  <c r="K237" i="39" s="1"/>
  <c r="U476" i="36"/>
  <c r="U485" i="36" s="1"/>
  <c r="K64" i="42" s="1"/>
  <c r="F32" i="45"/>
  <c r="D25" i="44"/>
  <c r="T483" i="36"/>
  <c r="F26" i="42"/>
  <c r="P491" i="36"/>
  <c r="U1104" i="36"/>
  <c r="T1104" i="36"/>
  <c r="S1104" i="36"/>
  <c r="R1104" i="36"/>
  <c r="Q1104" i="36"/>
  <c r="P1104" i="36"/>
  <c r="O1104" i="36"/>
  <c r="M1104" i="36"/>
  <c r="O1020" i="36"/>
  <c r="O1022" i="36" s="1"/>
  <c r="M1020" i="36"/>
  <c r="M1022" i="36" s="1"/>
  <c r="O974" i="36"/>
  <c r="M974" i="36"/>
  <c r="P971" i="36"/>
  <c r="O971" i="36"/>
  <c r="U483" i="36" l="1"/>
  <c r="P493" i="36"/>
  <c r="P1124" i="36"/>
  <c r="P1106" i="36"/>
  <c r="M1106" i="36"/>
  <c r="O1106" i="36"/>
  <c r="O976" i="36"/>
  <c r="P1143" i="36" l="1"/>
  <c r="Q1083" i="36" l="1"/>
  <c r="R1083" i="36" s="1"/>
  <c r="G180" i="39" l="1"/>
  <c r="K168" i="39" l="1"/>
  <c r="J168" i="39"/>
  <c r="I168" i="39"/>
  <c r="G168" i="39"/>
  <c r="F168" i="39"/>
  <c r="E168" i="39"/>
  <c r="D168" i="39"/>
  <c r="C168" i="39"/>
  <c r="U599" i="36"/>
  <c r="T599" i="36"/>
  <c r="S599" i="36"/>
  <c r="O599" i="36"/>
  <c r="M599" i="36"/>
  <c r="U596" i="36"/>
  <c r="T596" i="36"/>
  <c r="S596" i="36"/>
  <c r="R596" i="36"/>
  <c r="Q596" i="36"/>
  <c r="P596" i="36"/>
  <c r="O596" i="36"/>
  <c r="N596" i="36"/>
  <c r="M596" i="36"/>
  <c r="O880" i="36"/>
  <c r="O947" i="36" s="1"/>
  <c r="O949" i="36" s="1"/>
  <c r="N880" i="36"/>
  <c r="N947" i="36" s="1"/>
  <c r="N949" i="36" s="1"/>
  <c r="M880" i="36"/>
  <c r="M947" i="36" s="1"/>
  <c r="M949" i="36" s="1"/>
  <c r="O820" i="36"/>
  <c r="M820" i="36"/>
  <c r="O810" i="36"/>
  <c r="M819" i="36"/>
  <c r="O715" i="36"/>
  <c r="O717" i="36" s="1"/>
  <c r="M372" i="36"/>
  <c r="M369" i="36"/>
  <c r="U570" i="36"/>
  <c r="T570" i="36"/>
  <c r="S570" i="36"/>
  <c r="R570" i="36"/>
  <c r="Q570" i="36"/>
  <c r="P570" i="36"/>
  <c r="O570" i="36"/>
  <c r="M570" i="36"/>
  <c r="O567" i="36"/>
  <c r="N567" i="36"/>
  <c r="M567" i="36"/>
  <c r="U555" i="36"/>
  <c r="T555" i="36"/>
  <c r="S555" i="36"/>
  <c r="R555" i="36"/>
  <c r="Q555" i="36"/>
  <c r="P555" i="36"/>
  <c r="O555" i="36"/>
  <c r="M555" i="36"/>
  <c r="O552" i="36"/>
  <c r="N552" i="36"/>
  <c r="M552" i="36"/>
  <c r="U576" i="36"/>
  <c r="T576" i="36"/>
  <c r="S576" i="36"/>
  <c r="R576" i="36"/>
  <c r="Q576" i="36"/>
  <c r="O576" i="36"/>
  <c r="M576" i="36"/>
  <c r="O520" i="36"/>
  <c r="M520" i="36"/>
  <c r="O412" i="36"/>
  <c r="O817" i="36" l="1"/>
  <c r="U601" i="36"/>
  <c r="T601" i="36"/>
  <c r="M601" i="36"/>
  <c r="O601" i="36"/>
  <c r="S601" i="36"/>
  <c r="N819" i="36"/>
  <c r="O819" i="36"/>
  <c r="P576" i="36"/>
  <c r="O882" i="36"/>
  <c r="M882" i="36"/>
  <c r="O826" i="36"/>
  <c r="M821" i="36"/>
  <c r="O744" i="36"/>
  <c r="N744" i="36"/>
  <c r="P744" i="36"/>
  <c r="O635" i="36"/>
  <c r="Q577" i="36"/>
  <c r="M635" i="36"/>
  <c r="M715" i="36"/>
  <c r="M717" i="36" s="1"/>
  <c r="R577" i="36"/>
  <c r="R578" i="36" s="1"/>
  <c r="U577" i="36"/>
  <c r="U578" i="36" s="1"/>
  <c r="S577" i="36"/>
  <c r="S578" i="36" s="1"/>
  <c r="M572" i="36"/>
  <c r="M361" i="36"/>
  <c r="M374" i="36"/>
  <c r="O577" i="36"/>
  <c r="O578" i="36" s="1"/>
  <c r="O572" i="36"/>
  <c r="P577" i="36"/>
  <c r="M577" i="36"/>
  <c r="M578" i="36" s="1"/>
  <c r="M423" i="36"/>
  <c r="T577" i="36"/>
  <c r="T578" i="36" s="1"/>
  <c r="M557" i="36"/>
  <c r="O530" i="36"/>
  <c r="O557" i="36"/>
  <c r="O418" i="36"/>
  <c r="M530" i="36"/>
  <c r="E68" i="42" l="1"/>
  <c r="O821" i="36"/>
  <c r="Q578" i="36"/>
  <c r="P578" i="36"/>
  <c r="O823" i="36" l="1"/>
  <c r="O1346" i="36"/>
  <c r="O372" i="36"/>
  <c r="O423" i="36" s="1"/>
  <c r="U369" i="36"/>
  <c r="T369" i="36"/>
  <c r="S369" i="36"/>
  <c r="R369" i="36"/>
  <c r="O369" i="36"/>
  <c r="O420" i="36" s="1"/>
  <c r="M422" i="36"/>
  <c r="M424" i="36" s="1"/>
  <c r="O361" i="36"/>
  <c r="O422" i="36" l="1"/>
  <c r="O424" i="36" s="1"/>
  <c r="O426" i="36" s="1"/>
  <c r="E63" i="42"/>
  <c r="N422" i="36"/>
  <c r="P422" i="36"/>
  <c r="O374" i="36"/>
  <c r="P880" i="36" l="1"/>
  <c r="P882" i="36" l="1"/>
  <c r="P947" i="36"/>
  <c r="P949" i="36" l="1"/>
  <c r="U880" i="36" l="1"/>
  <c r="U882" i="36" l="1"/>
  <c r="U947" i="36"/>
  <c r="U949" i="36" s="1"/>
  <c r="R1300" i="36"/>
  <c r="R1301" i="36" l="1"/>
  <c r="H168" i="39"/>
  <c r="R1299" i="36" l="1"/>
  <c r="O261" i="36" l="1"/>
  <c r="O266" i="36" s="1"/>
  <c r="M261" i="36"/>
  <c r="M266" i="36" s="1"/>
  <c r="O253" i="36"/>
  <c r="M253" i="36"/>
  <c r="O59" i="36"/>
  <c r="N59" i="36"/>
  <c r="M59" i="36"/>
  <c r="M55" i="36"/>
  <c r="M265" i="36" l="1"/>
  <c r="M267" i="36" s="1"/>
  <c r="N265" i="36"/>
  <c r="O265" i="36"/>
  <c r="O267" i="36" s="1"/>
  <c r="M61" i="36"/>
  <c r="C9" i="42" l="1"/>
  <c r="T880" i="36"/>
  <c r="S880" i="36"/>
  <c r="R880" i="36"/>
  <c r="Q880" i="36" l="1"/>
  <c r="R882" i="36"/>
  <c r="R947" i="36"/>
  <c r="R949" i="36" s="1"/>
  <c r="S882" i="36"/>
  <c r="S947" i="36"/>
  <c r="S949" i="36" s="1"/>
  <c r="T882" i="36"/>
  <c r="T947" i="36"/>
  <c r="T949" i="36" s="1"/>
  <c r="Q947" i="36" l="1"/>
  <c r="Q882" i="36"/>
  <c r="Q949" i="36" l="1"/>
  <c r="R422" i="36" l="1"/>
  <c r="U422" i="36"/>
  <c r="S422" i="36"/>
  <c r="T422" i="36"/>
  <c r="P599" i="36" l="1"/>
  <c r="P629" i="36" l="1"/>
  <c r="P1297" i="36"/>
  <c r="P601" i="36"/>
  <c r="P1294" i="36" l="1"/>
  <c r="P1181" i="36" l="1"/>
  <c r="P1179" i="36"/>
  <c r="P1183" i="36" l="1"/>
  <c r="O55" i="36" l="1"/>
  <c r="Q1228" i="36" l="1"/>
  <c r="O61" i="36"/>
  <c r="E9" i="42" l="1"/>
  <c r="Q971" i="36" l="1"/>
  <c r="H734" i="39" l="1"/>
  <c r="I734" i="39"/>
  <c r="J734" i="39"/>
  <c r="K734" i="39"/>
  <c r="G734" i="39"/>
  <c r="D734" i="39"/>
  <c r="E734" i="39"/>
  <c r="F734" i="39"/>
  <c r="C734" i="39"/>
  <c r="D274" i="39"/>
  <c r="E274" i="39"/>
  <c r="C274" i="39"/>
  <c r="G176" i="39" l="1"/>
  <c r="P369" i="36"/>
  <c r="Q359" i="36" l="1"/>
  <c r="Q479" i="36"/>
  <c r="Q481" i="36" l="1"/>
  <c r="Q483" i="36" s="1"/>
  <c r="Q1322" i="36"/>
  <c r="Q422" i="36"/>
  <c r="G64" i="42" l="1"/>
  <c r="Q488" i="36"/>
  <c r="Q489" i="36" s="1"/>
  <c r="G236" i="39"/>
  <c r="G237" i="39" s="1"/>
  <c r="Q1321" i="36"/>
  <c r="J25" i="44"/>
  <c r="K66" i="43" l="1"/>
  <c r="L66" i="43" s="1"/>
  <c r="M412" i="36"/>
  <c r="M418" i="36" l="1"/>
  <c r="M420" i="36"/>
  <c r="M426" i="36" l="1"/>
  <c r="C63" i="42"/>
  <c r="Q412" i="36"/>
  <c r="Q420" i="36" s="1"/>
  <c r="E65" i="43"/>
  <c r="M1226" i="36" l="1"/>
  <c r="R1297" i="36" l="1"/>
  <c r="R1294" i="36" s="1"/>
  <c r="H269" i="39" l="1"/>
  <c r="I269" i="39"/>
  <c r="J269" i="39"/>
  <c r="K269" i="39"/>
  <c r="G269" i="39"/>
  <c r="F269" i="39"/>
  <c r="E269" i="39"/>
  <c r="D269" i="39"/>
  <c r="C269" i="39"/>
  <c r="K275" i="39" l="1"/>
  <c r="J275" i="39"/>
  <c r="I275" i="39"/>
  <c r="H275" i="39"/>
  <c r="G275" i="39"/>
  <c r="F275" i="39"/>
  <c r="E275" i="39"/>
  <c r="D275" i="39"/>
  <c r="C275" i="39"/>
  <c r="N971" i="36" l="1"/>
  <c r="N877" i="36"/>
  <c r="N369" i="36" l="1"/>
  <c r="N436" i="36" l="1"/>
  <c r="N576" i="36"/>
  <c r="N882" i="36"/>
  <c r="O1144" i="36"/>
  <c r="M1144" i="36"/>
  <c r="O1149" i="36"/>
  <c r="M1149" i="36"/>
  <c r="N446" i="36" l="1"/>
  <c r="N491" i="36"/>
  <c r="D26" i="42" l="1"/>
  <c r="N1124" i="36"/>
  <c r="E131" i="39" l="1"/>
  <c r="D131" i="39"/>
  <c r="C131" i="39"/>
  <c r="N1282" i="36" l="1"/>
  <c r="N412" i="36" l="1"/>
  <c r="N420" i="36" l="1"/>
  <c r="N1246" i="36" l="1"/>
  <c r="N1244" i="36"/>
  <c r="N1226" i="36"/>
  <c r="N599" i="36"/>
  <c r="N601" i="36" l="1"/>
  <c r="N629" i="36" l="1"/>
  <c r="I131" i="39"/>
  <c r="R599" i="36" l="1"/>
  <c r="R601" i="36" s="1"/>
  <c r="J131" i="39"/>
  <c r="H131" i="39"/>
  <c r="K131" i="39" l="1"/>
  <c r="F131" i="39" l="1"/>
  <c r="Q1297" i="36" l="1"/>
  <c r="G131" i="39"/>
  <c r="Q1294" i="36" l="1"/>
  <c r="Q599" i="36" l="1"/>
  <c r="Q601" i="36" l="1"/>
  <c r="K738" i="39" l="1"/>
  <c r="J738" i="39"/>
  <c r="I738" i="39"/>
  <c r="H738" i="39"/>
  <c r="G738" i="39"/>
  <c r="F738" i="39"/>
  <c r="E738" i="39"/>
  <c r="D738" i="39"/>
  <c r="C738" i="39"/>
  <c r="E490" i="39"/>
  <c r="D490" i="39"/>
  <c r="C490" i="39"/>
  <c r="T1106" i="36"/>
  <c r="S1106" i="36"/>
  <c r="R1106" i="36"/>
  <c r="T819" i="36"/>
  <c r="S819" i="36"/>
  <c r="H274" i="39"/>
  <c r="I274" i="39"/>
  <c r="J274" i="39"/>
  <c r="K274" i="39"/>
  <c r="Q300" i="36"/>
  <c r="R819" i="36" l="1"/>
  <c r="S567" i="36"/>
  <c r="S572" i="36" s="1"/>
  <c r="T567" i="36"/>
  <c r="T572" i="36" s="1"/>
  <c r="Q1106" i="36"/>
  <c r="M971" i="36"/>
  <c r="U567" i="36"/>
  <c r="U572" i="36" s="1"/>
  <c r="Q567" i="36"/>
  <c r="M976" i="36" l="1"/>
  <c r="Q572" i="36"/>
  <c r="Q819" i="36"/>
  <c r="Q1179" i="36" l="1"/>
  <c r="Q1181" i="36" l="1"/>
  <c r="Q1183" i="36" l="1"/>
  <c r="F490" i="39" l="1"/>
  <c r="P813" i="36"/>
  <c r="F274" i="39"/>
  <c r="F172" i="39" l="1"/>
  <c r="P815" i="36"/>
  <c r="P820" i="36" s="1"/>
  <c r="F452" i="39"/>
  <c r="P632" i="36"/>
  <c r="P355" i="36"/>
  <c r="P567" i="36"/>
  <c r="P810" i="36"/>
  <c r="P552" i="36"/>
  <c r="P520" i="36"/>
  <c r="P412" i="36"/>
  <c r="P372" i="36"/>
  <c r="P374" i="36" s="1"/>
  <c r="P55" i="36"/>
  <c r="P631" i="36"/>
  <c r="K352" i="39"/>
  <c r="J352" i="39"/>
  <c r="I352" i="39"/>
  <c r="H352" i="39"/>
  <c r="G352" i="39"/>
  <c r="F352" i="39"/>
  <c r="E352" i="39"/>
  <c r="D352" i="39"/>
  <c r="C352" i="39"/>
  <c r="K345" i="39"/>
  <c r="K346" i="39" s="1"/>
  <c r="J345" i="39"/>
  <c r="J346" i="39" s="1"/>
  <c r="I345" i="39"/>
  <c r="I346" i="39" s="1"/>
  <c r="H345" i="39"/>
  <c r="H346" i="39" s="1"/>
  <c r="G345" i="39"/>
  <c r="G346" i="39" s="1"/>
  <c r="F20" i="44" s="1"/>
  <c r="F345" i="39"/>
  <c r="F346" i="39" s="1"/>
  <c r="E345" i="39"/>
  <c r="E346" i="39" s="1"/>
  <c r="D345" i="39"/>
  <c r="D346" i="39" s="1"/>
  <c r="C345" i="39"/>
  <c r="C346" i="39" s="1"/>
  <c r="K302" i="39"/>
  <c r="J302" i="39"/>
  <c r="I302" i="39"/>
  <c r="H302" i="39"/>
  <c r="G302" i="39"/>
  <c r="F302" i="39"/>
  <c r="E302" i="39"/>
  <c r="D302" i="39"/>
  <c r="C302" i="39"/>
  <c r="O163" i="40"/>
  <c r="N163" i="40"/>
  <c r="M163" i="40"/>
  <c r="L163" i="40"/>
  <c r="J163" i="40"/>
  <c r="G163" i="40"/>
  <c r="F163" i="40"/>
  <c r="D163" i="40"/>
  <c r="C163" i="40"/>
  <c r="N570" i="36"/>
  <c r="N572" i="36" s="1"/>
  <c r="N555" i="36"/>
  <c r="P633" i="36" l="1"/>
  <c r="M738" i="36"/>
  <c r="N1181" i="36"/>
  <c r="N1179" i="36"/>
  <c r="P817" i="36"/>
  <c r="P572" i="36"/>
  <c r="P420" i="36"/>
  <c r="P557" i="36"/>
  <c r="N810" i="36"/>
  <c r="M810" i="36"/>
  <c r="P530" i="36"/>
  <c r="N557" i="36"/>
  <c r="N577" i="36"/>
  <c r="N578" i="36" s="1"/>
  <c r="N520" i="36"/>
  <c r="N372" i="36"/>
  <c r="N910" i="36"/>
  <c r="D186" i="39"/>
  <c r="P253" i="36"/>
  <c r="N253" i="36"/>
  <c r="N55" i="36"/>
  <c r="N1020" i="36"/>
  <c r="N1022" i="36" s="1"/>
  <c r="N209" i="36"/>
  <c r="P582" i="36" l="1"/>
  <c r="P586" i="36"/>
  <c r="P588" i="36"/>
  <c r="M826" i="36"/>
  <c r="M823" i="36"/>
  <c r="M744" i="36"/>
  <c r="P416" i="36"/>
  <c r="F63" i="42" s="1"/>
  <c r="F186" i="39"/>
  <c r="N416" i="36"/>
  <c r="N1183" i="36"/>
  <c r="N974" i="36"/>
  <c r="F68" i="42"/>
  <c r="N820" i="36"/>
  <c r="P361" i="36"/>
  <c r="N361" i="36"/>
  <c r="P821" i="36"/>
  <c r="M817" i="36"/>
  <c r="N817" i="36"/>
  <c r="N530" i="36"/>
  <c r="N374" i="36"/>
  <c r="N61" i="36"/>
  <c r="P973" i="36"/>
  <c r="P823" i="36" l="1"/>
  <c r="P825" i="36" s="1"/>
  <c r="P1346" i="36"/>
  <c r="P418" i="36"/>
  <c r="N261" i="36"/>
  <c r="P974" i="36"/>
  <c r="P1020" i="36"/>
  <c r="P1022" i="36" s="1"/>
  <c r="N976" i="36"/>
  <c r="D68" i="42"/>
  <c r="D63" i="42"/>
  <c r="C68" i="42"/>
  <c r="P423" i="36"/>
  <c r="N418" i="36"/>
  <c r="N821" i="36"/>
  <c r="N635" i="36"/>
  <c r="N715" i="36"/>
  <c r="N423" i="36"/>
  <c r="N424" i="36" s="1"/>
  <c r="D9" i="42"/>
  <c r="D319" i="39"/>
  <c r="D314" i="39"/>
  <c r="N1346" i="36" l="1"/>
  <c r="N266" i="36"/>
  <c r="P976" i="36"/>
  <c r="P424" i="36"/>
  <c r="N823" i="36"/>
  <c r="N426" i="36"/>
  <c r="N717" i="36"/>
  <c r="P261" i="36"/>
  <c r="N267" i="36" l="1"/>
  <c r="N826" i="36"/>
  <c r="P426" i="36"/>
  <c r="P428" i="36" s="1"/>
  <c r="P266" i="36"/>
  <c r="M1206" i="36" l="1"/>
  <c r="M1207" i="36" s="1"/>
  <c r="R567" i="36" l="1"/>
  <c r="R572" i="36" s="1"/>
  <c r="M1227" i="36" l="1"/>
  <c r="Q1206" i="36"/>
  <c r="G181" i="39" l="1"/>
  <c r="D181" i="39"/>
  <c r="E181" i="39"/>
  <c r="F181" i="39"/>
  <c r="H181" i="39"/>
  <c r="I181" i="39"/>
  <c r="J181" i="39"/>
  <c r="C181" i="39"/>
  <c r="F106" i="40"/>
  <c r="L167" i="40"/>
  <c r="H29" i="39" s="1"/>
  <c r="M167" i="40"/>
  <c r="I29" i="39" s="1"/>
  <c r="N167" i="40"/>
  <c r="J29" i="39" s="1"/>
  <c r="O167" i="40"/>
  <c r="K29" i="39" s="1"/>
  <c r="J167" i="40"/>
  <c r="D167" i="40"/>
  <c r="F167" i="40"/>
  <c r="E29" i="39" s="1"/>
  <c r="E789" i="39" s="1"/>
  <c r="G167" i="40"/>
  <c r="C167" i="40"/>
  <c r="C29" i="39" s="1"/>
  <c r="C789" i="39" s="1"/>
  <c r="I789" i="39" l="1"/>
  <c r="H789" i="39"/>
  <c r="K789" i="39"/>
  <c r="J789" i="39"/>
  <c r="D29" i="39"/>
  <c r="D789" i="39" s="1"/>
  <c r="G29" i="39"/>
  <c r="H49" i="43" s="1"/>
  <c r="H76" i="43" s="1"/>
  <c r="F29" i="39"/>
  <c r="F789" i="39" l="1"/>
  <c r="G789" i="39"/>
  <c r="Q857" i="36" l="1"/>
  <c r="R412" i="36"/>
  <c r="R420" i="36" s="1"/>
  <c r="H180" i="39"/>
  <c r="I180" i="39"/>
  <c r="S412" i="36" l="1"/>
  <c r="S420" i="36" s="1"/>
  <c r="J180" i="39"/>
  <c r="K180" i="39" l="1"/>
  <c r="D389" i="39" l="1"/>
  <c r="E389" i="39"/>
  <c r="C389" i="39"/>
  <c r="H485" i="39" l="1"/>
  <c r="I485" i="39"/>
  <c r="J485" i="39"/>
  <c r="K485" i="39"/>
  <c r="G485" i="39"/>
  <c r="D485" i="39"/>
  <c r="E485" i="39"/>
  <c r="F485" i="39"/>
  <c r="C485" i="39"/>
  <c r="S1083" i="36" l="1"/>
  <c r="T1083" i="36" s="1"/>
  <c r="U1083" i="36" s="1"/>
  <c r="G490" i="39" l="1"/>
  <c r="H490" i="39" l="1"/>
  <c r="G66" i="39"/>
  <c r="H307" i="39"/>
  <c r="I307" i="39"/>
  <c r="J307" i="39"/>
  <c r="K307" i="39"/>
  <c r="G307" i="39"/>
  <c r="D307" i="39"/>
  <c r="E307" i="39"/>
  <c r="C307" i="39"/>
  <c r="H298" i="39"/>
  <c r="I298" i="39"/>
  <c r="J298" i="39"/>
  <c r="K298" i="39"/>
  <c r="G298" i="39"/>
  <c r="D298" i="39"/>
  <c r="E298" i="39"/>
  <c r="C298" i="39"/>
  <c r="J23" i="44"/>
  <c r="I490" i="39" l="1"/>
  <c r="H66" i="39"/>
  <c r="F298" i="39"/>
  <c r="F307" i="39"/>
  <c r="K490" i="39" l="1"/>
  <c r="J490" i="39"/>
  <c r="I66" i="39"/>
  <c r="Q1020" i="36"/>
  <c r="Q1022" i="36" s="1"/>
  <c r="Q974" i="36" l="1"/>
  <c r="J66" i="39"/>
  <c r="Q976" i="36" l="1"/>
  <c r="K66" i="39"/>
  <c r="U1111" i="36" l="1"/>
  <c r="T1111" i="36"/>
  <c r="S1111" i="36"/>
  <c r="R1111" i="36"/>
  <c r="Q1111" i="36"/>
  <c r="P1111" i="36"/>
  <c r="O1111" i="36"/>
  <c r="N1111" i="36"/>
  <c r="N1113" i="36" s="1"/>
  <c r="M1111" i="36"/>
  <c r="M1113" i="36" s="1"/>
  <c r="U1106" i="36" l="1"/>
  <c r="S546" i="36" l="1"/>
  <c r="S552" i="36" s="1"/>
  <c r="S557" i="36" s="1"/>
  <c r="Q546" i="36"/>
  <c r="Q552" i="36" l="1"/>
  <c r="Q557" i="36" l="1"/>
  <c r="R540" i="36"/>
  <c r="F389" i="39" l="1"/>
  <c r="P635" i="36" l="1"/>
  <c r="P715" i="36"/>
  <c r="D303" i="39"/>
  <c r="E303" i="39"/>
  <c r="F303" i="39"/>
  <c r="G303" i="39"/>
  <c r="H303" i="39"/>
  <c r="I303" i="39"/>
  <c r="J303" i="39"/>
  <c r="K303" i="39"/>
  <c r="C303" i="39"/>
  <c r="P717" i="36" l="1"/>
  <c r="G274" i="39"/>
  <c r="I25" i="43" l="1"/>
  <c r="G106" i="40"/>
  <c r="H106" i="40" l="1"/>
  <c r="I106" i="40"/>
  <c r="D106" i="40" l="1"/>
  <c r="R971" i="36" l="1"/>
  <c r="U819" i="36"/>
  <c r="U631" i="36" l="1"/>
  <c r="P59" i="36" l="1"/>
  <c r="P61" i="36" l="1"/>
  <c r="P265" i="36"/>
  <c r="Q326" i="36"/>
  <c r="F9" i="42" l="1"/>
  <c r="P267" i="36"/>
  <c r="R1181" i="36" l="1"/>
  <c r="D625" i="39" l="1"/>
  <c r="E625" i="39"/>
  <c r="F625" i="39"/>
  <c r="G625" i="39"/>
  <c r="H625" i="39"/>
  <c r="I625" i="39"/>
  <c r="J625" i="39"/>
  <c r="K625" i="39"/>
  <c r="C625" i="39"/>
  <c r="D619" i="39"/>
  <c r="E619" i="39"/>
  <c r="F619" i="39"/>
  <c r="C619" i="39"/>
  <c r="D133" i="39"/>
  <c r="E133" i="39"/>
  <c r="F133" i="39"/>
  <c r="G133" i="39"/>
  <c r="H133" i="39"/>
  <c r="I133" i="39"/>
  <c r="J133" i="39"/>
  <c r="K133" i="39"/>
  <c r="C133" i="39"/>
  <c r="M1080" i="36" l="1"/>
  <c r="M1070" i="36"/>
  <c r="M1057" i="36"/>
  <c r="M1037" i="36"/>
  <c r="M1017" i="36"/>
  <c r="M943" i="36"/>
  <c r="M910" i="36"/>
  <c r="M708" i="36"/>
  <c r="M608" i="36"/>
  <c r="M610" i="36" s="1"/>
  <c r="M542" i="36"/>
  <c r="M326" i="36"/>
  <c r="M318" i="36"/>
  <c r="M302" i="36"/>
  <c r="M307" i="36" s="1"/>
  <c r="M296" i="36"/>
  <c r="M284" i="36"/>
  <c r="M279" i="36"/>
  <c r="M215" i="36"/>
  <c r="M209" i="36"/>
  <c r="C106" i="40"/>
  <c r="E106" i="40" s="1"/>
  <c r="M151" i="36"/>
  <c r="M110" i="36"/>
  <c r="M89" i="36"/>
  <c r="M1029" i="36" l="1"/>
  <c r="M1027" i="36"/>
  <c r="M722" i="36"/>
  <c r="M713" i="36"/>
  <c r="C67" i="42" s="1"/>
  <c r="M719" i="36"/>
  <c r="M1024" i="36"/>
  <c r="M289" i="36"/>
  <c r="M945" i="36"/>
  <c r="M954" i="36" s="1"/>
  <c r="M574" i="36"/>
  <c r="M580" i="36" s="1"/>
  <c r="M841" i="36"/>
  <c r="M1091" i="36"/>
  <c r="M1093" i="36" s="1"/>
  <c r="M328" i="36"/>
  <c r="M217" i="36"/>
  <c r="M177" i="36"/>
  <c r="M1072" i="36"/>
  <c r="M304" i="36"/>
  <c r="M1049" i="36"/>
  <c r="M286" i="36"/>
  <c r="J8" i="40"/>
  <c r="M859" i="36" l="1"/>
  <c r="C62" i="42"/>
  <c r="C51" i="42"/>
  <c r="M951" i="36"/>
  <c r="M263" i="36"/>
  <c r="M1129" i="36" l="1"/>
  <c r="M272" i="36"/>
  <c r="C47" i="42"/>
  <c r="M269" i="36"/>
  <c r="M1125" i="36"/>
  <c r="M1130" i="36"/>
  <c r="N1289" i="36" l="1"/>
  <c r="N1288" i="36" s="1"/>
  <c r="O1289" i="36"/>
  <c r="O1288" i="36" s="1"/>
  <c r="P1289" i="36"/>
  <c r="P1288" i="36" s="1"/>
  <c r="Q1289" i="36"/>
  <c r="R1289" i="36"/>
  <c r="R1288" i="36" s="1"/>
  <c r="S1289" i="36"/>
  <c r="S1288" i="36" s="1"/>
  <c r="T1289" i="36"/>
  <c r="T1288" i="36" s="1"/>
  <c r="U1289" i="36"/>
  <c r="U1288" i="36" s="1"/>
  <c r="M1289" i="36"/>
  <c r="M1288" i="36" s="1"/>
  <c r="Q1288" i="36" l="1"/>
  <c r="N1206" i="36" l="1"/>
  <c r="O1206" i="36"/>
  <c r="P1206" i="36"/>
  <c r="R1206" i="36"/>
  <c r="S1206" i="36"/>
  <c r="Q813" i="36"/>
  <c r="G452" i="39" s="1"/>
  <c r="D539" i="39"/>
  <c r="E539" i="39"/>
  <c r="Q815" i="36" l="1"/>
  <c r="Q820" i="36" l="1"/>
  <c r="Q821" i="36" l="1"/>
  <c r="N1292" i="36"/>
  <c r="O1292" i="36"/>
  <c r="P1292" i="36"/>
  <c r="Q1292" i="36"/>
  <c r="T1292" i="36"/>
  <c r="U1292" i="36"/>
  <c r="M1292" i="36"/>
  <c r="N1279" i="36"/>
  <c r="N1278" i="36" s="1"/>
  <c r="O1279" i="36"/>
  <c r="O1278" i="36" s="1"/>
  <c r="P1279" i="36"/>
  <c r="P1278" i="36" s="1"/>
  <c r="R1279" i="36"/>
  <c r="R1278" i="36" s="1"/>
  <c r="S1279" i="36"/>
  <c r="S1278" i="36" s="1"/>
  <c r="T1279" i="36"/>
  <c r="T1278" i="36" s="1"/>
  <c r="U1279" i="36"/>
  <c r="U1278" i="36" s="1"/>
  <c r="S1286" i="36"/>
  <c r="T1286" i="36"/>
  <c r="U1286" i="36"/>
  <c r="Q1346" i="36" l="1"/>
  <c r="D698" i="39"/>
  <c r="E698" i="39"/>
  <c r="F698" i="39"/>
  <c r="G698" i="39"/>
  <c r="C698" i="39"/>
  <c r="T1206" i="36" l="1"/>
  <c r="U1206" i="36" l="1"/>
  <c r="R1033" i="36"/>
  <c r="H619" i="39" s="1"/>
  <c r="S1033" i="36"/>
  <c r="I619" i="39" s="1"/>
  <c r="T1033" i="36"/>
  <c r="J619" i="39" s="1"/>
  <c r="U1033" i="36"/>
  <c r="K619" i="39" s="1"/>
  <c r="Q1033" i="36"/>
  <c r="G619" i="39" l="1"/>
  <c r="Q1279" i="36"/>
  <c r="Q1278" i="36" l="1"/>
  <c r="R1228" i="36" l="1"/>
  <c r="S1228" i="36" l="1"/>
  <c r="T1228" i="36" l="1"/>
  <c r="U1228" i="36"/>
  <c r="R738" i="36" l="1"/>
  <c r="R744" i="36" s="1"/>
  <c r="Q738" i="36"/>
  <c r="T520" i="36"/>
  <c r="T530" i="36" s="1"/>
  <c r="Q520" i="36"/>
  <c r="U520" i="36"/>
  <c r="U530" i="36" s="1"/>
  <c r="R520" i="36"/>
  <c r="R530" i="36" s="1"/>
  <c r="F539" i="39"/>
  <c r="Q744" i="36" l="1"/>
  <c r="Q530" i="36"/>
  <c r="Q586" i="36" l="1"/>
  <c r="Q582" i="36"/>
  <c r="R582" i="36" s="1"/>
  <c r="Q588" i="36"/>
  <c r="R588" i="36" s="1"/>
  <c r="D486" i="39"/>
  <c r="E486" i="39"/>
  <c r="F486" i="39"/>
  <c r="G486" i="39"/>
  <c r="H486" i="39"/>
  <c r="I486" i="39"/>
  <c r="J486" i="39"/>
  <c r="K486" i="39"/>
  <c r="C486" i="39"/>
  <c r="P215" i="36"/>
  <c r="O215" i="36"/>
  <c r="N215" i="36"/>
  <c r="R629" i="36" l="1"/>
  <c r="S629" i="36" l="1"/>
  <c r="T629" i="36" l="1"/>
  <c r="T355" i="36" l="1"/>
  <c r="J172" i="39"/>
  <c r="Q355" i="36"/>
  <c r="G172" i="39"/>
  <c r="U355" i="36"/>
  <c r="U361" i="36" s="1"/>
  <c r="K172" i="39"/>
  <c r="S355" i="36"/>
  <c r="S361" i="36" s="1"/>
  <c r="I172" i="39"/>
  <c r="R355" i="36"/>
  <c r="R361" i="36" s="1"/>
  <c r="H172" i="39"/>
  <c r="U629" i="36"/>
  <c r="T361" i="36"/>
  <c r="Q361" i="36" l="1"/>
  <c r="S971" i="36"/>
  <c r="T971" i="36"/>
  <c r="U971" i="36"/>
  <c r="S1292" i="36" l="1"/>
  <c r="R1292" i="36"/>
  <c r="C446" i="39" l="1"/>
  <c r="F21" i="39"/>
  <c r="O177" i="36"/>
  <c r="D107" i="40"/>
  <c r="Q1192" i="36"/>
  <c r="Q1193" i="36"/>
  <c r="O89" i="36"/>
  <c r="P89" i="36"/>
  <c r="J45" i="40"/>
  <c r="L45" i="40"/>
  <c r="M45" i="40"/>
  <c r="N110" i="36"/>
  <c r="O110" i="36"/>
  <c r="P110" i="36"/>
  <c r="C74" i="40"/>
  <c r="L74" i="40"/>
  <c r="N151" i="36"/>
  <c r="O151" i="36"/>
  <c r="M107" i="40"/>
  <c r="O209" i="36"/>
  <c r="O217" i="36" s="1"/>
  <c r="H62" i="39"/>
  <c r="S279" i="36"/>
  <c r="T279" i="36"/>
  <c r="N279" i="36"/>
  <c r="O279" i="36"/>
  <c r="P279" i="36"/>
  <c r="Q279" i="36"/>
  <c r="N284" i="36"/>
  <c r="O284" i="36"/>
  <c r="P284" i="36"/>
  <c r="T296" i="36"/>
  <c r="N296" i="36"/>
  <c r="O296" i="36"/>
  <c r="P296" i="36"/>
  <c r="R296" i="36"/>
  <c r="H19" i="42" s="1"/>
  <c r="S296" i="36"/>
  <c r="G101" i="39"/>
  <c r="C57" i="42"/>
  <c r="N302" i="36"/>
  <c r="D13" i="43"/>
  <c r="C12" i="42"/>
  <c r="N318" i="36"/>
  <c r="S326" i="36"/>
  <c r="U326" i="36"/>
  <c r="T1262" i="36"/>
  <c r="N326" i="36"/>
  <c r="O326" i="36"/>
  <c r="E50" i="42" s="1"/>
  <c r="P326" i="36"/>
  <c r="F65" i="43"/>
  <c r="U412" i="36"/>
  <c r="U420" i="36" s="1"/>
  <c r="S520" i="36"/>
  <c r="S530" i="36" s="1"/>
  <c r="S582" i="36" s="1"/>
  <c r="T582" i="36" s="1"/>
  <c r="U582" i="36" s="1"/>
  <c r="O542" i="36"/>
  <c r="N542" i="36"/>
  <c r="G293" i="39"/>
  <c r="R546" i="36"/>
  <c r="T546" i="36"/>
  <c r="T552" i="36" s="1"/>
  <c r="T557" i="36" s="1"/>
  <c r="U546" i="36"/>
  <c r="U552" i="36" s="1"/>
  <c r="U557" i="36" s="1"/>
  <c r="K294" i="39"/>
  <c r="H304" i="39"/>
  <c r="H305" i="39" s="1"/>
  <c r="H308" i="39" s="1"/>
  <c r="H348" i="39"/>
  <c r="H349" i="39" s="1"/>
  <c r="Q608" i="36"/>
  <c r="N608" i="36"/>
  <c r="O608" i="36"/>
  <c r="P608" i="36"/>
  <c r="R608" i="36"/>
  <c r="H59" i="42" s="1"/>
  <c r="S608" i="36"/>
  <c r="I59" i="42" s="1"/>
  <c r="T608" i="36"/>
  <c r="U608" i="36"/>
  <c r="C29" i="42"/>
  <c r="T1263" i="36"/>
  <c r="O708" i="36"/>
  <c r="I443" i="39"/>
  <c r="R857" i="36"/>
  <c r="S857" i="36"/>
  <c r="T857" i="36"/>
  <c r="U857" i="36"/>
  <c r="P1264" i="36"/>
  <c r="Q1264" i="36"/>
  <c r="S1264" i="36"/>
  <c r="R813" i="36"/>
  <c r="S813" i="36"/>
  <c r="I452" i="39" s="1"/>
  <c r="T813" i="36"/>
  <c r="U813" i="36"/>
  <c r="K452" i="39" s="1"/>
  <c r="C14" i="42"/>
  <c r="O841" i="36"/>
  <c r="O859" i="36" s="1"/>
  <c r="P841" i="36"/>
  <c r="Q841" i="36"/>
  <c r="Q859" i="36" s="1"/>
  <c r="R841" i="36"/>
  <c r="S841" i="36"/>
  <c r="T841" i="36"/>
  <c r="U841" i="36"/>
  <c r="F491" i="39"/>
  <c r="C13" i="42"/>
  <c r="O910" i="36"/>
  <c r="P910" i="36"/>
  <c r="C539" i="39"/>
  <c r="N943" i="36"/>
  <c r="O943" i="36"/>
  <c r="P943" i="36"/>
  <c r="P1199" i="36"/>
  <c r="Q1199" i="36"/>
  <c r="R1199" i="36"/>
  <c r="S1199" i="36"/>
  <c r="T1199" i="36"/>
  <c r="U1199" i="36"/>
  <c r="F571" i="39"/>
  <c r="G573" i="39"/>
  <c r="H573" i="39"/>
  <c r="H830" i="39" s="1"/>
  <c r="I573" i="39"/>
  <c r="I830" i="39" s="1"/>
  <c r="J573" i="39"/>
  <c r="J830" i="39" s="1"/>
  <c r="K573" i="39"/>
  <c r="K830" i="39" s="1"/>
  <c r="C574" i="39"/>
  <c r="N1017" i="36"/>
  <c r="O1017" i="36"/>
  <c r="P1017" i="36"/>
  <c r="Q1037" i="36"/>
  <c r="H828" i="39"/>
  <c r="T1037" i="36"/>
  <c r="N1037" i="36"/>
  <c r="O1037" i="36"/>
  <c r="P1037" i="36"/>
  <c r="R1037" i="36"/>
  <c r="U1047" i="36"/>
  <c r="N1047" i="36"/>
  <c r="O1047" i="36"/>
  <c r="P1047" i="36"/>
  <c r="Q1047" i="36"/>
  <c r="R1047" i="36"/>
  <c r="S1047" i="36"/>
  <c r="I72" i="42" s="1"/>
  <c r="T1047" i="36"/>
  <c r="G659" i="39"/>
  <c r="H659" i="39"/>
  <c r="H660" i="39" s="1"/>
  <c r="N1057" i="36"/>
  <c r="O1057" i="36"/>
  <c r="E15" i="42" s="1"/>
  <c r="P1057" i="36"/>
  <c r="H663" i="39"/>
  <c r="N1070" i="36"/>
  <c r="O1070" i="36"/>
  <c r="E53" i="42" s="1"/>
  <c r="P1070" i="36"/>
  <c r="N1080" i="36"/>
  <c r="O1080" i="36"/>
  <c r="E16" i="42" s="1"/>
  <c r="P1080" i="36"/>
  <c r="Q1080" i="36"/>
  <c r="R1080" i="36"/>
  <c r="S1080" i="36"/>
  <c r="T1080" i="36"/>
  <c r="U1080" i="36"/>
  <c r="O1091" i="36"/>
  <c r="P1265" i="36"/>
  <c r="R1265" i="36"/>
  <c r="S1265" i="36"/>
  <c r="N1091" i="36"/>
  <c r="M1138" i="36"/>
  <c r="O1138" i="36"/>
  <c r="M1139" i="36"/>
  <c r="O1139" i="36"/>
  <c r="M1140" i="36"/>
  <c r="O1140" i="36"/>
  <c r="M1141" i="36"/>
  <c r="O1141" i="36"/>
  <c r="M1142" i="36"/>
  <c r="O1142" i="36"/>
  <c r="M1145" i="36"/>
  <c r="O1145" i="36"/>
  <c r="M1146" i="36"/>
  <c r="O1146" i="36"/>
  <c r="M1147" i="36"/>
  <c r="O1147" i="36"/>
  <c r="M1150" i="36"/>
  <c r="O1150" i="36"/>
  <c r="M1151" i="36"/>
  <c r="O1151" i="36"/>
  <c r="M1152" i="36"/>
  <c r="O1152" i="36"/>
  <c r="M1166" i="36"/>
  <c r="O1166" i="36"/>
  <c r="M1167" i="36"/>
  <c r="O1167" i="36"/>
  <c r="N1173" i="36"/>
  <c r="O1173" i="36"/>
  <c r="P1173" i="36"/>
  <c r="M1175" i="36"/>
  <c r="N1175" i="36"/>
  <c r="O1175" i="36"/>
  <c r="P1175" i="36"/>
  <c r="Q1175" i="36"/>
  <c r="R1175" i="36"/>
  <c r="S1175" i="36"/>
  <c r="T1175" i="36"/>
  <c r="U1175" i="36"/>
  <c r="M1185" i="36"/>
  <c r="N1185" i="36"/>
  <c r="O1185" i="36"/>
  <c r="P1185" i="36"/>
  <c r="M1187" i="36"/>
  <c r="N1187" i="36"/>
  <c r="O1187" i="36"/>
  <c r="P1187" i="36"/>
  <c r="Q1187" i="36"/>
  <c r="M1189" i="36"/>
  <c r="N1189" i="36"/>
  <c r="O1189" i="36"/>
  <c r="P1189" i="36"/>
  <c r="M1192" i="36"/>
  <c r="N1192" i="36"/>
  <c r="O1192" i="36"/>
  <c r="P1192" i="36"/>
  <c r="M1193" i="36"/>
  <c r="N1193" i="36"/>
  <c r="O1193" i="36"/>
  <c r="P1193" i="36"/>
  <c r="M1198" i="36"/>
  <c r="N1198" i="36"/>
  <c r="O1198" i="36"/>
  <c r="M1199" i="36"/>
  <c r="N1199" i="36"/>
  <c r="O1199" i="36"/>
  <c r="M1202" i="36"/>
  <c r="M1203" i="36" s="1"/>
  <c r="N1202" i="36"/>
  <c r="O1202" i="36"/>
  <c r="P1202" i="36"/>
  <c r="S1202" i="36"/>
  <c r="M1209" i="36"/>
  <c r="M1210" i="36" s="1"/>
  <c r="N1209" i="36"/>
  <c r="O1209" i="36"/>
  <c r="P1209" i="36"/>
  <c r="Q1209" i="36"/>
  <c r="R1209" i="36"/>
  <c r="S1209" i="36"/>
  <c r="T1209" i="36"/>
  <c r="U1209" i="36"/>
  <c r="M1216" i="36"/>
  <c r="M1221" i="36"/>
  <c r="N1221" i="36"/>
  <c r="O1221" i="36"/>
  <c r="P1221" i="36"/>
  <c r="Q1221" i="36"/>
  <c r="R1221" i="36"/>
  <c r="S1221" i="36"/>
  <c r="T1221" i="36"/>
  <c r="U1221" i="36"/>
  <c r="M1238" i="36"/>
  <c r="N1227" i="36"/>
  <c r="N1238" i="36" s="1"/>
  <c r="O1227" i="36"/>
  <c r="Q1227" i="36"/>
  <c r="Q1238" i="36" s="1"/>
  <c r="R1227" i="36"/>
  <c r="R1238" i="36" s="1"/>
  <c r="S1227" i="36"/>
  <c r="S1238" i="36" s="1"/>
  <c r="T1227" i="36"/>
  <c r="T1238" i="36" s="1"/>
  <c r="U1227" i="36"/>
  <c r="U1238" i="36" s="1"/>
  <c r="M1232" i="36"/>
  <c r="N1232" i="36"/>
  <c r="O1232" i="36"/>
  <c r="P1232" i="36"/>
  <c r="Q1232" i="36"/>
  <c r="M1233" i="36"/>
  <c r="N1233" i="36"/>
  <c r="O1233" i="36"/>
  <c r="P1233" i="36"/>
  <c r="Q1233" i="36"/>
  <c r="M1245" i="36"/>
  <c r="M1256" i="36" s="1"/>
  <c r="N1245" i="36"/>
  <c r="N1256" i="36" s="1"/>
  <c r="O1245" i="36"/>
  <c r="O1256" i="36" s="1"/>
  <c r="P1245" i="36"/>
  <c r="P1256" i="36" s="1"/>
  <c r="M1250" i="36"/>
  <c r="N1250" i="36"/>
  <c r="O1250" i="36"/>
  <c r="P1250" i="36"/>
  <c r="Q1250" i="36"/>
  <c r="M1251" i="36"/>
  <c r="N1251" i="36"/>
  <c r="O1251" i="36"/>
  <c r="P1251" i="36"/>
  <c r="Q1251" i="36"/>
  <c r="M1262" i="36"/>
  <c r="N1262" i="36"/>
  <c r="O1262" i="36"/>
  <c r="P1262" i="36"/>
  <c r="Q1262" i="36"/>
  <c r="R1262" i="36"/>
  <c r="S1262" i="36"/>
  <c r="U1262" i="36"/>
  <c r="M1263" i="36"/>
  <c r="N1263" i="36"/>
  <c r="O1263" i="36"/>
  <c r="U1263" i="36"/>
  <c r="M1264" i="36"/>
  <c r="N1264" i="36"/>
  <c r="O1264" i="36"/>
  <c r="U1264" i="36"/>
  <c r="M1265" i="36"/>
  <c r="N1265" i="36"/>
  <c r="O1265" i="36"/>
  <c r="U1265" i="36"/>
  <c r="M1268" i="36"/>
  <c r="N1268" i="36"/>
  <c r="O1268" i="36"/>
  <c r="P1268" i="36"/>
  <c r="R1268" i="36"/>
  <c r="T1268" i="36"/>
  <c r="U1268" i="36"/>
  <c r="M1269" i="36"/>
  <c r="N1269" i="36"/>
  <c r="O1269" i="36"/>
  <c r="P1269" i="36"/>
  <c r="Q1269" i="36"/>
  <c r="R1269" i="36"/>
  <c r="S1269" i="36"/>
  <c r="T1269" i="36"/>
  <c r="U1269" i="36"/>
  <c r="N1286" i="36"/>
  <c r="N1285" i="36" s="1"/>
  <c r="O1286" i="36"/>
  <c r="O1285" i="36" s="1"/>
  <c r="P1286" i="36"/>
  <c r="P1285" i="36" s="1"/>
  <c r="Q1286" i="36"/>
  <c r="R1286" i="36"/>
  <c r="R1285" i="36" s="1"/>
  <c r="S1285" i="36"/>
  <c r="T1285" i="36"/>
  <c r="U1285" i="36"/>
  <c r="C11" i="39"/>
  <c r="D11" i="39"/>
  <c r="E11" i="39"/>
  <c r="C12" i="39"/>
  <c r="C770" i="39" s="1"/>
  <c r="D12" i="39"/>
  <c r="D770" i="39" s="1"/>
  <c r="E12" i="39"/>
  <c r="E770" i="39" s="1"/>
  <c r="F12" i="39"/>
  <c r="F770" i="39" s="1"/>
  <c r="C13" i="39"/>
  <c r="D13" i="39"/>
  <c r="E13" i="39"/>
  <c r="F13" i="39"/>
  <c r="G13" i="39"/>
  <c r="H13" i="39"/>
  <c r="I13" i="39"/>
  <c r="J13" i="39"/>
  <c r="K13" i="39"/>
  <c r="C14" i="39"/>
  <c r="D14" i="39"/>
  <c r="E14" i="39"/>
  <c r="F14" i="39"/>
  <c r="G14" i="39"/>
  <c r="H14" i="39"/>
  <c r="I14" i="39"/>
  <c r="J14" i="39"/>
  <c r="K14" i="39"/>
  <c r="D15" i="39"/>
  <c r="E15" i="39"/>
  <c r="C16" i="39"/>
  <c r="D16" i="39"/>
  <c r="C17" i="39"/>
  <c r="D17" i="39"/>
  <c r="E17" i="39"/>
  <c r="F17" i="39"/>
  <c r="G17" i="39"/>
  <c r="H17" i="39"/>
  <c r="I17" i="39"/>
  <c r="J17" i="39"/>
  <c r="K17" i="39"/>
  <c r="C18" i="39"/>
  <c r="D18" i="39"/>
  <c r="E18" i="39"/>
  <c r="F18" i="39"/>
  <c r="G18" i="39"/>
  <c r="H18" i="39"/>
  <c r="I18" i="39"/>
  <c r="J18" i="39"/>
  <c r="K18" i="39"/>
  <c r="C21" i="39"/>
  <c r="D21" i="39"/>
  <c r="E21" i="39"/>
  <c r="C62" i="39"/>
  <c r="D62" i="39"/>
  <c r="E62" i="39"/>
  <c r="F62" i="39"/>
  <c r="G62" i="39"/>
  <c r="I62" i="39"/>
  <c r="C66" i="39"/>
  <c r="C67" i="39" s="1"/>
  <c r="D66" i="39"/>
  <c r="E66" i="39"/>
  <c r="E67" i="39" s="1"/>
  <c r="F66" i="39"/>
  <c r="C97" i="39"/>
  <c r="C98" i="39" s="1"/>
  <c r="D97" i="39"/>
  <c r="E97" i="39"/>
  <c r="E98" i="39" s="1"/>
  <c r="F97" i="39"/>
  <c r="H97" i="39"/>
  <c r="H98" i="39" s="1"/>
  <c r="I97" i="39"/>
  <c r="I98" i="39" s="1"/>
  <c r="C101" i="39"/>
  <c r="C102" i="39" s="1"/>
  <c r="D101" i="39"/>
  <c r="C132" i="39"/>
  <c r="D132" i="39"/>
  <c r="G132" i="39"/>
  <c r="H132" i="39"/>
  <c r="I132" i="39"/>
  <c r="J132" i="39"/>
  <c r="K132" i="39"/>
  <c r="C137" i="39"/>
  <c r="D137" i="39"/>
  <c r="E137" i="39"/>
  <c r="F137" i="39"/>
  <c r="G137" i="39"/>
  <c r="H137" i="39"/>
  <c r="I137" i="39"/>
  <c r="J137" i="39"/>
  <c r="K137" i="39"/>
  <c r="C138" i="39"/>
  <c r="D138" i="39"/>
  <c r="E138" i="39"/>
  <c r="F138" i="39"/>
  <c r="H138" i="39"/>
  <c r="K138" i="39"/>
  <c r="D26" i="43"/>
  <c r="D169" i="39"/>
  <c r="E169" i="39"/>
  <c r="F169" i="39"/>
  <c r="I169" i="39"/>
  <c r="C170" i="39"/>
  <c r="D170" i="39"/>
  <c r="E170" i="39"/>
  <c r="F170" i="39"/>
  <c r="G170" i="39"/>
  <c r="H170" i="39"/>
  <c r="I170" i="39"/>
  <c r="J170" i="39"/>
  <c r="K170" i="39"/>
  <c r="C171" i="39"/>
  <c r="D171" i="39"/>
  <c r="G171" i="39"/>
  <c r="H171" i="39"/>
  <c r="I171" i="39"/>
  <c r="J171" i="39"/>
  <c r="K171" i="39"/>
  <c r="C183" i="39"/>
  <c r="D183" i="39"/>
  <c r="E183" i="39"/>
  <c r="F183" i="39"/>
  <c r="G183" i="39"/>
  <c r="H183" i="39"/>
  <c r="I183" i="39"/>
  <c r="J183" i="39"/>
  <c r="K183" i="39"/>
  <c r="C270" i="39"/>
  <c r="D270" i="39"/>
  <c r="E270" i="39"/>
  <c r="F270" i="39"/>
  <c r="C271" i="39"/>
  <c r="D271" i="39"/>
  <c r="E271" i="39"/>
  <c r="F271" i="39"/>
  <c r="G271" i="39"/>
  <c r="H271" i="39"/>
  <c r="I271" i="39"/>
  <c r="J271" i="39"/>
  <c r="K271" i="39"/>
  <c r="C273" i="39"/>
  <c r="D273" i="39"/>
  <c r="E273" i="39"/>
  <c r="F273" i="39"/>
  <c r="G273" i="39"/>
  <c r="H273" i="39"/>
  <c r="I273" i="39"/>
  <c r="J273" i="39"/>
  <c r="K273" i="39"/>
  <c r="J25" i="43"/>
  <c r="K25" i="43"/>
  <c r="C283" i="39"/>
  <c r="D283" i="39"/>
  <c r="E283" i="39"/>
  <c r="F283" i="39"/>
  <c r="G283" i="39"/>
  <c r="H283" i="39"/>
  <c r="I283" i="39"/>
  <c r="J283" i="39"/>
  <c r="K283" i="39"/>
  <c r="D287" i="39"/>
  <c r="C288" i="39"/>
  <c r="D288" i="39"/>
  <c r="E288" i="39"/>
  <c r="F288" i="39"/>
  <c r="G288" i="39"/>
  <c r="H288" i="39"/>
  <c r="I288" i="39"/>
  <c r="J288" i="39"/>
  <c r="K288" i="39"/>
  <c r="C292" i="39"/>
  <c r="D292" i="39"/>
  <c r="E292" i="39"/>
  <c r="F292" i="39"/>
  <c r="G292" i="39"/>
  <c r="H292" i="39"/>
  <c r="I292" i="39"/>
  <c r="J292" i="39"/>
  <c r="K292" i="39"/>
  <c r="C293" i="39"/>
  <c r="D293" i="39"/>
  <c r="E293" i="39"/>
  <c r="F293" i="39"/>
  <c r="C294" i="39"/>
  <c r="D294" i="39"/>
  <c r="E294" i="39"/>
  <c r="F294" i="39"/>
  <c r="G294" i="39"/>
  <c r="H294" i="39"/>
  <c r="I294" i="39"/>
  <c r="C295" i="39"/>
  <c r="D295" i="39"/>
  <c r="E295" i="39"/>
  <c r="F295" i="39"/>
  <c r="C304" i="39"/>
  <c r="C305" i="39" s="1"/>
  <c r="C308" i="39" s="1"/>
  <c r="D304" i="39"/>
  <c r="E304" i="39"/>
  <c r="E305" i="39" s="1"/>
  <c r="E308" i="39" s="1"/>
  <c r="F304" i="39"/>
  <c r="C316" i="39"/>
  <c r="D316" i="39"/>
  <c r="E316" i="39"/>
  <c r="C348" i="39"/>
  <c r="C349" i="39" s="1"/>
  <c r="D348" i="39"/>
  <c r="E348" i="39"/>
  <c r="E349" i="39" s="1"/>
  <c r="K348" i="39"/>
  <c r="K349" i="39" s="1"/>
  <c r="E61" i="43"/>
  <c r="C353" i="39"/>
  <c r="D353" i="39"/>
  <c r="E353" i="39"/>
  <c r="F353" i="39"/>
  <c r="H353" i="39"/>
  <c r="I353" i="39"/>
  <c r="J353" i="39"/>
  <c r="K353" i="39"/>
  <c r="C383" i="39"/>
  <c r="D383" i="39"/>
  <c r="E383" i="39"/>
  <c r="F383" i="39"/>
  <c r="C384" i="39"/>
  <c r="D384" i="39"/>
  <c r="G384" i="39"/>
  <c r="H384" i="39"/>
  <c r="I384" i="39"/>
  <c r="J384" i="39"/>
  <c r="K384" i="39"/>
  <c r="C385" i="39"/>
  <c r="D385" i="39"/>
  <c r="E385" i="39"/>
  <c r="F385" i="39"/>
  <c r="G385" i="39"/>
  <c r="H385" i="39"/>
  <c r="I385" i="39"/>
  <c r="J385" i="39"/>
  <c r="K385" i="39"/>
  <c r="C386" i="39"/>
  <c r="D386" i="39"/>
  <c r="E386" i="39"/>
  <c r="F386" i="39"/>
  <c r="C393" i="39"/>
  <c r="D393" i="39"/>
  <c r="E393" i="39"/>
  <c r="F393" i="39"/>
  <c r="G393" i="39"/>
  <c r="C394" i="39"/>
  <c r="D394" i="39"/>
  <c r="E394" i="39"/>
  <c r="F394" i="39"/>
  <c r="C395" i="39"/>
  <c r="D395" i="39"/>
  <c r="E395" i="39"/>
  <c r="F395" i="39"/>
  <c r="E396" i="39"/>
  <c r="F396" i="39"/>
  <c r="C397" i="39"/>
  <c r="D397" i="39"/>
  <c r="E397" i="39"/>
  <c r="K397" i="39"/>
  <c r="C399" i="39"/>
  <c r="D399" i="39"/>
  <c r="E399" i="39"/>
  <c r="F399" i="39"/>
  <c r="C434" i="39"/>
  <c r="D434" i="39"/>
  <c r="E434" i="39"/>
  <c r="F434" i="39"/>
  <c r="C435" i="39"/>
  <c r="D435" i="39"/>
  <c r="G435" i="39"/>
  <c r="H435" i="39"/>
  <c r="I435" i="39"/>
  <c r="J435" i="39"/>
  <c r="K435" i="39"/>
  <c r="C443" i="39"/>
  <c r="D443" i="39"/>
  <c r="E443" i="39"/>
  <c r="F443" i="39"/>
  <c r="G443" i="39"/>
  <c r="C444" i="39"/>
  <c r="D444" i="39"/>
  <c r="E444" i="39"/>
  <c r="F444" i="39"/>
  <c r="D445" i="39"/>
  <c r="E445" i="39"/>
  <c r="F445" i="39"/>
  <c r="D446" i="39"/>
  <c r="E446" i="39"/>
  <c r="F446" i="39"/>
  <c r="C449" i="39"/>
  <c r="D449" i="39"/>
  <c r="E449" i="39"/>
  <c r="F449" i="39"/>
  <c r="G449" i="39"/>
  <c r="H449" i="39"/>
  <c r="I449" i="39"/>
  <c r="J449" i="39"/>
  <c r="K449" i="39"/>
  <c r="C776" i="39"/>
  <c r="D776" i="39"/>
  <c r="F776" i="39"/>
  <c r="G776" i="39"/>
  <c r="H776" i="39"/>
  <c r="I776" i="39"/>
  <c r="J776" i="39"/>
  <c r="K776" i="39"/>
  <c r="E54" i="43"/>
  <c r="C491" i="39"/>
  <c r="D491" i="39"/>
  <c r="E491" i="39"/>
  <c r="G491" i="39"/>
  <c r="H491" i="39"/>
  <c r="I491" i="39"/>
  <c r="J491" i="39"/>
  <c r="K491" i="39"/>
  <c r="C527" i="39"/>
  <c r="D527" i="39"/>
  <c r="E527" i="39"/>
  <c r="F527" i="39"/>
  <c r="G527" i="39"/>
  <c r="H527" i="39"/>
  <c r="I527" i="39"/>
  <c r="J527" i="39"/>
  <c r="K527" i="39"/>
  <c r="C528" i="39"/>
  <c r="D528" i="39"/>
  <c r="E528" i="39"/>
  <c r="F528" i="39"/>
  <c r="G528" i="39"/>
  <c r="H528" i="39"/>
  <c r="I528" i="39"/>
  <c r="J528" i="39"/>
  <c r="K528" i="39"/>
  <c r="C529" i="39"/>
  <c r="D529" i="39"/>
  <c r="E529" i="39"/>
  <c r="F529" i="39"/>
  <c r="G529" i="39"/>
  <c r="H529" i="39"/>
  <c r="I529" i="39"/>
  <c r="J529" i="39"/>
  <c r="K529" i="39"/>
  <c r="C530" i="39"/>
  <c r="D530" i="39"/>
  <c r="E530" i="39"/>
  <c r="F530" i="39"/>
  <c r="G530" i="39"/>
  <c r="H530" i="39"/>
  <c r="I530" i="39"/>
  <c r="J530" i="39"/>
  <c r="K530" i="39"/>
  <c r="C533" i="39"/>
  <c r="D533" i="39"/>
  <c r="E533" i="39"/>
  <c r="F533" i="39"/>
  <c r="H533" i="39"/>
  <c r="I533" i="39"/>
  <c r="J533" i="39"/>
  <c r="K533" i="39"/>
  <c r="C537" i="39"/>
  <c r="D537" i="39"/>
  <c r="E537" i="39"/>
  <c r="F537" i="39"/>
  <c r="G537" i="39"/>
  <c r="C538" i="39"/>
  <c r="D538" i="39"/>
  <c r="E538" i="39"/>
  <c r="F538" i="39"/>
  <c r="G538" i="39"/>
  <c r="D540" i="39"/>
  <c r="E540" i="39"/>
  <c r="F540" i="39"/>
  <c r="C570" i="39"/>
  <c r="D570" i="39"/>
  <c r="E570" i="39"/>
  <c r="C571" i="39"/>
  <c r="D571" i="39"/>
  <c r="E571" i="39"/>
  <c r="G571" i="39"/>
  <c r="H571" i="39"/>
  <c r="H827" i="39" s="1"/>
  <c r="I571" i="39"/>
  <c r="I827" i="39" s="1"/>
  <c r="J571" i="39"/>
  <c r="J827" i="39" s="1"/>
  <c r="K571" i="39"/>
  <c r="K827" i="39" s="1"/>
  <c r="C572" i="39"/>
  <c r="C829" i="39" s="1"/>
  <c r="D572" i="39"/>
  <c r="E572" i="39"/>
  <c r="E829" i="39" s="1"/>
  <c r="F572" i="39"/>
  <c r="G572" i="39"/>
  <c r="H572" i="39"/>
  <c r="H829" i="39" s="1"/>
  <c r="I572" i="39"/>
  <c r="I829" i="39" s="1"/>
  <c r="J572" i="39"/>
  <c r="J829" i="39" s="1"/>
  <c r="K572" i="39"/>
  <c r="K829" i="39" s="1"/>
  <c r="C573" i="39"/>
  <c r="C830" i="39" s="1"/>
  <c r="D573" i="39"/>
  <c r="E573" i="39"/>
  <c r="E830" i="39" s="1"/>
  <c r="F573" i="39"/>
  <c r="D574" i="39"/>
  <c r="G574" i="39"/>
  <c r="H574" i="39"/>
  <c r="I574" i="39"/>
  <c r="J574" i="39"/>
  <c r="K574" i="39"/>
  <c r="C575" i="39"/>
  <c r="D575" i="39"/>
  <c r="E575" i="39"/>
  <c r="F575" i="39"/>
  <c r="G575" i="39"/>
  <c r="H575" i="39"/>
  <c r="I575" i="39"/>
  <c r="J575" i="39"/>
  <c r="K575" i="39"/>
  <c r="C578" i="39"/>
  <c r="C835" i="39" s="1"/>
  <c r="D578" i="39"/>
  <c r="E578" i="39"/>
  <c r="E835" i="39" s="1"/>
  <c r="F578" i="39"/>
  <c r="C582" i="39"/>
  <c r="C839" i="39" s="1"/>
  <c r="D582" i="39"/>
  <c r="E582" i="39"/>
  <c r="E839" i="39" s="1"/>
  <c r="F582" i="39"/>
  <c r="G582" i="39"/>
  <c r="C583" i="39"/>
  <c r="C840" i="39" s="1"/>
  <c r="D583" i="39"/>
  <c r="E583" i="39"/>
  <c r="E840" i="39" s="1"/>
  <c r="F583" i="39"/>
  <c r="C584" i="39"/>
  <c r="D584" i="39"/>
  <c r="E584" i="39"/>
  <c r="F584" i="39"/>
  <c r="C585" i="39"/>
  <c r="D585" i="39"/>
  <c r="E585" i="39"/>
  <c r="F585" i="39"/>
  <c r="G585" i="39"/>
  <c r="H585" i="39"/>
  <c r="I585" i="39"/>
  <c r="J585" i="39"/>
  <c r="K585" i="39"/>
  <c r="C586" i="39"/>
  <c r="C844" i="39" s="1"/>
  <c r="D586" i="39"/>
  <c r="E586" i="39"/>
  <c r="E844" i="39" s="1"/>
  <c r="F586" i="39"/>
  <c r="G586" i="39"/>
  <c r="H586" i="39"/>
  <c r="H844" i="39" s="1"/>
  <c r="I586" i="39"/>
  <c r="I844" i="39" s="1"/>
  <c r="J586" i="39"/>
  <c r="J844" i="39" s="1"/>
  <c r="K586" i="39"/>
  <c r="K844" i="39" s="1"/>
  <c r="D828" i="39"/>
  <c r="E828" i="39"/>
  <c r="C620" i="39"/>
  <c r="D620" i="39"/>
  <c r="E620" i="39"/>
  <c r="F620" i="39"/>
  <c r="G620" i="39"/>
  <c r="H620" i="39"/>
  <c r="I620" i="39"/>
  <c r="J620" i="39"/>
  <c r="K620" i="39"/>
  <c r="C621" i="39"/>
  <c r="D621" i="39"/>
  <c r="E621" i="39"/>
  <c r="F621" i="39"/>
  <c r="G621" i="39"/>
  <c r="H621" i="39"/>
  <c r="I621" i="39"/>
  <c r="J621" i="39"/>
  <c r="K621" i="39"/>
  <c r="C626" i="39"/>
  <c r="C628" i="39" s="1"/>
  <c r="D626" i="39"/>
  <c r="D628" i="39" s="1"/>
  <c r="E626" i="39"/>
  <c r="E628" i="39" s="1"/>
  <c r="F626" i="39"/>
  <c r="F628" i="39" s="1"/>
  <c r="G626" i="39"/>
  <c r="G628" i="39" s="1"/>
  <c r="H626" i="39"/>
  <c r="H628" i="39" s="1"/>
  <c r="I626" i="39"/>
  <c r="I628" i="39" s="1"/>
  <c r="J626" i="39"/>
  <c r="J628" i="39" s="1"/>
  <c r="C659" i="39"/>
  <c r="C660" i="39" s="1"/>
  <c r="D659" i="39"/>
  <c r="E659" i="39"/>
  <c r="E660" i="39" s="1"/>
  <c r="F659" i="39"/>
  <c r="C663" i="39"/>
  <c r="D663" i="39"/>
  <c r="E663" i="39"/>
  <c r="F663" i="39"/>
  <c r="G663" i="39"/>
  <c r="C664" i="39"/>
  <c r="D664" i="39"/>
  <c r="E664" i="39"/>
  <c r="F664" i="39"/>
  <c r="C694" i="39"/>
  <c r="D694" i="39"/>
  <c r="E694" i="39"/>
  <c r="F694" i="39"/>
  <c r="G694" i="39"/>
  <c r="H694" i="39"/>
  <c r="I694" i="39"/>
  <c r="J694" i="39"/>
  <c r="K694" i="39"/>
  <c r="E56" i="43"/>
  <c r="C699" i="39"/>
  <c r="D699" i="39"/>
  <c r="K699" i="39"/>
  <c r="C700" i="39"/>
  <c r="D700" i="39"/>
  <c r="E700" i="39"/>
  <c r="F700" i="39"/>
  <c r="G700" i="39"/>
  <c r="H700" i="39"/>
  <c r="I700" i="39"/>
  <c r="J700" i="39"/>
  <c r="K700" i="39"/>
  <c r="C730" i="39"/>
  <c r="C732" i="39" s="1"/>
  <c r="C735" i="39" s="1"/>
  <c r="D730" i="39"/>
  <c r="D732" i="39" s="1"/>
  <c r="D735" i="39" s="1"/>
  <c r="E730" i="39"/>
  <c r="E732" i="39" s="1"/>
  <c r="E735" i="39" s="1"/>
  <c r="F730" i="39"/>
  <c r="F732" i="39" s="1"/>
  <c r="F735" i="39" s="1"/>
  <c r="G730" i="39"/>
  <c r="G732" i="39" s="1"/>
  <c r="G735" i="39" s="1"/>
  <c r="H730" i="39"/>
  <c r="H732" i="39" s="1"/>
  <c r="H735" i="39" s="1"/>
  <c r="I730" i="39"/>
  <c r="I732" i="39" s="1"/>
  <c r="I735" i="39" s="1"/>
  <c r="J730" i="39"/>
  <c r="J732" i="39" s="1"/>
  <c r="J735" i="39" s="1"/>
  <c r="K730" i="39"/>
  <c r="K732" i="39" s="1"/>
  <c r="K735" i="39" s="1"/>
  <c r="E57" i="43"/>
  <c r="D12" i="40"/>
  <c r="F12" i="40"/>
  <c r="G12" i="40"/>
  <c r="J12" i="40"/>
  <c r="C13" i="40"/>
  <c r="D13" i="40"/>
  <c r="F13" i="40"/>
  <c r="G13" i="40"/>
  <c r="J13" i="40"/>
  <c r="C14" i="40"/>
  <c r="D14" i="40"/>
  <c r="F14" i="40"/>
  <c r="G14" i="40"/>
  <c r="C15" i="40"/>
  <c r="D15" i="40"/>
  <c r="F15" i="40"/>
  <c r="G15" i="40"/>
  <c r="J15" i="40"/>
  <c r="L15" i="40"/>
  <c r="M15" i="40"/>
  <c r="N15" i="40"/>
  <c r="O15" i="40"/>
  <c r="C43" i="40"/>
  <c r="D43" i="40"/>
  <c r="F43" i="40"/>
  <c r="G43" i="40"/>
  <c r="J43" i="40"/>
  <c r="C44" i="40"/>
  <c r="D44" i="40"/>
  <c r="F44" i="40"/>
  <c r="G44" i="40"/>
  <c r="J44" i="40"/>
  <c r="C45" i="40"/>
  <c r="D45" i="40"/>
  <c r="F45" i="40"/>
  <c r="G45" i="40"/>
  <c r="N45" i="40"/>
  <c r="O45" i="40"/>
  <c r="D46" i="40"/>
  <c r="F46" i="40"/>
  <c r="G46" i="40"/>
  <c r="J46" i="40"/>
  <c r="L46" i="40"/>
  <c r="M46" i="40"/>
  <c r="N46" i="40"/>
  <c r="O46" i="40"/>
  <c r="C71" i="40"/>
  <c r="D71" i="40"/>
  <c r="F71" i="40"/>
  <c r="G71" i="40"/>
  <c r="J71" i="40"/>
  <c r="C72" i="40"/>
  <c r="D72" i="40"/>
  <c r="F72" i="40"/>
  <c r="G72" i="40"/>
  <c r="D73" i="40"/>
  <c r="F73" i="40"/>
  <c r="D74" i="40"/>
  <c r="F74" i="40"/>
  <c r="G74" i="40"/>
  <c r="C104" i="40"/>
  <c r="D104" i="40"/>
  <c r="F104" i="40"/>
  <c r="G104" i="40"/>
  <c r="J104" i="40"/>
  <c r="C105" i="40"/>
  <c r="D105" i="40"/>
  <c r="F105" i="40"/>
  <c r="G105" i="40"/>
  <c r="J105" i="40"/>
  <c r="G107" i="40"/>
  <c r="C132" i="40"/>
  <c r="D132" i="40"/>
  <c r="F132" i="40"/>
  <c r="G132" i="40"/>
  <c r="C133" i="40"/>
  <c r="D133" i="40"/>
  <c r="F133" i="40"/>
  <c r="G133" i="40"/>
  <c r="J133" i="40"/>
  <c r="C134" i="40"/>
  <c r="D134" i="40"/>
  <c r="F134" i="40"/>
  <c r="C135" i="40"/>
  <c r="D135" i="40"/>
  <c r="F135" i="40"/>
  <c r="G135" i="40"/>
  <c r="C164" i="40"/>
  <c r="D164" i="40"/>
  <c r="F164" i="40"/>
  <c r="G164" i="40"/>
  <c r="J164" i="40"/>
  <c r="C165" i="40"/>
  <c r="D165" i="40"/>
  <c r="F165" i="40"/>
  <c r="C166" i="40"/>
  <c r="D166" i="40"/>
  <c r="F166" i="40"/>
  <c r="G166" i="40"/>
  <c r="J166" i="40"/>
  <c r="L166" i="40"/>
  <c r="M166" i="40"/>
  <c r="N166" i="40"/>
  <c r="O166" i="40"/>
  <c r="C170" i="40"/>
  <c r="C32" i="39" s="1"/>
  <c r="C794" i="39" s="1"/>
  <c r="D170" i="40"/>
  <c r="C9" i="45"/>
  <c r="E9" i="45"/>
  <c r="C14" i="45"/>
  <c r="E14" i="45"/>
  <c r="C15" i="45"/>
  <c r="E15" i="45"/>
  <c r="C16" i="45"/>
  <c r="E16" i="45"/>
  <c r="C17" i="45"/>
  <c r="E17" i="45"/>
  <c r="C18" i="45"/>
  <c r="E18" i="45"/>
  <c r="C19" i="45"/>
  <c r="E19" i="45"/>
  <c r="C20" i="45"/>
  <c r="E20" i="45"/>
  <c r="C21" i="45"/>
  <c r="E21" i="45"/>
  <c r="C25" i="45"/>
  <c r="E25" i="45"/>
  <c r="C30" i="45"/>
  <c r="D30" i="45"/>
  <c r="E30" i="45"/>
  <c r="C31" i="45"/>
  <c r="E31" i="45"/>
  <c r="C37" i="45"/>
  <c r="E37" i="45"/>
  <c r="C38" i="45"/>
  <c r="E38" i="45"/>
  <c r="C43" i="45"/>
  <c r="E43" i="45"/>
  <c r="C44" i="45"/>
  <c r="E44" i="45"/>
  <c r="J62" i="39"/>
  <c r="T1202" i="36"/>
  <c r="R1185" i="36"/>
  <c r="Q1185" i="36"/>
  <c r="Q1189" i="36"/>
  <c r="H698" i="39"/>
  <c r="H21" i="42"/>
  <c r="G570" i="39"/>
  <c r="Q1198" i="36"/>
  <c r="T326" i="36"/>
  <c r="G50" i="42"/>
  <c r="G138" i="39"/>
  <c r="Q1268" i="36"/>
  <c r="P1263" i="36"/>
  <c r="R1202" i="36"/>
  <c r="F11" i="39"/>
  <c r="O1216" i="36"/>
  <c r="R1233" i="36"/>
  <c r="T1264" i="36"/>
  <c r="T1265" i="36"/>
  <c r="S859" i="36" l="1"/>
  <c r="S1129" i="36" s="1"/>
  <c r="Q1267" i="36"/>
  <c r="P1267" i="36"/>
  <c r="U1267" i="36"/>
  <c r="T1267" i="36"/>
  <c r="N1267" i="36"/>
  <c r="R1267" i="36"/>
  <c r="O1267" i="36"/>
  <c r="M1267" i="36"/>
  <c r="E400" i="39"/>
  <c r="E403" i="39" s="1"/>
  <c r="Q1129" i="36"/>
  <c r="P859" i="36"/>
  <c r="O1129" i="36"/>
  <c r="U859" i="36"/>
  <c r="J14" i="42"/>
  <c r="T859" i="36"/>
  <c r="R859" i="36"/>
  <c r="C437" i="39"/>
  <c r="C440" i="39" s="1"/>
  <c r="S588" i="36"/>
  <c r="T588" i="36" s="1"/>
  <c r="U588" i="36" s="1"/>
  <c r="T815" i="36"/>
  <c r="T820" i="36" s="1"/>
  <c r="T821" i="36" s="1"/>
  <c r="J452" i="39"/>
  <c r="R815" i="36"/>
  <c r="R820" i="36" s="1"/>
  <c r="R821" i="36" s="1"/>
  <c r="R1346" i="36" s="1"/>
  <c r="H452" i="39"/>
  <c r="F771" i="39"/>
  <c r="F777" i="39"/>
  <c r="E771" i="39"/>
  <c r="E777" i="39"/>
  <c r="D771" i="39"/>
  <c r="D777" i="39"/>
  <c r="C777" i="39"/>
  <c r="U815" i="36"/>
  <c r="U820" i="36" s="1"/>
  <c r="U821" i="36" s="1"/>
  <c r="S815" i="36"/>
  <c r="S820" i="36" s="1"/>
  <c r="S821" i="36" s="1"/>
  <c r="S1346" i="36" s="1"/>
  <c r="O263" i="36"/>
  <c r="F769" i="39"/>
  <c r="C531" i="39"/>
  <c r="C534" i="39" s="1"/>
  <c r="P1018" i="36"/>
  <c r="O1018" i="36"/>
  <c r="C769" i="39"/>
  <c r="D769" i="39"/>
  <c r="D437" i="39"/>
  <c r="E769" i="39"/>
  <c r="D387" i="39"/>
  <c r="C387" i="39"/>
  <c r="C390" i="39" s="1"/>
  <c r="P1024" i="36"/>
  <c r="O719" i="36"/>
  <c r="O722" i="36"/>
  <c r="O713" i="36"/>
  <c r="E67" i="42" s="1"/>
  <c r="C47" i="45"/>
  <c r="D788" i="39"/>
  <c r="D774" i="39"/>
  <c r="E780" i="39"/>
  <c r="C788" i="39"/>
  <c r="C774" i="39"/>
  <c r="I184" i="39"/>
  <c r="H184" i="39"/>
  <c r="E773" i="39"/>
  <c r="D773" i="39"/>
  <c r="F184" i="39"/>
  <c r="F791" i="39"/>
  <c r="K788" i="39"/>
  <c r="D780" i="39"/>
  <c r="E184" i="39"/>
  <c r="E187" i="39" s="1"/>
  <c r="E791" i="39"/>
  <c r="C780" i="39"/>
  <c r="G184" i="39"/>
  <c r="G24" i="44" s="1"/>
  <c r="D184" i="39"/>
  <c r="D187" i="39" s="1"/>
  <c r="D791" i="39"/>
  <c r="J184" i="39"/>
  <c r="C184" i="39"/>
  <c r="C187" i="39" s="1"/>
  <c r="C791" i="39"/>
  <c r="K16" i="42"/>
  <c r="J16" i="42"/>
  <c r="S1181" i="36"/>
  <c r="R1246" i="36"/>
  <c r="R1177" i="36"/>
  <c r="R1226" i="36"/>
  <c r="R1179" i="36"/>
  <c r="H395" i="39"/>
  <c r="E133" i="40"/>
  <c r="E72" i="40"/>
  <c r="E44" i="40"/>
  <c r="O289" i="36"/>
  <c r="J17" i="42"/>
  <c r="I17" i="42"/>
  <c r="H17" i="42"/>
  <c r="E17" i="42"/>
  <c r="C17" i="42"/>
  <c r="K17" i="42"/>
  <c r="G576" i="39"/>
  <c r="F32" i="44" s="1"/>
  <c r="E105" i="40"/>
  <c r="O1024" i="36"/>
  <c r="N1024" i="36"/>
  <c r="C826" i="39"/>
  <c r="C576" i="39"/>
  <c r="C579" i="39" s="1"/>
  <c r="E826" i="39"/>
  <c r="D576" i="39"/>
  <c r="J29" i="44"/>
  <c r="E14" i="40"/>
  <c r="E164" i="40"/>
  <c r="K104" i="40"/>
  <c r="K71" i="40"/>
  <c r="H105" i="40"/>
  <c r="I105" i="40"/>
  <c r="K13" i="40"/>
  <c r="I13" i="40"/>
  <c r="H164" i="40"/>
  <c r="I164" i="40"/>
  <c r="H133" i="40"/>
  <c r="I133" i="40"/>
  <c r="H72" i="40"/>
  <c r="I72" i="40"/>
  <c r="H44" i="40"/>
  <c r="I44" i="40"/>
  <c r="I46" i="40"/>
  <c r="H46" i="40"/>
  <c r="H15" i="40"/>
  <c r="I15" i="40"/>
  <c r="I104" i="40"/>
  <c r="H166" i="40"/>
  <c r="I166" i="40"/>
  <c r="H135" i="40"/>
  <c r="I135" i="40"/>
  <c r="H132" i="40"/>
  <c r="I132" i="40"/>
  <c r="K43" i="40"/>
  <c r="E15" i="40"/>
  <c r="I12" i="40"/>
  <c r="H12" i="40"/>
  <c r="I71" i="40"/>
  <c r="I43" i="40"/>
  <c r="H43" i="40"/>
  <c r="H14" i="40"/>
  <c r="I14" i="40"/>
  <c r="H74" i="40"/>
  <c r="I74" i="40"/>
  <c r="E71" i="40"/>
  <c r="H45" i="40"/>
  <c r="I45" i="40"/>
  <c r="D32" i="39"/>
  <c r="E170" i="40"/>
  <c r="E165" i="40"/>
  <c r="E134" i="40"/>
  <c r="K105" i="40"/>
  <c r="E45" i="40"/>
  <c r="K531" i="39"/>
  <c r="K534" i="39" s="1"/>
  <c r="J531" i="39"/>
  <c r="J534" i="39" s="1"/>
  <c r="I531" i="39"/>
  <c r="I534" i="39" s="1"/>
  <c r="H531" i="39"/>
  <c r="H534" i="39" s="1"/>
  <c r="G531" i="39"/>
  <c r="F12" i="44" s="1"/>
  <c r="F531" i="39"/>
  <c r="E531" i="39"/>
  <c r="E534" i="39" s="1"/>
  <c r="D531" i="39"/>
  <c r="E450" i="39"/>
  <c r="E453" i="39" s="1"/>
  <c r="E458" i="39" s="1"/>
  <c r="D450" i="39"/>
  <c r="C296" i="39"/>
  <c r="C299" i="39" s="1"/>
  <c r="D349" i="39"/>
  <c r="C276" i="39"/>
  <c r="C279" i="39" s="1"/>
  <c r="F305" i="39"/>
  <c r="F296" i="39"/>
  <c r="E296" i="39"/>
  <c r="E299" i="39" s="1"/>
  <c r="D305" i="39"/>
  <c r="D296" i="39"/>
  <c r="E276" i="39"/>
  <c r="E279" i="39" s="1"/>
  <c r="D276" i="39"/>
  <c r="D174" i="39"/>
  <c r="D19" i="39"/>
  <c r="J73" i="43"/>
  <c r="F844" i="39"/>
  <c r="D839" i="39"/>
  <c r="H31" i="43"/>
  <c r="H25" i="43"/>
  <c r="G26" i="43"/>
  <c r="C19" i="43"/>
  <c r="L19" i="43" s="1"/>
  <c r="D830" i="39"/>
  <c r="F98" i="39"/>
  <c r="E55" i="43"/>
  <c r="D844" i="39"/>
  <c r="F835" i="39"/>
  <c r="G827" i="39"/>
  <c r="I30" i="43"/>
  <c r="C17" i="43"/>
  <c r="L17" i="43" s="1"/>
  <c r="G54" i="43"/>
  <c r="L54" i="43" s="1"/>
  <c r="D98" i="39"/>
  <c r="F74" i="43"/>
  <c r="D835" i="39"/>
  <c r="D827" i="39"/>
  <c r="D53" i="43"/>
  <c r="J26" i="43"/>
  <c r="H13" i="43"/>
  <c r="L13" i="43" s="1"/>
  <c r="J56" i="43"/>
  <c r="G829" i="39"/>
  <c r="H26" i="43"/>
  <c r="F829" i="39"/>
  <c r="F25" i="43"/>
  <c r="F660" i="39"/>
  <c r="D840" i="39"/>
  <c r="D826" i="39"/>
  <c r="F67" i="39"/>
  <c r="D829" i="39"/>
  <c r="C16" i="43"/>
  <c r="L16" i="43" s="1"/>
  <c r="D660" i="39"/>
  <c r="D102" i="39"/>
  <c r="D67" i="39"/>
  <c r="G34" i="43"/>
  <c r="F839" i="39"/>
  <c r="F827" i="39"/>
  <c r="E166" i="40"/>
  <c r="E135" i="40"/>
  <c r="K46" i="40"/>
  <c r="K15" i="40"/>
  <c r="E13" i="40"/>
  <c r="K166" i="40"/>
  <c r="H104" i="40"/>
  <c r="K12" i="40"/>
  <c r="E104" i="40"/>
  <c r="H71" i="40"/>
  <c r="K45" i="40"/>
  <c r="E132" i="40"/>
  <c r="E43" i="40"/>
  <c r="E74" i="40"/>
  <c r="K164" i="40"/>
  <c r="K133" i="40"/>
  <c r="K44" i="40"/>
  <c r="H13" i="40"/>
  <c r="F168" i="40"/>
  <c r="D168" i="40"/>
  <c r="C168" i="40"/>
  <c r="C171" i="40" s="1"/>
  <c r="O945" i="36"/>
  <c r="P945" i="36"/>
  <c r="P951" i="36" s="1"/>
  <c r="N945" i="36"/>
  <c r="T632" i="36"/>
  <c r="R632" i="36"/>
  <c r="O574" i="36"/>
  <c r="N574" i="36"/>
  <c r="R552" i="36"/>
  <c r="R586" i="36" s="1"/>
  <c r="S586" i="36" s="1"/>
  <c r="T586" i="36" s="1"/>
  <c r="U586" i="36" s="1"/>
  <c r="K181" i="39"/>
  <c r="K184" i="39" s="1"/>
  <c r="T412" i="36"/>
  <c r="T420" i="36" s="1"/>
  <c r="S59" i="36"/>
  <c r="S372" i="36"/>
  <c r="R59" i="36"/>
  <c r="R372" i="36"/>
  <c r="D71" i="42"/>
  <c r="D33" i="42"/>
  <c r="D59" i="42"/>
  <c r="D54" i="42"/>
  <c r="H584" i="39"/>
  <c r="H841" i="39" s="1"/>
  <c r="D15" i="42"/>
  <c r="F34" i="42"/>
  <c r="D29" i="42"/>
  <c r="D34" i="42"/>
  <c r="D57" i="42"/>
  <c r="F59" i="42"/>
  <c r="F19" i="42"/>
  <c r="Q253" i="36"/>
  <c r="Q55" i="36"/>
  <c r="C18" i="43"/>
  <c r="L18" i="43" s="1"/>
  <c r="J772" i="39"/>
  <c r="G52" i="43"/>
  <c r="C775" i="39"/>
  <c r="D772" i="39"/>
  <c r="J65" i="43"/>
  <c r="I772" i="39"/>
  <c r="H772" i="39"/>
  <c r="F775" i="39"/>
  <c r="G772" i="39"/>
  <c r="E775" i="39"/>
  <c r="F772" i="39"/>
  <c r="D775" i="39"/>
  <c r="E772" i="39"/>
  <c r="C772" i="39"/>
  <c r="K772" i="39"/>
  <c r="N328" i="36"/>
  <c r="R1251" i="36"/>
  <c r="H14" i="42"/>
  <c r="O106" i="40"/>
  <c r="M106" i="40"/>
  <c r="N106" i="40"/>
  <c r="L106" i="40"/>
  <c r="J106" i="40"/>
  <c r="K106" i="40" s="1"/>
  <c r="E13" i="42"/>
  <c r="K13" i="42"/>
  <c r="E24" i="42"/>
  <c r="H13" i="42"/>
  <c r="I14" i="43"/>
  <c r="J293" i="39"/>
  <c r="G65" i="43"/>
  <c r="F10" i="43"/>
  <c r="I19" i="42"/>
  <c r="I10" i="43"/>
  <c r="D19" i="42"/>
  <c r="I699" i="39"/>
  <c r="O1093" i="36"/>
  <c r="O1132" i="36" s="1"/>
  <c r="I16" i="42"/>
  <c r="F18" i="42"/>
  <c r="D18" i="42"/>
  <c r="I18" i="42"/>
  <c r="G578" i="39"/>
  <c r="J32" i="44" s="1"/>
  <c r="D56" i="42"/>
  <c r="D487" i="39"/>
  <c r="K293" i="39"/>
  <c r="K664" i="39"/>
  <c r="N708" i="36"/>
  <c r="P1203" i="36"/>
  <c r="O1203" i="36"/>
  <c r="G539" i="39"/>
  <c r="L12" i="40"/>
  <c r="O1195" i="36"/>
  <c r="E699" i="39"/>
  <c r="E701" i="39" s="1"/>
  <c r="J294" i="39"/>
  <c r="I397" i="39"/>
  <c r="M1195" i="36"/>
  <c r="M1196" i="36" s="1"/>
  <c r="H397" i="39"/>
  <c r="Q1263" i="36"/>
  <c r="J399" i="39"/>
  <c r="P708" i="36"/>
  <c r="S1263" i="36"/>
  <c r="S1261" i="36" s="1"/>
  <c r="C107" i="40"/>
  <c r="C108" i="40" s="1"/>
  <c r="G18" i="42"/>
  <c r="C21" i="42"/>
  <c r="Q632" i="36"/>
  <c r="Q302" i="36"/>
  <c r="D13" i="42"/>
  <c r="G664" i="39"/>
  <c r="G353" i="39"/>
  <c r="G699" i="39"/>
  <c r="K50" i="42"/>
  <c r="R215" i="36"/>
  <c r="Q215" i="36"/>
  <c r="G134" i="40"/>
  <c r="I134" i="40" s="1"/>
  <c r="P209" i="36"/>
  <c r="E287" i="39"/>
  <c r="E289" i="39" s="1"/>
  <c r="C169" i="39"/>
  <c r="C174" i="39" s="1"/>
  <c r="C177" i="39" s="1"/>
  <c r="E56" i="42"/>
  <c r="H446" i="39"/>
  <c r="D30" i="42"/>
  <c r="C445" i="39"/>
  <c r="N286" i="36"/>
  <c r="Q318" i="36"/>
  <c r="J828" i="39"/>
  <c r="Q1070" i="36"/>
  <c r="O1049" i="36"/>
  <c r="O1161" i="36" s="1"/>
  <c r="I399" i="39"/>
  <c r="S302" i="36"/>
  <c r="J73" i="40"/>
  <c r="N177" i="36"/>
  <c r="E72" i="42"/>
  <c r="F13" i="42"/>
  <c r="C540" i="39"/>
  <c r="G533" i="39"/>
  <c r="G444" i="39"/>
  <c r="F348" i="39"/>
  <c r="F780" i="39" s="1"/>
  <c r="H169" i="39"/>
  <c r="G15" i="39"/>
  <c r="K14" i="42"/>
  <c r="R1263" i="36"/>
  <c r="I446" i="39"/>
  <c r="C19" i="42"/>
  <c r="C18" i="42"/>
  <c r="H393" i="39"/>
  <c r="G12" i="39"/>
  <c r="G770" i="39" s="1"/>
  <c r="G583" i="39"/>
  <c r="R1070" i="36"/>
  <c r="F34" i="43"/>
  <c r="H537" i="39"/>
  <c r="H538" i="39"/>
  <c r="J663" i="39"/>
  <c r="K626" i="39"/>
  <c r="K628" i="39" s="1"/>
  <c r="I348" i="39"/>
  <c r="I349" i="39" s="1"/>
  <c r="K21" i="42"/>
  <c r="F450" i="39"/>
  <c r="N1200" i="36"/>
  <c r="K304" i="39"/>
  <c r="K305" i="39" s="1"/>
  <c r="K308" i="39" s="1"/>
  <c r="S631" i="36"/>
  <c r="D12" i="42"/>
  <c r="O1291" i="36"/>
  <c r="P1195" i="36"/>
  <c r="G828" i="39"/>
  <c r="K59" i="42"/>
  <c r="F15" i="42"/>
  <c r="C831" i="39"/>
  <c r="H293" i="39"/>
  <c r="I304" i="39"/>
  <c r="I305" i="39" s="1"/>
  <c r="I308" i="39" s="1"/>
  <c r="L73" i="40"/>
  <c r="G386" i="39"/>
  <c r="G777" i="39" s="1"/>
  <c r="L133" i="40"/>
  <c r="U610" i="36"/>
  <c r="U1126" i="36" s="1"/>
  <c r="J138" i="39"/>
  <c r="U1037" i="36"/>
  <c r="U1049" i="36" s="1"/>
  <c r="H72" i="42"/>
  <c r="C73" i="43"/>
  <c r="Q1113" i="36"/>
  <c r="H134" i="39"/>
  <c r="F53" i="42"/>
  <c r="F107" i="40"/>
  <c r="F108" i="40" s="1"/>
  <c r="J34" i="42"/>
  <c r="K72" i="42"/>
  <c r="N107" i="40"/>
  <c r="G399" i="39"/>
  <c r="G383" i="39"/>
  <c r="M74" i="40"/>
  <c r="Q1239" i="36"/>
  <c r="Q110" i="36"/>
  <c r="J14" i="43"/>
  <c r="J74" i="40"/>
  <c r="K74" i="40" s="1"/>
  <c r="Q1210" i="36"/>
  <c r="Q1173" i="36"/>
  <c r="Q1255" i="36"/>
  <c r="M1255" i="36"/>
  <c r="N1257" i="36"/>
  <c r="Q1234" i="36"/>
  <c r="P610" i="36"/>
  <c r="C284" i="39"/>
  <c r="G844" i="39"/>
  <c r="H622" i="39"/>
  <c r="I50" i="42"/>
  <c r="R1198" i="36"/>
  <c r="R1200" i="36" s="1"/>
  <c r="F699" i="39"/>
  <c r="S1291" i="36"/>
  <c r="N1234" i="36"/>
  <c r="G304" i="39"/>
  <c r="H443" i="39"/>
  <c r="C46" i="40"/>
  <c r="E46" i="40" s="1"/>
  <c r="K295" i="39"/>
  <c r="L104" i="40"/>
  <c r="T1291" i="36"/>
  <c r="O1252" i="36"/>
  <c r="L57" i="43"/>
  <c r="E354" i="39"/>
  <c r="Q910" i="36"/>
  <c r="G270" i="39"/>
  <c r="R209" i="36"/>
  <c r="F397" i="39"/>
  <c r="F400" i="39" s="1"/>
  <c r="R542" i="36"/>
  <c r="I295" i="39"/>
  <c r="R610" i="36"/>
  <c r="R1126" i="36" s="1"/>
  <c r="D72" i="42"/>
  <c r="F16" i="42"/>
  <c r="D396" i="39"/>
  <c r="D400" i="39" s="1"/>
  <c r="M1252" i="36"/>
  <c r="O1257" i="36"/>
  <c r="M1239" i="36"/>
  <c r="P1239" i="36"/>
  <c r="N1237" i="36"/>
  <c r="N1195" i="36"/>
  <c r="N841" i="36"/>
  <c r="N859" i="36" s="1"/>
  <c r="S540" i="36"/>
  <c r="J775" i="39"/>
  <c r="R1049" i="36"/>
  <c r="J397" i="39"/>
  <c r="L105" i="40"/>
  <c r="U540" i="36"/>
  <c r="H287" i="39"/>
  <c r="H289" i="39" s="1"/>
  <c r="D21" i="42"/>
  <c r="N1291" i="36"/>
  <c r="H34" i="42"/>
  <c r="N1247" i="36"/>
  <c r="O1072" i="36"/>
  <c r="O1131" i="36" s="1"/>
  <c r="G395" i="39"/>
  <c r="D53" i="42"/>
  <c r="O1239" i="36"/>
  <c r="N1239" i="36"/>
  <c r="R1113" i="36"/>
  <c r="E101" i="39"/>
  <c r="E102" i="39" s="1"/>
  <c r="E107" i="39" s="1"/>
  <c r="S1233" i="36"/>
  <c r="S1239" i="36" s="1"/>
  <c r="G13" i="42"/>
  <c r="I386" i="39"/>
  <c r="I777" i="39" s="1"/>
  <c r="H386" i="39"/>
  <c r="H777" i="39" s="1"/>
  <c r="G59" i="42"/>
  <c r="N73" i="40"/>
  <c r="P1255" i="36"/>
  <c r="O1207" i="36"/>
  <c r="S1185" i="36"/>
  <c r="R1091" i="36"/>
  <c r="E34" i="42"/>
  <c r="H16" i="42"/>
  <c r="G63" i="39"/>
  <c r="Q1291" i="36"/>
  <c r="M1261" i="36"/>
  <c r="N1261" i="36"/>
  <c r="P1252" i="36"/>
  <c r="N1207" i="36"/>
  <c r="O1200" i="36"/>
  <c r="P1072" i="36"/>
  <c r="N304" i="36"/>
  <c r="G165" i="40"/>
  <c r="I165" i="40" s="1"/>
  <c r="P1261" i="36"/>
  <c r="M1154" i="36"/>
  <c r="Q1200" i="36"/>
  <c r="R1210" i="36"/>
  <c r="Q1017" i="36"/>
  <c r="H699" i="39"/>
  <c r="G584" i="39"/>
  <c r="C492" i="39"/>
  <c r="C495" i="39" s="1"/>
  <c r="O1247" i="36"/>
  <c r="M1200" i="36"/>
  <c r="T1049" i="36"/>
  <c r="T1161" i="36" s="1"/>
  <c r="J135" i="40"/>
  <c r="K135" i="40" s="1"/>
  <c r="L135" i="40"/>
  <c r="F665" i="39"/>
  <c r="D832" i="39"/>
  <c r="E63" i="39"/>
  <c r="E69" i="39" s="1"/>
  <c r="C842" i="39"/>
  <c r="D841" i="39"/>
  <c r="D622" i="39"/>
  <c r="J72" i="40"/>
  <c r="K72" i="40" s="1"/>
  <c r="Q1195" i="36"/>
  <c r="K31" i="43"/>
  <c r="E47" i="45"/>
  <c r="H14" i="43"/>
  <c r="G830" i="39"/>
  <c r="I739" i="39"/>
  <c r="E739" i="39"/>
  <c r="D831" i="39"/>
  <c r="C134" i="39"/>
  <c r="K739" i="39"/>
  <c r="C739" i="39"/>
  <c r="F739" i="39"/>
  <c r="E665" i="39"/>
  <c r="I842" i="39"/>
  <c r="J831" i="39"/>
  <c r="J664" i="39"/>
  <c r="C15" i="42"/>
  <c r="C15" i="39"/>
  <c r="Q284" i="36"/>
  <c r="H396" i="39"/>
  <c r="F71" i="42"/>
  <c r="J169" i="39"/>
  <c r="C50" i="42"/>
  <c r="J19" i="42"/>
  <c r="E19" i="42"/>
  <c r="O286" i="36"/>
  <c r="E18" i="42"/>
  <c r="J18" i="42"/>
  <c r="H383" i="39"/>
  <c r="N1255" i="36"/>
  <c r="N1252" i="36"/>
  <c r="S1113" i="36"/>
  <c r="O1113" i="36"/>
  <c r="K399" i="39"/>
  <c r="Q631" i="36"/>
  <c r="C73" i="40"/>
  <c r="C75" i="40" s="1"/>
  <c r="O302" i="36"/>
  <c r="M1169" i="36"/>
  <c r="J14" i="40"/>
  <c r="Q89" i="36"/>
  <c r="C25" i="42"/>
  <c r="E54" i="42"/>
  <c r="Q1229" i="36"/>
  <c r="Q1237" i="36"/>
  <c r="H295" i="39"/>
  <c r="J295" i="39"/>
  <c r="H270" i="39"/>
  <c r="I270" i="39"/>
  <c r="I771" i="39" s="1"/>
  <c r="J270" i="39"/>
  <c r="J443" i="39"/>
  <c r="R1189" i="36"/>
  <c r="P1247" i="36"/>
  <c r="P1257" i="36"/>
  <c r="F72" i="42"/>
  <c r="E21" i="42"/>
  <c r="G169" i="39"/>
  <c r="G174" i="39" s="1"/>
  <c r="C56" i="42"/>
  <c r="L43" i="40"/>
  <c r="M1237" i="36"/>
  <c r="G287" i="39"/>
  <c r="Q542" i="36"/>
  <c r="I31" i="43"/>
  <c r="O1237" i="36"/>
  <c r="O1234" i="36"/>
  <c r="P1091" i="36"/>
  <c r="D16" i="42"/>
  <c r="N1093" i="36"/>
  <c r="C53" i="42"/>
  <c r="Q1207" i="36"/>
  <c r="Q1057" i="36"/>
  <c r="G72" i="42"/>
  <c r="C34" i="42"/>
  <c r="I13" i="42"/>
  <c r="F14" i="42"/>
  <c r="J59" i="42"/>
  <c r="J304" i="39"/>
  <c r="J305" i="39" s="1"/>
  <c r="J308" i="39" s="1"/>
  <c r="Q209" i="36"/>
  <c r="J132" i="40"/>
  <c r="M1234" i="36"/>
  <c r="J699" i="39"/>
  <c r="T1261" i="36"/>
  <c r="J72" i="42"/>
  <c r="L71" i="40"/>
  <c r="N1229" i="36"/>
  <c r="N610" i="36"/>
  <c r="F841" i="39"/>
  <c r="P1291" i="36"/>
  <c r="M1291" i="36"/>
  <c r="S1037" i="36"/>
  <c r="G446" i="39"/>
  <c r="P177" i="36"/>
  <c r="M1247" i="36"/>
  <c r="M1257" i="36"/>
  <c r="C72" i="42"/>
  <c r="I698" i="39"/>
  <c r="F52" i="43"/>
  <c r="G139" i="39"/>
  <c r="O1238" i="36"/>
  <c r="O1229" i="36"/>
  <c r="P1210" i="36"/>
  <c r="O1210" i="36"/>
  <c r="N1210" i="36"/>
  <c r="N1203" i="36"/>
  <c r="R1057" i="36"/>
  <c r="O1029" i="36"/>
  <c r="E71" i="42"/>
  <c r="R1187" i="36"/>
  <c r="F570" i="39"/>
  <c r="P1198" i="36"/>
  <c r="P1200" i="36" s="1"/>
  <c r="G14" i="42"/>
  <c r="K70" i="43"/>
  <c r="R1264" i="36"/>
  <c r="G394" i="39"/>
  <c r="G348" i="39"/>
  <c r="J20" i="44" s="1"/>
  <c r="G295" i="39"/>
  <c r="I293" i="39"/>
  <c r="R1239" i="36"/>
  <c r="L132" i="40"/>
  <c r="C16" i="42"/>
  <c r="G11" i="39"/>
  <c r="T1113" i="36"/>
  <c r="O1255" i="36"/>
  <c r="G396" i="39"/>
  <c r="R279" i="36"/>
  <c r="C12" i="40"/>
  <c r="C16" i="40" s="1"/>
  <c r="C71" i="42"/>
  <c r="H831" i="39"/>
  <c r="U1291" i="36"/>
  <c r="I664" i="39"/>
  <c r="H695" i="39"/>
  <c r="D695" i="39"/>
  <c r="E492" i="39"/>
  <c r="E495" i="39" s="1"/>
  <c r="E52" i="42" s="1"/>
  <c r="J284" i="39"/>
  <c r="G284" i="39"/>
  <c r="K139" i="39"/>
  <c r="D139" i="39"/>
  <c r="D134" i="39"/>
  <c r="H63" i="39"/>
  <c r="N1216" i="36"/>
  <c r="N1072" i="36"/>
  <c r="N1049" i="36"/>
  <c r="K270" i="39"/>
  <c r="I775" i="39"/>
  <c r="J107" i="40"/>
  <c r="K107" i="40" s="1"/>
  <c r="D25" i="42"/>
  <c r="C107" i="39"/>
  <c r="C53" i="43"/>
  <c r="G839" i="39"/>
  <c r="J487" i="39"/>
  <c r="H34" i="43"/>
  <c r="D136" i="40"/>
  <c r="F28" i="39"/>
  <c r="G16" i="40"/>
  <c r="D665" i="39"/>
  <c r="F842" i="39"/>
  <c r="K832" i="39"/>
  <c r="G832" i="39"/>
  <c r="C832" i="39"/>
  <c r="G134" i="39"/>
  <c r="I622" i="39"/>
  <c r="D541" i="39"/>
  <c r="G14" i="43"/>
  <c r="F16" i="40"/>
  <c r="D75" i="40"/>
  <c r="E587" i="39"/>
  <c r="E593" i="39" s="1"/>
  <c r="D701" i="39"/>
  <c r="H492" i="39"/>
  <c r="H495" i="39" s="1"/>
  <c r="H52" i="42" s="1"/>
  <c r="C63" i="39"/>
  <c r="D108" i="40"/>
  <c r="I828" i="39"/>
  <c r="G739" i="39"/>
  <c r="C665" i="39"/>
  <c r="H842" i="39"/>
  <c r="D587" i="39"/>
  <c r="E841" i="39"/>
  <c r="K831" i="39"/>
  <c r="I492" i="39"/>
  <c r="I495" i="39" s="1"/>
  <c r="I52" i="42" s="1"/>
  <c r="D284" i="39"/>
  <c r="C104" i="39"/>
  <c r="F75" i="40"/>
  <c r="J47" i="40"/>
  <c r="J34" i="43"/>
  <c r="G492" i="39"/>
  <c r="G495" i="39" s="1"/>
  <c r="G52" i="42" s="1"/>
  <c r="H739" i="39"/>
  <c r="G695" i="39"/>
  <c r="C695" i="39"/>
  <c r="I354" i="39"/>
  <c r="F695" i="39"/>
  <c r="E487" i="39"/>
  <c r="K487" i="39"/>
  <c r="C487" i="39"/>
  <c r="H354" i="39"/>
  <c r="D354" i="39"/>
  <c r="D289" i="39"/>
  <c r="F284" i="39"/>
  <c r="F492" i="39"/>
  <c r="F495" i="39" s="1"/>
  <c r="F52" i="42" s="1"/>
  <c r="F139" i="39"/>
  <c r="F50" i="42"/>
  <c r="C72" i="39"/>
  <c r="D842" i="39"/>
  <c r="E541" i="39"/>
  <c r="E10" i="43"/>
  <c r="D26" i="39"/>
  <c r="D785" i="39" s="1"/>
  <c r="D47" i="40"/>
  <c r="D28" i="39"/>
  <c r="C701" i="39"/>
  <c r="E842" i="39"/>
  <c r="K284" i="39"/>
  <c r="E25" i="39"/>
  <c r="E784" i="39" s="1"/>
  <c r="G108" i="40"/>
  <c r="E776" i="39"/>
  <c r="J354" i="39"/>
  <c r="C354" i="39"/>
  <c r="G660" i="39"/>
  <c r="J63" i="39"/>
  <c r="K695" i="39"/>
  <c r="H832" i="39"/>
  <c r="K354" i="39"/>
  <c r="I284" i="39"/>
  <c r="E284" i="39"/>
  <c r="E139" i="39"/>
  <c r="S1198" i="36"/>
  <c r="S1200" i="36" s="1"/>
  <c r="J570" i="39"/>
  <c r="J576" i="39" s="1"/>
  <c r="I570" i="39"/>
  <c r="H570" i="39"/>
  <c r="H576" i="39" s="1"/>
  <c r="Q151" i="36"/>
  <c r="Q1245" i="36"/>
  <c r="R1291" i="36"/>
  <c r="Q177" i="36"/>
  <c r="Q1285" i="36"/>
  <c r="F170" i="40"/>
  <c r="E32" i="39" s="1"/>
  <c r="E794" i="39" s="1"/>
  <c r="O135" i="40"/>
  <c r="N135" i="40"/>
  <c r="R177" i="36"/>
  <c r="L107" i="40"/>
  <c r="Q296" i="36"/>
  <c r="G97" i="39"/>
  <c r="Q1202" i="36"/>
  <c r="R1192" i="36"/>
  <c r="O73" i="40"/>
  <c r="J50" i="42"/>
  <c r="K622" i="39"/>
  <c r="K828" i="39"/>
  <c r="C136" i="40"/>
  <c r="P1113" i="36"/>
  <c r="Q943" i="36"/>
  <c r="R631" i="36"/>
  <c r="H399" i="39"/>
  <c r="F136" i="40"/>
  <c r="O1154" i="36"/>
  <c r="G397" i="39"/>
  <c r="G34" i="42"/>
  <c r="Q1049" i="36"/>
  <c r="G540" i="39"/>
  <c r="I14" i="42"/>
  <c r="E14" i="42"/>
  <c r="S632" i="36"/>
  <c r="D50" i="42"/>
  <c r="R1193" i="36"/>
  <c r="E622" i="39"/>
  <c r="E832" i="39"/>
  <c r="Q1252" i="36"/>
  <c r="Q1257" i="36"/>
  <c r="C54" i="42"/>
  <c r="Q1265" i="36"/>
  <c r="Q1091" i="36"/>
  <c r="G16" i="42"/>
  <c r="H582" i="39"/>
  <c r="R1232" i="36"/>
  <c r="J13" i="42"/>
  <c r="K446" i="39"/>
  <c r="J446" i="39"/>
  <c r="C396" i="39"/>
  <c r="C400" i="39" s="1"/>
  <c r="D24" i="42"/>
  <c r="T540" i="36"/>
  <c r="L164" i="40"/>
  <c r="U1261" i="36"/>
  <c r="Q708" i="36"/>
  <c r="C70" i="43"/>
  <c r="P1234" i="36"/>
  <c r="P1237" i="36"/>
  <c r="P1207" i="36"/>
  <c r="H434" i="39"/>
  <c r="H437" i="39" s="1"/>
  <c r="E59" i="42"/>
  <c r="O610" i="36"/>
  <c r="J348" i="39"/>
  <c r="J349" i="39" s="1"/>
  <c r="F56" i="42"/>
  <c r="K62" i="39"/>
  <c r="K63" i="39" s="1"/>
  <c r="U279" i="36"/>
  <c r="P286" i="36"/>
  <c r="J134" i="40"/>
  <c r="O1169" i="36"/>
  <c r="D739" i="39"/>
  <c r="D741" i="39" s="1"/>
  <c r="C139" i="39"/>
  <c r="H139" i="39"/>
  <c r="O1261" i="36"/>
  <c r="U1113" i="36"/>
  <c r="H664" i="39"/>
  <c r="H665" i="39" s="1"/>
  <c r="T631" i="36"/>
  <c r="K169" i="39"/>
  <c r="R326" i="36"/>
  <c r="J97" i="39"/>
  <c r="J98" i="39" s="1"/>
  <c r="J695" i="39"/>
  <c r="J842" i="39"/>
  <c r="K492" i="39"/>
  <c r="K495" i="39" s="1"/>
  <c r="K52" i="42" s="1"/>
  <c r="M135" i="40"/>
  <c r="I695" i="39"/>
  <c r="E695" i="39"/>
  <c r="G434" i="39"/>
  <c r="G437" i="39" s="1"/>
  <c r="U632" i="36"/>
  <c r="U633" i="36" s="1"/>
  <c r="S1268" i="36"/>
  <c r="S1267" i="36" s="1"/>
  <c r="I138" i="39"/>
  <c r="P302" i="36"/>
  <c r="F101" i="39"/>
  <c r="J739" i="39"/>
  <c r="P1216" i="36"/>
  <c r="P1049" i="36"/>
  <c r="O1027" i="36"/>
  <c r="N217" i="36"/>
  <c r="C587" i="39"/>
  <c r="F832" i="39"/>
  <c r="H487" i="39"/>
  <c r="I487" i="39"/>
  <c r="F487" i="39"/>
  <c r="F354" i="39"/>
  <c r="I63" i="39"/>
  <c r="F63" i="39"/>
  <c r="J10" i="43"/>
  <c r="E27" i="39"/>
  <c r="F47" i="40"/>
  <c r="F26" i="39"/>
  <c r="F785" i="39" s="1"/>
  <c r="G47" i="40"/>
  <c r="D16" i="40"/>
  <c r="D27" i="39"/>
  <c r="D786" i="39" s="1"/>
  <c r="G831" i="39"/>
  <c r="H35" i="43"/>
  <c r="F622" i="39"/>
  <c r="F828" i="39"/>
  <c r="C828" i="39"/>
  <c r="C622" i="39"/>
  <c r="G842" i="39"/>
  <c r="F73" i="43"/>
  <c r="J832" i="39"/>
  <c r="I831" i="39"/>
  <c r="D34" i="43"/>
  <c r="C827" i="39"/>
  <c r="J70" i="43"/>
  <c r="J492" i="39"/>
  <c r="J495" i="39" s="1"/>
  <c r="J52" i="42" s="1"/>
  <c r="H30" i="43"/>
  <c r="E22" i="43"/>
  <c r="G64" i="43"/>
  <c r="H284" i="39"/>
  <c r="E59" i="43"/>
  <c r="L59" i="43" s="1"/>
  <c r="G102" i="39"/>
  <c r="F830" i="39"/>
  <c r="D63" i="39"/>
  <c r="E26" i="39"/>
  <c r="E785" i="39" s="1"/>
  <c r="D25" i="39"/>
  <c r="D784" i="39" s="1"/>
  <c r="D492" i="39"/>
  <c r="D495" i="39" s="1"/>
  <c r="D52" i="42" s="1"/>
  <c r="C26" i="39"/>
  <c r="C785" i="39" s="1"/>
  <c r="E74" i="43"/>
  <c r="C841" i="39"/>
  <c r="F840" i="39"/>
  <c r="F587" i="39"/>
  <c r="E827" i="39"/>
  <c r="F541" i="39"/>
  <c r="G487" i="39"/>
  <c r="C69" i="43"/>
  <c r="C34" i="43"/>
  <c r="G826" i="39"/>
  <c r="E72" i="39"/>
  <c r="I832" i="39"/>
  <c r="R633" i="36" l="1"/>
  <c r="C741" i="39"/>
  <c r="T1346" i="36"/>
  <c r="T633" i="36"/>
  <c r="C497" i="39"/>
  <c r="I497" i="39"/>
  <c r="S1251" i="36"/>
  <c r="D794" i="39"/>
  <c r="H497" i="39"/>
  <c r="G400" i="39"/>
  <c r="G403" i="39" s="1"/>
  <c r="Q633" i="36"/>
  <c r="Q635" i="36" s="1"/>
  <c r="S633" i="36"/>
  <c r="Q713" i="36"/>
  <c r="G67" i="42" s="1"/>
  <c r="R1129" i="36"/>
  <c r="N1129" i="36"/>
  <c r="T1129" i="36"/>
  <c r="F497" i="39"/>
  <c r="J497" i="39"/>
  <c r="U1129" i="36"/>
  <c r="K497" i="39"/>
  <c r="E497" i="39"/>
  <c r="P1129" i="36"/>
  <c r="P861" i="36"/>
  <c r="C52" i="42"/>
  <c r="D497" i="39"/>
  <c r="G497" i="39"/>
  <c r="R557" i="36"/>
  <c r="G771" i="39"/>
  <c r="K771" i="39"/>
  <c r="E786" i="39"/>
  <c r="H771" i="39"/>
  <c r="J771" i="39"/>
  <c r="C771" i="39"/>
  <c r="N263" i="36"/>
  <c r="P612" i="36"/>
  <c r="P288" i="36"/>
  <c r="H387" i="39"/>
  <c r="P1026" i="36"/>
  <c r="G769" i="39"/>
  <c r="G387" i="39"/>
  <c r="F28" i="44" s="1"/>
  <c r="H24" i="44"/>
  <c r="U372" i="36"/>
  <c r="U374" i="36" s="1"/>
  <c r="K186" i="39"/>
  <c r="K187" i="39" s="1"/>
  <c r="O272" i="36"/>
  <c r="P713" i="36"/>
  <c r="F67" i="42" s="1"/>
  <c r="N713" i="36"/>
  <c r="C593" i="39"/>
  <c r="C592" i="39"/>
  <c r="E408" i="39"/>
  <c r="G788" i="39"/>
  <c r="D787" i="39"/>
  <c r="I788" i="39"/>
  <c r="T1181" i="36"/>
  <c r="F788" i="39"/>
  <c r="U416" i="36"/>
  <c r="U418" i="36" s="1"/>
  <c r="H791" i="39"/>
  <c r="K791" i="39"/>
  <c r="J788" i="39"/>
  <c r="I791" i="39"/>
  <c r="J791" i="39"/>
  <c r="H788" i="39"/>
  <c r="C773" i="39"/>
  <c r="G791" i="39"/>
  <c r="E788" i="39"/>
  <c r="F276" i="39"/>
  <c r="F279" i="39" s="1"/>
  <c r="S1226" i="36"/>
  <c r="S1229" i="36" s="1"/>
  <c r="S1246" i="36"/>
  <c r="R1183" i="36"/>
  <c r="L44" i="40"/>
  <c r="L47" i="40" s="1"/>
  <c r="R1244" i="36"/>
  <c r="S1179" i="36"/>
  <c r="S1177" i="36"/>
  <c r="U1177" i="36"/>
  <c r="T1177" i="36"/>
  <c r="E108" i="40"/>
  <c r="R265" i="36"/>
  <c r="S265" i="36"/>
  <c r="Q1024" i="36"/>
  <c r="I826" i="39"/>
  <c r="I833" i="39" s="1"/>
  <c r="I576" i="39"/>
  <c r="G579" i="39"/>
  <c r="D579" i="39"/>
  <c r="E16" i="40"/>
  <c r="J12" i="44"/>
  <c r="O580" i="36"/>
  <c r="E62" i="42"/>
  <c r="E47" i="42"/>
  <c r="D51" i="42"/>
  <c r="D62" i="42"/>
  <c r="E51" i="42"/>
  <c r="F51" i="42"/>
  <c r="H440" i="39"/>
  <c r="K134" i="40"/>
  <c r="G833" i="39"/>
  <c r="D171" i="40"/>
  <c r="E171" i="40" s="1"/>
  <c r="E168" i="40"/>
  <c r="H16" i="40"/>
  <c r="I16" i="40"/>
  <c r="E136" i="40"/>
  <c r="C833" i="39"/>
  <c r="C836" i="39" s="1"/>
  <c r="I107" i="40"/>
  <c r="I47" i="40"/>
  <c r="H47" i="40"/>
  <c r="H108" i="40"/>
  <c r="I108" i="40"/>
  <c r="C55" i="42"/>
  <c r="C667" i="39"/>
  <c r="D833" i="39"/>
  <c r="C69" i="39"/>
  <c r="D778" i="39"/>
  <c r="D781" i="39" s="1"/>
  <c r="J174" i="39"/>
  <c r="J177" i="39" s="1"/>
  <c r="G534" i="39"/>
  <c r="D534" i="39"/>
  <c r="F534" i="39"/>
  <c r="F453" i="39"/>
  <c r="C450" i="39"/>
  <c r="C453" i="39" s="1"/>
  <c r="F29" i="44"/>
  <c r="D453" i="39"/>
  <c r="D458" i="39" s="1"/>
  <c r="D440" i="39"/>
  <c r="H276" i="39"/>
  <c r="H279" i="39" s="1"/>
  <c r="I296" i="39"/>
  <c r="I299" i="39" s="1"/>
  <c r="K296" i="39"/>
  <c r="K299" i="39" s="1"/>
  <c r="D390" i="39"/>
  <c r="L74" i="43"/>
  <c r="I276" i="39"/>
  <c r="I279" i="39" s="1"/>
  <c r="F349" i="39"/>
  <c r="G349" i="39"/>
  <c r="J296" i="39"/>
  <c r="J299" i="39" s="1"/>
  <c r="H296" i="39"/>
  <c r="H299" i="39" s="1"/>
  <c r="H310" i="39" s="1"/>
  <c r="D279" i="39"/>
  <c r="K276" i="39"/>
  <c r="K279" i="39" s="1"/>
  <c r="J276" i="39"/>
  <c r="J279" i="39" s="1"/>
  <c r="F299" i="39"/>
  <c r="G305" i="39"/>
  <c r="F308" i="39"/>
  <c r="D299" i="39"/>
  <c r="G276" i="39"/>
  <c r="F23" i="44" s="1"/>
  <c r="D308" i="39"/>
  <c r="G296" i="39"/>
  <c r="D177" i="39"/>
  <c r="I174" i="39"/>
  <c r="I177" i="39" s="1"/>
  <c r="D30" i="39"/>
  <c r="D22" i="39"/>
  <c r="C19" i="39"/>
  <c r="C22" i="39" s="1"/>
  <c r="D104" i="39"/>
  <c r="D21" i="45" s="1"/>
  <c r="F69" i="39"/>
  <c r="F701" i="39"/>
  <c r="F703" i="39" s="1"/>
  <c r="H13" i="44"/>
  <c r="D55" i="42"/>
  <c r="G30" i="43"/>
  <c r="K22" i="43"/>
  <c r="L22" i="43" s="1"/>
  <c r="F826" i="39"/>
  <c r="E26" i="43"/>
  <c r="F403" i="39"/>
  <c r="J69" i="43"/>
  <c r="F11" i="44"/>
  <c r="D403" i="39"/>
  <c r="F55" i="42"/>
  <c r="F667" i="39"/>
  <c r="F17" i="44"/>
  <c r="G56" i="43"/>
  <c r="L56" i="43" s="1"/>
  <c r="G70" i="43"/>
  <c r="G835" i="39"/>
  <c r="G289" i="39"/>
  <c r="J61" i="43"/>
  <c r="L61" i="43" s="1"/>
  <c r="F102" i="39"/>
  <c r="F69" i="43"/>
  <c r="G25" i="43"/>
  <c r="G840" i="39"/>
  <c r="F70" i="43"/>
  <c r="J55" i="43"/>
  <c r="L55" i="43" s="1"/>
  <c r="G25" i="39"/>
  <c r="K132" i="40"/>
  <c r="E107" i="40"/>
  <c r="J16" i="40"/>
  <c r="K16" i="40" s="1"/>
  <c r="K14" i="40"/>
  <c r="H107" i="40"/>
  <c r="G168" i="40"/>
  <c r="H165" i="40"/>
  <c r="E12" i="40"/>
  <c r="E75" i="40"/>
  <c r="G136" i="40"/>
  <c r="H134" i="40"/>
  <c r="E73" i="40"/>
  <c r="K47" i="40"/>
  <c r="F171" i="40"/>
  <c r="O269" i="36"/>
  <c r="N719" i="36"/>
  <c r="N580" i="36"/>
  <c r="Q574" i="36"/>
  <c r="N951" i="36"/>
  <c r="O954" i="36"/>
  <c r="O951" i="36"/>
  <c r="Q945" i="36"/>
  <c r="I434" i="39"/>
  <c r="P719" i="36"/>
  <c r="I21" i="39"/>
  <c r="J389" i="39"/>
  <c r="H389" i="39"/>
  <c r="K389" i="39"/>
  <c r="R574" i="36"/>
  <c r="H21" i="39"/>
  <c r="R374" i="36"/>
  <c r="S374" i="36"/>
  <c r="Q372" i="36"/>
  <c r="T59" i="36"/>
  <c r="T372" i="36"/>
  <c r="G53" i="42"/>
  <c r="P1131" i="36"/>
  <c r="G57" i="42"/>
  <c r="R253" i="36"/>
  <c r="O164" i="40"/>
  <c r="N164" i="40"/>
  <c r="R55" i="36"/>
  <c r="R110" i="36"/>
  <c r="L52" i="43"/>
  <c r="N132" i="40"/>
  <c r="M105" i="40"/>
  <c r="J139" i="39"/>
  <c r="I139" i="39"/>
  <c r="D10" i="43"/>
  <c r="D37" i="43" s="1"/>
  <c r="G10" i="43"/>
  <c r="M73" i="40"/>
  <c r="D107" i="39"/>
  <c r="P1115" i="36"/>
  <c r="N1145" i="36"/>
  <c r="N307" i="36"/>
  <c r="G389" i="39"/>
  <c r="S542" i="36"/>
  <c r="S574" i="36" s="1"/>
  <c r="K14" i="43"/>
  <c r="L14" i="43" s="1"/>
  <c r="I389" i="39"/>
  <c r="E64" i="43"/>
  <c r="F37" i="43"/>
  <c r="P217" i="36"/>
  <c r="N1212" i="36"/>
  <c r="O1212" i="36"/>
  <c r="M1212" i="36"/>
  <c r="Q1212" i="36"/>
  <c r="P1212" i="36"/>
  <c r="C10" i="43"/>
  <c r="N1152" i="36"/>
  <c r="N1150" i="36"/>
  <c r="N1167" i="36"/>
  <c r="N1160" i="36"/>
  <c r="N1147" i="36"/>
  <c r="K34" i="43"/>
  <c r="L34" i="43" s="1"/>
  <c r="G354" i="39"/>
  <c r="C24" i="42"/>
  <c r="M12" i="40"/>
  <c r="I393" i="39"/>
  <c r="M71" i="40"/>
  <c r="H539" i="39"/>
  <c r="N12" i="40"/>
  <c r="L134" i="40"/>
  <c r="L136" i="40" s="1"/>
  <c r="C28" i="39"/>
  <c r="H101" i="39"/>
  <c r="H102" i="39" s="1"/>
  <c r="H104" i="39" s="1"/>
  <c r="U1185" i="36"/>
  <c r="Q217" i="36"/>
  <c r="K842" i="39"/>
  <c r="U302" i="36"/>
  <c r="U1216" i="36"/>
  <c r="E55" i="42"/>
  <c r="G665" i="39"/>
  <c r="J622" i="39"/>
  <c r="G701" i="39"/>
  <c r="Q328" i="36"/>
  <c r="M133" i="40"/>
  <c r="N1132" i="36"/>
  <c r="G24" i="42"/>
  <c r="P1074" i="36"/>
  <c r="M1161" i="36"/>
  <c r="M132" i="40"/>
  <c r="N74" i="40"/>
  <c r="J28" i="39" s="1"/>
  <c r="I101" i="39"/>
  <c r="I102" i="39" s="1"/>
  <c r="I104" i="39" s="1"/>
  <c r="F24" i="44"/>
  <c r="R1261" i="36"/>
  <c r="G12" i="42"/>
  <c r="N1120" i="36"/>
  <c r="C33" i="42"/>
  <c r="D70" i="43"/>
  <c r="M1258" i="36"/>
  <c r="R302" i="36"/>
  <c r="R304" i="36" s="1"/>
  <c r="R1121" i="36" s="1"/>
  <c r="M104" i="40"/>
  <c r="Q1133" i="36"/>
  <c r="E69" i="43"/>
  <c r="E703" i="39"/>
  <c r="E104" i="39"/>
  <c r="K34" i="42"/>
  <c r="H53" i="42"/>
  <c r="E28" i="39"/>
  <c r="E787" i="39" s="1"/>
  <c r="D73" i="43"/>
  <c r="J30" i="43"/>
  <c r="J37" i="43" s="1"/>
  <c r="T1070" i="36"/>
  <c r="J53" i="42" s="1"/>
  <c r="I28" i="39"/>
  <c r="J75" i="40"/>
  <c r="G841" i="39"/>
  <c r="I537" i="39"/>
  <c r="R217" i="36"/>
  <c r="C541" i="39"/>
  <c r="H54" i="42"/>
  <c r="G33" i="42"/>
  <c r="S610" i="36"/>
  <c r="I21" i="42"/>
  <c r="S1070" i="36"/>
  <c r="I53" i="42" s="1"/>
  <c r="R973" i="36"/>
  <c r="C59" i="42"/>
  <c r="R318" i="36"/>
  <c r="I663" i="39"/>
  <c r="I665" i="39" s="1"/>
  <c r="D14" i="42"/>
  <c r="R89" i="36"/>
  <c r="R1133" i="36"/>
  <c r="I134" i="39"/>
  <c r="M1240" i="36"/>
  <c r="J665" i="39"/>
  <c r="G622" i="39"/>
  <c r="E35" i="43"/>
  <c r="L35" i="43" s="1"/>
  <c r="R1257" i="36"/>
  <c r="H630" i="39"/>
  <c r="C47" i="40"/>
  <c r="U542" i="36"/>
  <c r="I287" i="39"/>
  <c r="I289" i="39" s="1"/>
  <c r="L13" i="40"/>
  <c r="C287" i="39"/>
  <c r="G55" i="42"/>
  <c r="E356" i="39"/>
  <c r="G28" i="39"/>
  <c r="K287" i="39"/>
  <c r="K289" i="39" s="1"/>
  <c r="N1258" i="36"/>
  <c r="T1216" i="36"/>
  <c r="T209" i="36"/>
  <c r="R1093" i="36"/>
  <c r="Q1240" i="36"/>
  <c r="F21" i="42"/>
  <c r="N1240" i="36"/>
  <c r="O107" i="40"/>
  <c r="N1122" i="36"/>
  <c r="H11" i="44"/>
  <c r="E58" i="43"/>
  <c r="L58" i="43" s="1"/>
  <c r="L108" i="40"/>
  <c r="G587" i="39"/>
  <c r="H32" i="44" s="1"/>
  <c r="D845" i="39"/>
  <c r="E73" i="43"/>
  <c r="H444" i="39"/>
  <c r="M1229" i="36"/>
  <c r="C27" i="39"/>
  <c r="C786" i="39" s="1"/>
  <c r="I356" i="39"/>
  <c r="R1207" i="36"/>
  <c r="R708" i="36"/>
  <c r="D667" i="39"/>
  <c r="C845" i="39"/>
  <c r="E25" i="43"/>
  <c r="H701" i="39"/>
  <c r="H703" i="39" s="1"/>
  <c r="E741" i="39"/>
  <c r="R1161" i="36"/>
  <c r="O1258" i="36"/>
  <c r="P1196" i="36"/>
  <c r="K55" i="42"/>
  <c r="O1133" i="36"/>
  <c r="D69" i="43"/>
  <c r="P1258" i="36"/>
  <c r="Q1216" i="36"/>
  <c r="N1196" i="36"/>
  <c r="Q1196" i="36"/>
  <c r="G741" i="39"/>
  <c r="O1196" i="36"/>
  <c r="C30" i="42"/>
  <c r="N1121" i="36"/>
  <c r="S910" i="36"/>
  <c r="G71" i="42"/>
  <c r="T1233" i="36"/>
  <c r="T1239" i="36" s="1"/>
  <c r="U1233" i="36"/>
  <c r="U1239" i="36" s="1"/>
  <c r="L14" i="40"/>
  <c r="K741" i="39"/>
  <c r="J64" i="43"/>
  <c r="J108" i="40"/>
  <c r="K108" i="40" s="1"/>
  <c r="E667" i="39"/>
  <c r="H25" i="39"/>
  <c r="H784" i="39" s="1"/>
  <c r="J136" i="40"/>
  <c r="G26" i="39"/>
  <c r="F64" i="43"/>
  <c r="G67" i="39"/>
  <c r="D141" i="39"/>
  <c r="D14" i="45" s="1"/>
  <c r="I741" i="39"/>
  <c r="I55" i="42"/>
  <c r="C356" i="39"/>
  <c r="H16" i="44"/>
  <c r="E845" i="39"/>
  <c r="E850" i="39" s="1"/>
  <c r="I659" i="39"/>
  <c r="I660" i="39" s="1"/>
  <c r="S1057" i="36"/>
  <c r="O1120" i="36"/>
  <c r="I396" i="39"/>
  <c r="Q286" i="36"/>
  <c r="G56" i="42"/>
  <c r="T1133" i="36"/>
  <c r="H15" i="42"/>
  <c r="R1072" i="36"/>
  <c r="N1126" i="36"/>
  <c r="E57" i="42"/>
  <c r="O307" i="36"/>
  <c r="I383" i="39"/>
  <c r="I387" i="39" s="1"/>
  <c r="N1131" i="36"/>
  <c r="H18" i="42"/>
  <c r="M1120" i="36"/>
  <c r="I57" i="42"/>
  <c r="S304" i="36"/>
  <c r="S1133" i="36"/>
  <c r="M1122" i="36"/>
  <c r="G73" i="40"/>
  <c r="P151" i="36"/>
  <c r="R1216" i="36"/>
  <c r="R1173" i="36"/>
  <c r="H15" i="39"/>
  <c r="D17" i="42"/>
  <c r="S1189" i="36"/>
  <c r="C25" i="39"/>
  <c r="C784" i="39" s="1"/>
  <c r="I630" i="39"/>
  <c r="R1229" i="36"/>
  <c r="I701" i="39"/>
  <c r="S1091" i="36"/>
  <c r="M1121" i="36"/>
  <c r="I24" i="42"/>
  <c r="U1161" i="36"/>
  <c r="Q610" i="36"/>
  <c r="G21" i="42"/>
  <c r="S1187" i="36"/>
  <c r="S1049" i="36"/>
  <c r="I34" i="42"/>
  <c r="Q416" i="36"/>
  <c r="R284" i="36"/>
  <c r="H67" i="39"/>
  <c r="H69" i="39" s="1"/>
  <c r="M14" i="40"/>
  <c r="N1161" i="36"/>
  <c r="K24" i="42"/>
  <c r="Q1072" i="36"/>
  <c r="G15" i="42"/>
  <c r="P1093" i="36"/>
  <c r="F54" i="42"/>
  <c r="M43" i="40"/>
  <c r="H24" i="42"/>
  <c r="N1133" i="36"/>
  <c r="S973" i="36"/>
  <c r="M1131" i="36"/>
  <c r="H394" i="39"/>
  <c r="F15" i="44"/>
  <c r="G30" i="42"/>
  <c r="O1240" i="36"/>
  <c r="O304" i="36"/>
  <c r="E310" i="39"/>
  <c r="F845" i="39"/>
  <c r="K356" i="39"/>
  <c r="E53" i="43"/>
  <c r="E592" i="39"/>
  <c r="D630" i="39"/>
  <c r="H356" i="39"/>
  <c r="G141" i="39"/>
  <c r="C189" i="39"/>
  <c r="C703" i="39"/>
  <c r="E546" i="39"/>
  <c r="F16" i="44"/>
  <c r="F741" i="39"/>
  <c r="H741" i="39"/>
  <c r="H28" i="39"/>
  <c r="D356" i="39"/>
  <c r="F17" i="42"/>
  <c r="C403" i="39"/>
  <c r="G17" i="42"/>
  <c r="G541" i="39"/>
  <c r="H55" i="42"/>
  <c r="D703" i="39"/>
  <c r="F14" i="44"/>
  <c r="J826" i="39"/>
  <c r="J833" i="39" s="1"/>
  <c r="H826" i="39"/>
  <c r="H833" i="39" s="1"/>
  <c r="T1198" i="36"/>
  <c r="T1200" i="36" s="1"/>
  <c r="Q1256" i="36"/>
  <c r="Q1258" i="36" s="1"/>
  <c r="Q1247" i="36"/>
  <c r="H667" i="39"/>
  <c r="N1128" i="36"/>
  <c r="O1126" i="36"/>
  <c r="R1234" i="36"/>
  <c r="R1237" i="36"/>
  <c r="R1240" i="36" s="1"/>
  <c r="L72" i="40"/>
  <c r="L75" i="40" s="1"/>
  <c r="R1245" i="36"/>
  <c r="R151" i="36"/>
  <c r="U1189" i="36"/>
  <c r="T1189" i="36"/>
  <c r="H540" i="39"/>
  <c r="G19" i="42"/>
  <c r="Q304" i="36"/>
  <c r="J55" i="42"/>
  <c r="J186" i="39"/>
  <c r="P1120" i="36"/>
  <c r="F287" i="39"/>
  <c r="F787" i="39" s="1"/>
  <c r="P542" i="36"/>
  <c r="P584" i="36" s="1"/>
  <c r="S1232" i="36"/>
  <c r="I582" i="39"/>
  <c r="F53" i="43"/>
  <c r="G69" i="43"/>
  <c r="R943" i="36"/>
  <c r="P1133" i="36"/>
  <c r="G98" i="39"/>
  <c r="C20" i="43"/>
  <c r="L20" i="43" s="1"/>
  <c r="P1126" i="36"/>
  <c r="G31" i="43"/>
  <c r="M1132" i="36"/>
  <c r="H50" i="42"/>
  <c r="H141" i="39"/>
  <c r="H12" i="39"/>
  <c r="H770" i="39" s="1"/>
  <c r="K18" i="42"/>
  <c r="J21" i="42"/>
  <c r="T610" i="36"/>
  <c r="H30" i="42"/>
  <c r="F24" i="42"/>
  <c r="J287" i="39"/>
  <c r="J289" i="39" s="1"/>
  <c r="T542" i="36"/>
  <c r="R1250" i="36"/>
  <c r="R1017" i="36"/>
  <c r="H583" i="39"/>
  <c r="H840" i="39" s="1"/>
  <c r="M1133" i="36"/>
  <c r="S1192" i="36"/>
  <c r="R1203" i="36"/>
  <c r="Q1203" i="36"/>
  <c r="C141" i="39"/>
  <c r="P1161" i="36"/>
  <c r="P1051" i="36"/>
  <c r="P304" i="36"/>
  <c r="P306" i="36" s="1"/>
  <c r="F57" i="42"/>
  <c r="H775" i="39"/>
  <c r="K97" i="39"/>
  <c r="K98" i="39" s="1"/>
  <c r="U296" i="36"/>
  <c r="U59" i="36"/>
  <c r="U1133" i="36"/>
  <c r="J165" i="40"/>
  <c r="M164" i="40"/>
  <c r="J24" i="42"/>
  <c r="H839" i="39"/>
  <c r="G54" i="42"/>
  <c r="Q1093" i="36"/>
  <c r="S1193" i="36"/>
  <c r="Q1161" i="36"/>
  <c r="S1173" i="36"/>
  <c r="I444" i="39"/>
  <c r="J386" i="39"/>
  <c r="J777" i="39" s="1"/>
  <c r="H11" i="39"/>
  <c r="H769" i="39" s="1"/>
  <c r="J741" i="39"/>
  <c r="U1202" i="36"/>
  <c r="R910" i="36"/>
  <c r="R1195" i="36"/>
  <c r="R1212" i="36" s="1"/>
  <c r="Q1261" i="36"/>
  <c r="F13" i="44"/>
  <c r="D69" i="39"/>
  <c r="C630" i="39"/>
  <c r="K630" i="39"/>
  <c r="L15" i="43"/>
  <c r="H33" i="44"/>
  <c r="H18" i="44"/>
  <c r="F630" i="39"/>
  <c r="E543" i="39"/>
  <c r="E630" i="39"/>
  <c r="C589" i="39"/>
  <c r="C546" i="39" l="1"/>
  <c r="C455" i="39"/>
  <c r="D67" i="42"/>
  <c r="S1257" i="36"/>
  <c r="U1346" i="36"/>
  <c r="M1213" i="36"/>
  <c r="H400" i="39"/>
  <c r="H403" i="39" s="1"/>
  <c r="P1148" i="36"/>
  <c r="Q861" i="36"/>
  <c r="Q584" i="36"/>
  <c r="R584" i="36" s="1"/>
  <c r="S584" i="36" s="1"/>
  <c r="T584" i="36" s="1"/>
  <c r="U584" i="36" s="1"/>
  <c r="P590" i="36"/>
  <c r="P263" i="36"/>
  <c r="N1144" i="36"/>
  <c r="N954" i="36"/>
  <c r="N722" i="36"/>
  <c r="I437" i="39"/>
  <c r="I440" i="39" s="1"/>
  <c r="T738" i="36"/>
  <c r="U423" i="36"/>
  <c r="U424" i="36" s="1"/>
  <c r="U426" i="36" s="1"/>
  <c r="K63" i="42"/>
  <c r="R713" i="36"/>
  <c r="H67" i="42" s="1"/>
  <c r="S416" i="36"/>
  <c r="I186" i="39"/>
  <c r="I187" i="39" s="1"/>
  <c r="R416" i="36"/>
  <c r="R423" i="36" s="1"/>
  <c r="R424" i="36" s="1"/>
  <c r="R426" i="36" s="1"/>
  <c r="H186" i="39"/>
  <c r="H187" i="39" s="1"/>
  <c r="G186" i="39"/>
  <c r="G187" i="39" s="1"/>
  <c r="D405" i="39"/>
  <c r="C850" i="39"/>
  <c r="C408" i="39"/>
  <c r="C458" i="39"/>
  <c r="D408" i="39"/>
  <c r="C405" i="39"/>
  <c r="T416" i="36"/>
  <c r="T418" i="36" s="1"/>
  <c r="C778" i="39"/>
  <c r="H780" i="39"/>
  <c r="H787" i="39"/>
  <c r="G787" i="39"/>
  <c r="C49" i="43"/>
  <c r="C76" i="43" s="1"/>
  <c r="G784" i="39"/>
  <c r="I780" i="39"/>
  <c r="C787" i="39"/>
  <c r="G785" i="39"/>
  <c r="T1226" i="36"/>
  <c r="T1229" i="36" s="1"/>
  <c r="M13" i="40"/>
  <c r="M16" i="40" s="1"/>
  <c r="S1244" i="36"/>
  <c r="S1183" i="36"/>
  <c r="T1179" i="36"/>
  <c r="T1246" i="36"/>
  <c r="I395" i="39"/>
  <c r="I584" i="39"/>
  <c r="I841" i="39" s="1"/>
  <c r="K136" i="40"/>
  <c r="T265" i="36"/>
  <c r="U265" i="36"/>
  <c r="L13" i="44"/>
  <c r="L16" i="44"/>
  <c r="F543" i="39"/>
  <c r="F545" i="39" s="1"/>
  <c r="D589" i="39"/>
  <c r="D543" i="39"/>
  <c r="R974" i="36"/>
  <c r="R976" i="36" s="1"/>
  <c r="R1020" i="36"/>
  <c r="R1022" i="36" s="1"/>
  <c r="S974" i="36"/>
  <c r="S976" i="36" s="1"/>
  <c r="S1020" i="36"/>
  <c r="S1022" i="36" s="1"/>
  <c r="D310" i="39"/>
  <c r="J28" i="44"/>
  <c r="H28" i="44"/>
  <c r="L11" i="44"/>
  <c r="D47" i="42"/>
  <c r="J434" i="39"/>
  <c r="H390" i="39"/>
  <c r="H73" i="40"/>
  <c r="I73" i="40"/>
  <c r="H168" i="40"/>
  <c r="I168" i="40"/>
  <c r="H136" i="40"/>
  <c r="I136" i="40"/>
  <c r="G51" i="42"/>
  <c r="S580" i="36"/>
  <c r="S1125" i="36" s="1"/>
  <c r="I62" i="42"/>
  <c r="R580" i="36"/>
  <c r="R1125" i="36" s="1"/>
  <c r="H62" i="42"/>
  <c r="G62" i="42"/>
  <c r="G836" i="39"/>
  <c r="D836" i="39"/>
  <c r="C543" i="39"/>
  <c r="F356" i="39"/>
  <c r="F358" i="39" s="1"/>
  <c r="D792" i="39"/>
  <c r="E792" i="39"/>
  <c r="E795" i="39" s="1"/>
  <c r="D455" i="39"/>
  <c r="G440" i="39"/>
  <c r="I390" i="39"/>
  <c r="G390" i="39"/>
  <c r="G299" i="39"/>
  <c r="G308" i="39"/>
  <c r="D189" i="39"/>
  <c r="G279" i="39"/>
  <c r="F187" i="39"/>
  <c r="G177" i="39"/>
  <c r="H174" i="39"/>
  <c r="H177" i="39" s="1"/>
  <c r="J76" i="43"/>
  <c r="D33" i="39"/>
  <c r="E30" i="39"/>
  <c r="E33" i="39" s="1"/>
  <c r="C30" i="39"/>
  <c r="C33" i="39" s="1"/>
  <c r="G76" i="43"/>
  <c r="D43" i="45"/>
  <c r="F71" i="39"/>
  <c r="D17" i="44" s="1"/>
  <c r="F104" i="39"/>
  <c r="F106" i="39" s="1"/>
  <c r="G775" i="39"/>
  <c r="D16" i="45"/>
  <c r="D15" i="45"/>
  <c r="D37" i="45"/>
  <c r="L25" i="43"/>
  <c r="F289" i="39"/>
  <c r="D38" i="45"/>
  <c r="D44" i="45"/>
  <c r="D17" i="45"/>
  <c r="G845" i="39"/>
  <c r="D25" i="45"/>
  <c r="D18" i="45"/>
  <c r="C289" i="39"/>
  <c r="H14" i="44"/>
  <c r="L14" i="44" s="1"/>
  <c r="D19" i="45"/>
  <c r="D31" i="45"/>
  <c r="K73" i="40"/>
  <c r="J168" i="40"/>
  <c r="K168" i="40" s="1"/>
  <c r="K165" i="40"/>
  <c r="E47" i="40"/>
  <c r="P574" i="36"/>
  <c r="Q951" i="36"/>
  <c r="Q580" i="36"/>
  <c r="R945" i="36"/>
  <c r="U635" i="36"/>
  <c r="U715" i="36"/>
  <c r="U717" i="36" s="1"/>
  <c r="Q715" i="36"/>
  <c r="R635" i="36"/>
  <c r="R715" i="36"/>
  <c r="R717" i="36" s="1"/>
  <c r="R719" i="36" s="1"/>
  <c r="T635" i="36"/>
  <c r="T715" i="36"/>
  <c r="T717" i="36" s="1"/>
  <c r="S635" i="36"/>
  <c r="S715" i="36"/>
  <c r="S717" i="36" s="1"/>
  <c r="U574" i="36"/>
  <c r="T574" i="36"/>
  <c r="J21" i="39"/>
  <c r="J780" i="39" s="1"/>
  <c r="Q374" i="36"/>
  <c r="T374" i="36"/>
  <c r="P1095" i="36"/>
  <c r="Q1122" i="36"/>
  <c r="Q1160" i="36"/>
  <c r="Q1163" i="36" s="1"/>
  <c r="N1130" i="36"/>
  <c r="Q263" i="36"/>
  <c r="N269" i="36"/>
  <c r="R61" i="36"/>
  <c r="R263" i="36"/>
  <c r="S177" i="36"/>
  <c r="S253" i="36"/>
  <c r="Q59" i="36"/>
  <c r="S55" i="36"/>
  <c r="T177" i="36"/>
  <c r="J698" i="39"/>
  <c r="J701" i="39" s="1"/>
  <c r="K698" i="39"/>
  <c r="T1251" i="36"/>
  <c r="T910" i="36"/>
  <c r="N71" i="40"/>
  <c r="O1125" i="36"/>
  <c r="D49" i="43"/>
  <c r="D76" i="43" s="1"/>
  <c r="N1125" i="36"/>
  <c r="P1130" i="36"/>
  <c r="O1130" i="36"/>
  <c r="F743" i="39"/>
  <c r="K663" i="39"/>
  <c r="K665" i="39" s="1"/>
  <c r="F669" i="39"/>
  <c r="D592" i="39"/>
  <c r="D593" i="39"/>
  <c r="D546" i="39"/>
  <c r="D20" i="45"/>
  <c r="D72" i="39"/>
  <c r="N1140" i="36"/>
  <c r="N1163" i="36"/>
  <c r="H12" i="42"/>
  <c r="N104" i="40"/>
  <c r="I26" i="43"/>
  <c r="I37" i="43" s="1"/>
  <c r="H20" i="44"/>
  <c r="N1151" i="36"/>
  <c r="N1027" i="36"/>
  <c r="N1166" i="36"/>
  <c r="N1029" i="36"/>
  <c r="N1127" i="36"/>
  <c r="N1142" i="36"/>
  <c r="N1139" i="36"/>
  <c r="N289" i="36"/>
  <c r="N1141" i="36"/>
  <c r="S89" i="36"/>
  <c r="K30" i="43"/>
  <c r="L30" i="43" s="1"/>
  <c r="U177" i="36"/>
  <c r="K101" i="39"/>
  <c r="K102" i="39" s="1"/>
  <c r="T302" i="36"/>
  <c r="T304" i="36" s="1"/>
  <c r="J101" i="39"/>
  <c r="J102" i="39" s="1"/>
  <c r="J104" i="39" s="1"/>
  <c r="K393" i="39"/>
  <c r="J539" i="39"/>
  <c r="O12" i="40"/>
  <c r="I539" i="39"/>
  <c r="M1160" i="36"/>
  <c r="M1163" i="36" s="1"/>
  <c r="T1185" i="36"/>
  <c r="M134" i="40"/>
  <c r="M136" i="40" s="1"/>
  <c r="S215" i="36"/>
  <c r="N134" i="40"/>
  <c r="J630" i="39"/>
  <c r="M108" i="40"/>
  <c r="H57" i="42"/>
  <c r="P1213" i="36"/>
  <c r="D36" i="42"/>
  <c r="G667" i="39"/>
  <c r="H15" i="44"/>
  <c r="L15" i="44" s="1"/>
  <c r="G703" i="39"/>
  <c r="S209" i="36"/>
  <c r="I394" i="39"/>
  <c r="M1126" i="36"/>
  <c r="O74" i="40"/>
  <c r="K28" i="39" s="1"/>
  <c r="C36" i="42"/>
  <c r="G543" i="39"/>
  <c r="R328" i="36"/>
  <c r="R1122" i="36" s="1"/>
  <c r="S318" i="36"/>
  <c r="I310" i="39"/>
  <c r="I312" i="39" s="1"/>
  <c r="T215" i="36"/>
  <c r="T217" i="36" s="1"/>
  <c r="H578" i="39"/>
  <c r="I25" i="39"/>
  <c r="I784" i="39" s="1"/>
  <c r="L73" i="43"/>
  <c r="P1150" i="36"/>
  <c r="S708" i="36"/>
  <c r="G630" i="39"/>
  <c r="J393" i="39"/>
  <c r="F33" i="44"/>
  <c r="L33" i="44" s="1"/>
  <c r="K310" i="39"/>
  <c r="K312" i="39" s="1"/>
  <c r="G589" i="39"/>
  <c r="L64" i="43"/>
  <c r="J537" i="39"/>
  <c r="S1126" i="36"/>
  <c r="U1070" i="36"/>
  <c r="F49" i="43"/>
  <c r="F76" i="43" s="1"/>
  <c r="R1132" i="36"/>
  <c r="L16" i="40"/>
  <c r="N133" i="40"/>
  <c r="G356" i="39"/>
  <c r="M1128" i="36"/>
  <c r="E37" i="43"/>
  <c r="I667" i="39"/>
  <c r="O133" i="40"/>
  <c r="O132" i="40"/>
  <c r="H26" i="39"/>
  <c r="H785" i="39" s="1"/>
  <c r="I11" i="39"/>
  <c r="I769" i="39" s="1"/>
  <c r="H12" i="44"/>
  <c r="L12" i="44" s="1"/>
  <c r="N1213" i="36"/>
  <c r="O1213" i="36"/>
  <c r="I538" i="39"/>
  <c r="K443" i="39"/>
  <c r="H587" i="39"/>
  <c r="C37" i="43"/>
  <c r="G69" i="39"/>
  <c r="H17" i="44"/>
  <c r="L17" i="44" s="1"/>
  <c r="O14" i="40"/>
  <c r="N14" i="40"/>
  <c r="U973" i="36"/>
  <c r="T973" i="36"/>
  <c r="J584" i="39"/>
  <c r="J841" i="39" s="1"/>
  <c r="K584" i="39"/>
  <c r="K841" i="39" s="1"/>
  <c r="I67" i="39"/>
  <c r="I69" i="39" s="1"/>
  <c r="S284" i="36"/>
  <c r="S1161" i="36"/>
  <c r="U1187" i="36"/>
  <c r="T1187" i="36"/>
  <c r="Q1126" i="36"/>
  <c r="S1093" i="36"/>
  <c r="I54" i="42"/>
  <c r="G75" i="40"/>
  <c r="F27" i="39"/>
  <c r="F786" i="39" s="1"/>
  <c r="J383" i="39"/>
  <c r="K383" i="39"/>
  <c r="K396" i="39"/>
  <c r="J396" i="39"/>
  <c r="S1072" i="36"/>
  <c r="I15" i="42"/>
  <c r="I578" i="39"/>
  <c r="I579" i="39" s="1"/>
  <c r="N43" i="40"/>
  <c r="T110" i="36"/>
  <c r="P1132" i="36"/>
  <c r="Q1131" i="36"/>
  <c r="Q1074" i="36"/>
  <c r="R286" i="36"/>
  <c r="H56" i="42"/>
  <c r="G21" i="39"/>
  <c r="T1091" i="36"/>
  <c r="T55" i="36"/>
  <c r="I15" i="39"/>
  <c r="Q1120" i="36"/>
  <c r="J659" i="39"/>
  <c r="J660" i="39" s="1"/>
  <c r="J667" i="39" s="1"/>
  <c r="T1057" i="36"/>
  <c r="J444" i="39"/>
  <c r="S110" i="36"/>
  <c r="I703" i="39"/>
  <c r="O1121" i="36"/>
  <c r="S1121" i="36"/>
  <c r="R1131" i="36"/>
  <c r="M44" i="40"/>
  <c r="M47" i="40" s="1"/>
  <c r="E312" i="39"/>
  <c r="C847" i="39"/>
  <c r="H845" i="39"/>
  <c r="L69" i="43"/>
  <c r="K570" i="39"/>
  <c r="K576" i="39" s="1"/>
  <c r="U1198" i="36"/>
  <c r="U1200" i="36" s="1"/>
  <c r="G27" i="39"/>
  <c r="K19" i="42"/>
  <c r="U304" i="36"/>
  <c r="J310" i="39"/>
  <c r="I583" i="39"/>
  <c r="I840" i="39" s="1"/>
  <c r="S1250" i="36"/>
  <c r="F316" i="39"/>
  <c r="R1256" i="36"/>
  <c r="R1247" i="36"/>
  <c r="L165" i="40"/>
  <c r="L168" i="40" s="1"/>
  <c r="M72" i="40"/>
  <c r="S1245" i="36"/>
  <c r="S151" i="36"/>
  <c r="M1127" i="36"/>
  <c r="H541" i="39"/>
  <c r="F314" i="39"/>
  <c r="L31" i="43"/>
  <c r="Q612" i="36"/>
  <c r="P1145" i="36"/>
  <c r="J582" i="39"/>
  <c r="T1232" i="36"/>
  <c r="T1234" i="36" s="1"/>
  <c r="K386" i="39"/>
  <c r="K777" i="39" s="1"/>
  <c r="N1123" i="36"/>
  <c r="I141" i="39"/>
  <c r="T1173" i="36"/>
  <c r="K21" i="39"/>
  <c r="K780" i="39" s="1"/>
  <c r="Q1051" i="36"/>
  <c r="P1167" i="36"/>
  <c r="Q1213" i="36"/>
  <c r="T1192" i="36"/>
  <c r="R1252" i="36"/>
  <c r="R1255" i="36"/>
  <c r="F317" i="39"/>
  <c r="F499" i="39"/>
  <c r="F18" i="44"/>
  <c r="L18" i="44" s="1"/>
  <c r="U1181" i="36"/>
  <c r="K57" i="42"/>
  <c r="I839" i="39"/>
  <c r="S1237" i="36"/>
  <c r="S1240" i="36" s="1"/>
  <c r="S1234" i="36"/>
  <c r="J187" i="39"/>
  <c r="M1123" i="36"/>
  <c r="I540" i="39"/>
  <c r="I787" i="39" s="1"/>
  <c r="R1196" i="36"/>
  <c r="T1193" i="36"/>
  <c r="Q1132" i="36"/>
  <c r="J356" i="39"/>
  <c r="P1121" i="36"/>
  <c r="H71" i="42"/>
  <c r="F319" i="39"/>
  <c r="T1126" i="36"/>
  <c r="I12" i="39"/>
  <c r="I770" i="39" s="1"/>
  <c r="Q1115" i="36"/>
  <c r="P1152" i="36"/>
  <c r="P289" i="36"/>
  <c r="Q288" i="36"/>
  <c r="P1139" i="36"/>
  <c r="Q1121" i="36"/>
  <c r="L53" i="43"/>
  <c r="N13" i="40"/>
  <c r="G104" i="39"/>
  <c r="S943" i="36"/>
  <c r="S1195" i="36"/>
  <c r="S1212" i="36" s="1"/>
  <c r="S1017" i="36"/>
  <c r="T89" i="36"/>
  <c r="H312" i="39"/>
  <c r="F632" i="39"/>
  <c r="F705" i="39"/>
  <c r="I845" i="39" l="1"/>
  <c r="I400" i="39"/>
  <c r="I403" i="39" s="1"/>
  <c r="E800" i="39"/>
  <c r="U1251" i="36"/>
  <c r="H405" i="39"/>
  <c r="Q1148" i="36"/>
  <c r="R861" i="36"/>
  <c r="R590" i="36"/>
  <c r="J437" i="39"/>
  <c r="J440" i="39" s="1"/>
  <c r="K387" i="39"/>
  <c r="K390" i="39" s="1"/>
  <c r="J387" i="39"/>
  <c r="J390" i="39" s="1"/>
  <c r="U738" i="36"/>
  <c r="J24" i="44"/>
  <c r="L24" i="44" s="1"/>
  <c r="J63" i="42"/>
  <c r="T423" i="36"/>
  <c r="T424" i="36" s="1"/>
  <c r="T426" i="36" s="1"/>
  <c r="G545" i="39"/>
  <c r="G546" i="39" s="1"/>
  <c r="K434" i="39"/>
  <c r="H63" i="42"/>
  <c r="R418" i="36"/>
  <c r="S713" i="36"/>
  <c r="I67" i="42" s="1"/>
  <c r="S719" i="36"/>
  <c r="S1127" i="36" s="1"/>
  <c r="G405" i="39"/>
  <c r="G780" i="39"/>
  <c r="G30" i="39"/>
  <c r="H8" i="44" s="1"/>
  <c r="U1226" i="36"/>
  <c r="U1229" i="36" s="1"/>
  <c r="U1246" i="36"/>
  <c r="T1244" i="36"/>
  <c r="T1183" i="36"/>
  <c r="U1179" i="36"/>
  <c r="S1024" i="36"/>
  <c r="K395" i="39"/>
  <c r="D312" i="39"/>
  <c r="R1024" i="36"/>
  <c r="J395" i="39"/>
  <c r="T1020" i="36"/>
  <c r="T1022" i="36" s="1"/>
  <c r="U1020" i="36"/>
  <c r="U1022" i="36" s="1"/>
  <c r="H29" i="42"/>
  <c r="H835" i="39"/>
  <c r="H836" i="39" s="1"/>
  <c r="H847" i="39" s="1"/>
  <c r="H579" i="39"/>
  <c r="G29" i="42"/>
  <c r="L20" i="44"/>
  <c r="G71" i="39"/>
  <c r="G72" i="39" s="1"/>
  <c r="L28" i="44"/>
  <c r="U974" i="36"/>
  <c r="T974" i="36"/>
  <c r="L32" i="44"/>
  <c r="Q423" i="36"/>
  <c r="Q424" i="36" s="1"/>
  <c r="G63" i="42"/>
  <c r="S423" i="36"/>
  <c r="S424" i="36" s="1"/>
  <c r="S426" i="36" s="1"/>
  <c r="I63" i="42"/>
  <c r="F47" i="42"/>
  <c r="F20" i="45"/>
  <c r="F72" i="39"/>
  <c r="D35" i="39"/>
  <c r="H9" i="42"/>
  <c r="F62" i="42"/>
  <c r="D847" i="39"/>
  <c r="H75" i="40"/>
  <c r="I75" i="40"/>
  <c r="R951" i="36"/>
  <c r="H51" i="42"/>
  <c r="U580" i="36"/>
  <c r="U1125" i="36" s="1"/>
  <c r="K62" i="42"/>
  <c r="T580" i="36"/>
  <c r="T1125" i="36" s="1"/>
  <c r="J62" i="42"/>
  <c r="D795" i="39"/>
  <c r="C792" i="39"/>
  <c r="C781" i="39"/>
  <c r="G310" i="39"/>
  <c r="H23" i="44" s="1"/>
  <c r="C310" i="39"/>
  <c r="G847" i="39"/>
  <c r="C35" i="39"/>
  <c r="D20" i="44"/>
  <c r="D16" i="44"/>
  <c r="N16" i="44" s="1"/>
  <c r="G499" i="39"/>
  <c r="F310" i="39"/>
  <c r="D14" i="44"/>
  <c r="N14" i="44" s="1"/>
  <c r="K75" i="40"/>
  <c r="Q418" i="36"/>
  <c r="P580" i="36"/>
  <c r="Q717" i="36"/>
  <c r="S945" i="36"/>
  <c r="T744" i="36"/>
  <c r="I29" i="42"/>
  <c r="S418" i="36"/>
  <c r="Q1125" i="36"/>
  <c r="Q265" i="36"/>
  <c r="P269" i="36"/>
  <c r="N105" i="40"/>
  <c r="N108" i="40" s="1"/>
  <c r="S61" i="36"/>
  <c r="T61" i="36"/>
  <c r="T1257" i="36"/>
  <c r="Q61" i="36"/>
  <c r="T253" i="36"/>
  <c r="F17" i="45"/>
  <c r="J29" i="42"/>
  <c r="P1144" i="36"/>
  <c r="P953" i="36"/>
  <c r="N1149" i="36"/>
  <c r="Q1130" i="36"/>
  <c r="D9" i="45"/>
  <c r="D47" i="45" s="1"/>
  <c r="G743" i="39"/>
  <c r="F19" i="45"/>
  <c r="G669" i="39"/>
  <c r="H33" i="42"/>
  <c r="F25" i="45"/>
  <c r="G358" i="39"/>
  <c r="O71" i="40"/>
  <c r="K444" i="39"/>
  <c r="M165" i="40"/>
  <c r="J25" i="39"/>
  <c r="J784" i="39" s="1"/>
  <c r="Q1095" i="36"/>
  <c r="J57" i="42"/>
  <c r="N1169" i="36"/>
  <c r="N1146" i="36"/>
  <c r="O104" i="40"/>
  <c r="K104" i="39"/>
  <c r="K539" i="39"/>
  <c r="N136" i="40"/>
  <c r="S217" i="36"/>
  <c r="S263" i="36" s="1"/>
  <c r="J134" i="39"/>
  <c r="J141" i="39" s="1"/>
  <c r="J394" i="39"/>
  <c r="T318" i="36"/>
  <c r="S328" i="36"/>
  <c r="I12" i="42"/>
  <c r="U215" i="36"/>
  <c r="O134" i="40"/>
  <c r="O136" i="40" s="1"/>
  <c r="E38" i="39"/>
  <c r="T708" i="36"/>
  <c r="C38" i="39"/>
  <c r="U209" i="36"/>
  <c r="C74" i="42"/>
  <c r="K53" i="42"/>
  <c r="N44" i="40"/>
  <c r="N47" i="40" s="1"/>
  <c r="R1258" i="36"/>
  <c r="J538" i="39"/>
  <c r="U910" i="36"/>
  <c r="K537" i="39"/>
  <c r="N17" i="44"/>
  <c r="U1057" i="36"/>
  <c r="K659" i="39"/>
  <c r="K660" i="39" s="1"/>
  <c r="T1093" i="36"/>
  <c r="J54" i="42"/>
  <c r="I835" i="39"/>
  <c r="I836" i="39" s="1"/>
  <c r="S1132" i="36"/>
  <c r="T284" i="36"/>
  <c r="J67" i="39"/>
  <c r="J69" i="39" s="1"/>
  <c r="I33" i="42"/>
  <c r="S1131" i="36"/>
  <c r="S286" i="36"/>
  <c r="I56" i="42"/>
  <c r="T1121" i="36"/>
  <c r="K10" i="43"/>
  <c r="P1151" i="36"/>
  <c r="T1237" i="36"/>
  <c r="T1240" i="36" s="1"/>
  <c r="J11" i="39"/>
  <c r="J769" i="39" s="1"/>
  <c r="J15" i="39"/>
  <c r="R1120" i="36"/>
  <c r="J578" i="39"/>
  <c r="J579" i="39" s="1"/>
  <c r="K65" i="43"/>
  <c r="M1119" i="36"/>
  <c r="J703" i="39"/>
  <c r="J15" i="42"/>
  <c r="T1072" i="36"/>
  <c r="K701" i="39"/>
  <c r="U1091" i="36"/>
  <c r="R1074" i="36"/>
  <c r="Q1150" i="36"/>
  <c r="O43" i="40"/>
  <c r="K578" i="39"/>
  <c r="K835" i="39" s="1"/>
  <c r="K394" i="39"/>
  <c r="K826" i="39"/>
  <c r="K833" i="39" s="1"/>
  <c r="E49" i="43"/>
  <c r="I71" i="42"/>
  <c r="G319" i="39"/>
  <c r="N72" i="40"/>
  <c r="N75" i="40" s="1"/>
  <c r="T1245" i="36"/>
  <c r="T1256" i="36" s="1"/>
  <c r="T151" i="36"/>
  <c r="F16" i="45"/>
  <c r="D13" i="44"/>
  <c r="N13" i="44" s="1"/>
  <c r="U1232" i="36"/>
  <c r="U1234" i="36" s="1"/>
  <c r="K582" i="39"/>
  <c r="S1196" i="36"/>
  <c r="P1140" i="36"/>
  <c r="P307" i="36"/>
  <c r="Q306" i="36"/>
  <c r="D74" i="42"/>
  <c r="Q1145" i="36"/>
  <c r="R612" i="36"/>
  <c r="S1252" i="36"/>
  <c r="S1255" i="36"/>
  <c r="G106" i="39"/>
  <c r="G21" i="45" s="1"/>
  <c r="O13" i="40"/>
  <c r="G316" i="39"/>
  <c r="J839" i="39"/>
  <c r="M75" i="40"/>
  <c r="I26" i="39"/>
  <c r="I785" i="39" s="1"/>
  <c r="K134" i="39"/>
  <c r="U318" i="36"/>
  <c r="Q289" i="36"/>
  <c r="Q1139" i="36"/>
  <c r="R288" i="36"/>
  <c r="K12" i="39"/>
  <c r="K770" i="39" s="1"/>
  <c r="J12" i="39"/>
  <c r="J770" i="39" s="1"/>
  <c r="R1127" i="36"/>
  <c r="R1213" i="36"/>
  <c r="K540" i="39"/>
  <c r="K787" i="39" s="1"/>
  <c r="J540" i="39"/>
  <c r="J787" i="39" s="1"/>
  <c r="G317" i="39"/>
  <c r="U1192" i="36"/>
  <c r="N1119" i="36"/>
  <c r="R1051" i="36"/>
  <c r="Q1167" i="36"/>
  <c r="U1173" i="36"/>
  <c r="T1250" i="36"/>
  <c r="T1252" i="36" s="1"/>
  <c r="J583" i="39"/>
  <c r="J840" i="39" s="1"/>
  <c r="S1256" i="36"/>
  <c r="S1247" i="36"/>
  <c r="J312" i="39"/>
  <c r="N16" i="40"/>
  <c r="Q1152" i="36"/>
  <c r="R1115" i="36"/>
  <c r="U1193" i="36"/>
  <c r="D18" i="44"/>
  <c r="N18" i="44" s="1"/>
  <c r="F107" i="39"/>
  <c r="F21" i="45"/>
  <c r="Q590" i="36"/>
  <c r="G314" i="39"/>
  <c r="H543" i="39"/>
  <c r="H27" i="39"/>
  <c r="O105" i="40"/>
  <c r="U1121" i="36"/>
  <c r="U89" i="36"/>
  <c r="T1195" i="36"/>
  <c r="T1212" i="36" s="1"/>
  <c r="U708" i="36"/>
  <c r="T943" i="36"/>
  <c r="I587" i="39"/>
  <c r="T1017" i="36"/>
  <c r="I541" i="39"/>
  <c r="G632" i="39"/>
  <c r="F44" i="45"/>
  <c r="D33" i="44"/>
  <c r="N33" i="44" s="1"/>
  <c r="D15" i="44"/>
  <c r="N15" i="44" s="1"/>
  <c r="F18" i="45"/>
  <c r="G705" i="39"/>
  <c r="F546" i="39"/>
  <c r="F15" i="45"/>
  <c r="D12" i="44"/>
  <c r="U1257" i="36" l="1"/>
  <c r="J400" i="39"/>
  <c r="J403" i="39" s="1"/>
  <c r="J405" i="39" s="1"/>
  <c r="D800" i="39"/>
  <c r="C795" i="39"/>
  <c r="K400" i="39"/>
  <c r="K403" i="39" s="1"/>
  <c r="K405" i="39" s="1"/>
  <c r="U55" i="36"/>
  <c r="S861" i="36"/>
  <c r="R1148" i="36"/>
  <c r="N272" i="36"/>
  <c r="P271" i="36"/>
  <c r="K437" i="39"/>
  <c r="K440" i="39" s="1"/>
  <c r="T1024" i="36"/>
  <c r="U719" i="36"/>
  <c r="U1127" i="36" s="1"/>
  <c r="U713" i="36"/>
  <c r="K67" i="42" s="1"/>
  <c r="T713" i="36"/>
  <c r="J67" i="42" s="1"/>
  <c r="I405" i="39"/>
  <c r="U1244" i="36"/>
  <c r="M1135" i="36"/>
  <c r="U1183" i="36"/>
  <c r="G20" i="45"/>
  <c r="H71" i="39"/>
  <c r="T976" i="36"/>
  <c r="U976" i="36"/>
  <c r="K579" i="39"/>
  <c r="D797" i="39"/>
  <c r="L23" i="44"/>
  <c r="N12" i="44"/>
  <c r="J9" i="42"/>
  <c r="I9" i="42"/>
  <c r="G312" i="39"/>
  <c r="K836" i="39"/>
  <c r="S951" i="36"/>
  <c r="I51" i="42"/>
  <c r="G16" i="45"/>
  <c r="H499" i="39"/>
  <c r="I499" i="39" s="1"/>
  <c r="C312" i="39"/>
  <c r="H30" i="39"/>
  <c r="G17" i="45"/>
  <c r="H743" i="39"/>
  <c r="I743" i="39" s="1"/>
  <c r="F312" i="39"/>
  <c r="N20" i="44"/>
  <c r="G25" i="45"/>
  <c r="I27" i="39"/>
  <c r="M168" i="40"/>
  <c r="Q719" i="36"/>
  <c r="P954" i="36"/>
  <c r="Q426" i="36"/>
  <c r="T945" i="36"/>
  <c r="J30" i="42"/>
  <c r="U744" i="36"/>
  <c r="K30" i="42" s="1"/>
  <c r="T719" i="36"/>
  <c r="T1127" i="36" s="1"/>
  <c r="G9" i="42"/>
  <c r="N1135" i="36"/>
  <c r="P1149" i="36"/>
  <c r="T263" i="36"/>
  <c r="U253" i="36"/>
  <c r="G19" i="45"/>
  <c r="H358" i="39"/>
  <c r="I358" i="39" s="1"/>
  <c r="Q953" i="36"/>
  <c r="K29" i="42"/>
  <c r="Q1144" i="36"/>
  <c r="H669" i="39"/>
  <c r="H17" i="45" s="1"/>
  <c r="P1125" i="36"/>
  <c r="D38" i="39"/>
  <c r="R1130" i="36"/>
  <c r="D850" i="39"/>
  <c r="N1138" i="36"/>
  <c r="N165" i="40"/>
  <c r="Q1151" i="36"/>
  <c r="R1095" i="36"/>
  <c r="S1095" i="36" s="1"/>
  <c r="T328" i="36"/>
  <c r="O108" i="40"/>
  <c r="K25" i="39"/>
  <c r="K784" i="39" s="1"/>
  <c r="R1160" i="36"/>
  <c r="R1163" i="36" s="1"/>
  <c r="J12" i="42"/>
  <c r="H589" i="39"/>
  <c r="U217" i="36"/>
  <c r="S1122" i="36"/>
  <c r="O44" i="40"/>
  <c r="O47" i="40" s="1"/>
  <c r="K538" i="39"/>
  <c r="U1237" i="36"/>
  <c r="U1240" i="36" s="1"/>
  <c r="K15" i="39"/>
  <c r="R1150" i="36"/>
  <c r="S1074" i="36"/>
  <c r="K67" i="39"/>
  <c r="K69" i="39" s="1"/>
  <c r="U284" i="36"/>
  <c r="K667" i="39"/>
  <c r="K703" i="39"/>
  <c r="U110" i="36"/>
  <c r="L65" i="43"/>
  <c r="K15" i="42"/>
  <c r="U1072" i="36"/>
  <c r="K54" i="42"/>
  <c r="U1093" i="36"/>
  <c r="T1131" i="36"/>
  <c r="J835" i="39"/>
  <c r="J836" i="39" s="1"/>
  <c r="S1120" i="36"/>
  <c r="J56" i="42"/>
  <c r="T286" i="36"/>
  <c r="T1132" i="36"/>
  <c r="H106" i="39"/>
  <c r="K11" i="39"/>
  <c r="K769" i="39" s="1"/>
  <c r="U943" i="36"/>
  <c r="G107" i="39"/>
  <c r="J587" i="39"/>
  <c r="J845" i="39"/>
  <c r="T1247" i="36"/>
  <c r="H314" i="39"/>
  <c r="S1115" i="36"/>
  <c r="R1152" i="36"/>
  <c r="K12" i="42"/>
  <c r="U328" i="36"/>
  <c r="K839" i="39"/>
  <c r="I543" i="39"/>
  <c r="I847" i="39"/>
  <c r="H317" i="39"/>
  <c r="U1250" i="36"/>
  <c r="U1252" i="36" s="1"/>
  <c r="K583" i="39"/>
  <c r="K840" i="39" s="1"/>
  <c r="T1196" i="36"/>
  <c r="U1245" i="36"/>
  <c r="U1256" i="36" s="1"/>
  <c r="O72" i="40"/>
  <c r="O75" i="40" s="1"/>
  <c r="U151" i="36"/>
  <c r="J541" i="39"/>
  <c r="R289" i="36"/>
  <c r="R1139" i="36"/>
  <c r="S288" i="36"/>
  <c r="H316" i="39"/>
  <c r="S612" i="36"/>
  <c r="R1145" i="36"/>
  <c r="Q1140" i="36"/>
  <c r="R306" i="36"/>
  <c r="Q307" i="36"/>
  <c r="S1213" i="36"/>
  <c r="J71" i="42"/>
  <c r="I589" i="39"/>
  <c r="S1051" i="36"/>
  <c r="R1167" i="36"/>
  <c r="K141" i="39"/>
  <c r="O16" i="40"/>
  <c r="H319" i="39"/>
  <c r="S1160" i="36"/>
  <c r="S1163" i="36" s="1"/>
  <c r="J26" i="39"/>
  <c r="J785" i="39" s="1"/>
  <c r="T1255" i="36"/>
  <c r="T1258" i="36" s="1"/>
  <c r="U1195" i="36"/>
  <c r="U1212" i="36" s="1"/>
  <c r="S1258" i="36"/>
  <c r="U1017" i="36"/>
  <c r="U1024" i="36" s="1"/>
  <c r="G15" i="45"/>
  <c r="H545" i="39"/>
  <c r="H705" i="39"/>
  <c r="G18" i="45"/>
  <c r="H632" i="39"/>
  <c r="G44" i="45"/>
  <c r="C797" i="39" l="1"/>
  <c r="C800" i="39"/>
  <c r="U61" i="36"/>
  <c r="K9" i="42" s="1"/>
  <c r="P272" i="36"/>
  <c r="S1148" i="36"/>
  <c r="T861" i="36"/>
  <c r="S1130" i="36"/>
  <c r="I71" i="39"/>
  <c r="J71" i="39" s="1"/>
  <c r="H72" i="39"/>
  <c r="I106" i="39"/>
  <c r="I21" i="45" s="1"/>
  <c r="H107" i="39"/>
  <c r="H20" i="45"/>
  <c r="J33" i="42"/>
  <c r="K33" i="42"/>
  <c r="H16" i="45"/>
  <c r="T951" i="36"/>
  <c r="J51" i="42"/>
  <c r="I30" i="39"/>
  <c r="F321" i="39"/>
  <c r="H19" i="45"/>
  <c r="J27" i="39"/>
  <c r="N168" i="40"/>
  <c r="Q954" i="36"/>
  <c r="Q1127" i="36"/>
  <c r="U945" i="36"/>
  <c r="H25" i="45"/>
  <c r="N1154" i="36"/>
  <c r="Q1149" i="36"/>
  <c r="U263" i="36"/>
  <c r="I669" i="39"/>
  <c r="I17" i="45" s="1"/>
  <c r="R953" i="36"/>
  <c r="R1144" i="36"/>
  <c r="R1151" i="36"/>
  <c r="T1122" i="36"/>
  <c r="K541" i="39"/>
  <c r="H21" i="45"/>
  <c r="U1255" i="36"/>
  <c r="U1258" i="36" s="1"/>
  <c r="J847" i="39"/>
  <c r="J589" i="39"/>
  <c r="T1120" i="36"/>
  <c r="U1131" i="36"/>
  <c r="U286" i="36"/>
  <c r="K56" i="42"/>
  <c r="S1150" i="36"/>
  <c r="T1074" i="36"/>
  <c r="U1132" i="36"/>
  <c r="K26" i="39"/>
  <c r="K785" i="39" s="1"/>
  <c r="U1247" i="36"/>
  <c r="I319" i="39"/>
  <c r="S306" i="36"/>
  <c r="R1140" i="36"/>
  <c r="R307" i="36"/>
  <c r="T1115" i="36"/>
  <c r="S1152" i="36"/>
  <c r="O165" i="40"/>
  <c r="O168" i="40" s="1"/>
  <c r="T1160" i="36"/>
  <c r="T1163" i="36" s="1"/>
  <c r="S289" i="36"/>
  <c r="S1139" i="36"/>
  <c r="T288" i="36"/>
  <c r="J543" i="39"/>
  <c r="T1213" i="36"/>
  <c r="S590" i="36"/>
  <c r="I314" i="39"/>
  <c r="K71" i="42"/>
  <c r="T1095" i="36"/>
  <c r="S1151" i="36"/>
  <c r="I317" i="39"/>
  <c r="U1196" i="36"/>
  <c r="S1167" i="36"/>
  <c r="T1051" i="36"/>
  <c r="S1145" i="36"/>
  <c r="T612" i="36"/>
  <c r="I316" i="39"/>
  <c r="U1122" i="36"/>
  <c r="K845" i="39"/>
  <c r="K587" i="39"/>
  <c r="H44" i="45"/>
  <c r="I632" i="39"/>
  <c r="J499" i="39"/>
  <c r="I16" i="45"/>
  <c r="J743" i="39"/>
  <c r="I19" i="45"/>
  <c r="H18" i="45"/>
  <c r="I705" i="39"/>
  <c r="J358" i="39"/>
  <c r="I25" i="45"/>
  <c r="H15" i="45"/>
  <c r="I545" i="39"/>
  <c r="H546" i="39"/>
  <c r="T1148" i="36" l="1"/>
  <c r="U861" i="36"/>
  <c r="J106" i="39"/>
  <c r="K106" i="39" s="1"/>
  <c r="I107" i="39"/>
  <c r="I20" i="45"/>
  <c r="I72" i="39"/>
  <c r="T1130" i="36"/>
  <c r="U951" i="36"/>
  <c r="K51" i="42"/>
  <c r="J30" i="39"/>
  <c r="F30" i="45"/>
  <c r="D23" i="44"/>
  <c r="N23" i="44" s="1"/>
  <c r="G321" i="39"/>
  <c r="R1149" i="36"/>
  <c r="R954" i="36"/>
  <c r="J669" i="39"/>
  <c r="J17" i="45" s="1"/>
  <c r="S953" i="36"/>
  <c r="S1144" i="36"/>
  <c r="K543" i="39"/>
  <c r="U1120" i="36"/>
  <c r="U1074" i="36"/>
  <c r="T1150" i="36"/>
  <c r="K27" i="39"/>
  <c r="T1152" i="36"/>
  <c r="U1115" i="36"/>
  <c r="K589" i="39"/>
  <c r="J317" i="39"/>
  <c r="U1095" i="36"/>
  <c r="T1151" i="36"/>
  <c r="T590" i="36"/>
  <c r="J314" i="39"/>
  <c r="T289" i="36"/>
  <c r="T1139" i="36"/>
  <c r="U288" i="36"/>
  <c r="S307" i="36"/>
  <c r="T306" i="36"/>
  <c r="S1140" i="36"/>
  <c r="U1051" i="36"/>
  <c r="T1167" i="36"/>
  <c r="U1213" i="36"/>
  <c r="J319" i="39"/>
  <c r="K847" i="39"/>
  <c r="J316" i="39"/>
  <c r="U612" i="36"/>
  <c r="T1145" i="36"/>
  <c r="U1160" i="36"/>
  <c r="U1163" i="36" s="1"/>
  <c r="J72" i="39"/>
  <c r="K71" i="39"/>
  <c r="J20" i="45"/>
  <c r="J632" i="39"/>
  <c r="I44" i="45"/>
  <c r="J25" i="45"/>
  <c r="K358" i="39"/>
  <c r="K743" i="39"/>
  <c r="J19" i="45"/>
  <c r="I18" i="45"/>
  <c r="J705" i="39"/>
  <c r="J16" i="45"/>
  <c r="K499" i="39"/>
  <c r="J545" i="39"/>
  <c r="I15" i="45"/>
  <c r="I546" i="39"/>
  <c r="U1148" i="36" l="1"/>
  <c r="U1130" i="36"/>
  <c r="J21" i="45"/>
  <c r="J107" i="39"/>
  <c r="K30" i="39"/>
  <c r="H321" i="39"/>
  <c r="G30" i="45"/>
  <c r="S1149" i="36"/>
  <c r="S954" i="36"/>
  <c r="K669" i="39"/>
  <c r="K17" i="45" s="1"/>
  <c r="T953" i="36"/>
  <c r="T1144" i="36"/>
  <c r="U1150" i="36"/>
  <c r="U1151" i="36"/>
  <c r="K314" i="39"/>
  <c r="U590" i="36"/>
  <c r="K316" i="39"/>
  <c r="U1167" i="36"/>
  <c r="K317" i="39"/>
  <c r="T307" i="36"/>
  <c r="T1140" i="36"/>
  <c r="U306" i="36"/>
  <c r="U289" i="36"/>
  <c r="U1139" i="36"/>
  <c r="U1152" i="36"/>
  <c r="U1145" i="36"/>
  <c r="K319" i="39"/>
  <c r="K20" i="45"/>
  <c r="K72" i="39"/>
  <c r="J18" i="45"/>
  <c r="K705" i="39"/>
  <c r="K16" i="45"/>
  <c r="K25" i="45"/>
  <c r="J44" i="45"/>
  <c r="K632" i="39"/>
  <c r="J15" i="45"/>
  <c r="K545" i="39"/>
  <c r="J546" i="39"/>
  <c r="K107" i="39"/>
  <c r="K21" i="45"/>
  <c r="K19" i="45"/>
  <c r="H30" i="45" l="1"/>
  <c r="I321" i="39"/>
  <c r="T1149" i="36"/>
  <c r="T954" i="36"/>
  <c r="U953" i="36"/>
  <c r="U1144" i="36"/>
  <c r="U1140" i="36"/>
  <c r="U307" i="36"/>
  <c r="K44" i="45"/>
  <c r="K546" i="39"/>
  <c r="K15" i="45"/>
  <c r="K18" i="45"/>
  <c r="J321" i="39" l="1"/>
  <c r="I30" i="45"/>
  <c r="U1149" i="36"/>
  <c r="U954" i="36"/>
  <c r="K321" i="39" l="1"/>
  <c r="J30" i="45"/>
  <c r="K30" i="45" l="1"/>
  <c r="K775" i="39" l="1"/>
  <c r="K174" i="39"/>
  <c r="K177" i="39" s="1"/>
  <c r="P1227" i="36" l="1"/>
  <c r="P1238" i="36" s="1"/>
  <c r="P1240" i="36" s="1"/>
  <c r="F15" i="39" l="1"/>
  <c r="F773" i="39" s="1"/>
  <c r="P1229" i="36"/>
  <c r="F25" i="39"/>
  <c r="F30" i="39" l="1"/>
  <c r="F784" i="39"/>
  <c r="F792" i="39" l="1"/>
  <c r="S261" i="36" l="1"/>
  <c r="T261" i="36"/>
  <c r="R261" i="36"/>
  <c r="U261" i="36"/>
  <c r="Q261" i="36"/>
  <c r="O170" i="40"/>
  <c r="O171" i="40" s="1"/>
  <c r="M170" i="40"/>
  <c r="K189" i="39"/>
  <c r="I189" i="39"/>
  <c r="H189" i="39"/>
  <c r="L170" i="40"/>
  <c r="I25" i="42"/>
  <c r="J170" i="40"/>
  <c r="K25" i="42"/>
  <c r="K26" i="43"/>
  <c r="H25" i="42"/>
  <c r="J25" i="42"/>
  <c r="G25" i="42"/>
  <c r="N170" i="40"/>
  <c r="N171" i="40" s="1"/>
  <c r="S266" i="36" l="1"/>
  <c r="S267" i="36" s="1"/>
  <c r="S269" i="36" s="1"/>
  <c r="K47" i="42"/>
  <c r="J47" i="42"/>
  <c r="I47" i="42"/>
  <c r="H47" i="42"/>
  <c r="G47" i="42"/>
  <c r="J171" i="40"/>
  <c r="L171" i="40"/>
  <c r="I32" i="39"/>
  <c r="I794" i="39" s="1"/>
  <c r="M171" i="40"/>
  <c r="Q266" i="36"/>
  <c r="U266" i="36"/>
  <c r="U267" i="36" s="1"/>
  <c r="U269" i="36" s="1"/>
  <c r="T266" i="36"/>
  <c r="T267" i="36" s="1"/>
  <c r="T269" i="36" s="1"/>
  <c r="R266" i="36"/>
  <c r="R267" i="36" s="1"/>
  <c r="R269" i="36" s="1"/>
  <c r="K32" i="39"/>
  <c r="K794" i="39" s="1"/>
  <c r="T1123" i="36"/>
  <c r="H32" i="39"/>
  <c r="H794" i="39" s="1"/>
  <c r="G32" i="39"/>
  <c r="G794" i="39" s="1"/>
  <c r="J32" i="39"/>
  <c r="J794" i="39" s="1"/>
  <c r="R1123" i="36"/>
  <c r="U1123" i="36"/>
  <c r="Q1123" i="36"/>
  <c r="J189" i="39"/>
  <c r="G189" i="39"/>
  <c r="S1123" i="36"/>
  <c r="L26" i="43"/>
  <c r="K37" i="43"/>
  <c r="J8" i="44" l="1"/>
  <c r="J35" i="44" s="1"/>
  <c r="G33" i="39"/>
  <c r="H33" i="39"/>
  <c r="I33" i="39"/>
  <c r="K33" i="39"/>
  <c r="J33" i="39"/>
  <c r="Q267" i="36"/>
  <c r="K49" i="43"/>
  <c r="K76" i="43" s="1"/>
  <c r="Q269" i="36" l="1"/>
  <c r="L49" i="43"/>
  <c r="Q271" i="36" l="1"/>
  <c r="Q272" i="36" l="1"/>
  <c r="R271" i="36"/>
  <c r="R272" i="36" l="1"/>
  <c r="S271" i="36"/>
  <c r="G170" i="40"/>
  <c r="S272" i="36" l="1"/>
  <c r="T271" i="36"/>
  <c r="H170" i="40"/>
  <c r="I170" i="40"/>
  <c r="K170" i="40"/>
  <c r="G171" i="40"/>
  <c r="F32" i="39"/>
  <c r="F794" i="39" s="1"/>
  <c r="T272" i="36" l="1"/>
  <c r="U271" i="36"/>
  <c r="I171" i="40"/>
  <c r="H171" i="40"/>
  <c r="K171" i="40"/>
  <c r="F33" i="39"/>
  <c r="U272" i="36" l="1"/>
  <c r="F795" i="39"/>
  <c r="J16" i="39" l="1"/>
  <c r="J774" i="39" s="1"/>
  <c r="K16" i="39"/>
  <c r="K774" i="39" s="1"/>
  <c r="H16" i="39"/>
  <c r="H774" i="39" s="1"/>
  <c r="I16" i="39"/>
  <c r="I774" i="39" s="1"/>
  <c r="J19" i="39" l="1"/>
  <c r="J22" i="39" s="1"/>
  <c r="I19" i="39"/>
  <c r="I22" i="39" s="1"/>
  <c r="H19" i="39"/>
  <c r="H22" i="39" s="1"/>
  <c r="K19" i="39"/>
  <c r="K22" i="39" s="1"/>
  <c r="U1119" i="36"/>
  <c r="S1119" i="36" l="1"/>
  <c r="R1119" i="36"/>
  <c r="J35" i="39"/>
  <c r="K35" i="39"/>
  <c r="H35" i="39"/>
  <c r="T1119" i="36"/>
  <c r="I35" i="39"/>
  <c r="G16" i="39" l="1"/>
  <c r="G19" i="39" l="1"/>
  <c r="F8" i="44" s="1"/>
  <c r="L8" i="44" s="1"/>
  <c r="G774" i="39"/>
  <c r="H10" i="43"/>
  <c r="G22" i="39" l="1"/>
  <c r="L10" i="43"/>
  <c r="H37" i="43"/>
  <c r="Q1119" i="36"/>
  <c r="G35" i="39" l="1"/>
  <c r="F16" i="39" l="1"/>
  <c r="F19" i="39" l="1"/>
  <c r="F22" i="39" s="1"/>
  <c r="P1138" i="36" l="1"/>
  <c r="P1119" i="36"/>
  <c r="F35" i="39"/>
  <c r="F37" i="39" l="1"/>
  <c r="Q1138" i="36" l="1"/>
  <c r="F38" i="39"/>
  <c r="F9" i="45"/>
  <c r="D8" i="44"/>
  <c r="N8" i="44" s="1"/>
  <c r="G37" i="39"/>
  <c r="R1138" i="36" l="1"/>
  <c r="G38" i="39"/>
  <c r="G9" i="45"/>
  <c r="H37" i="39"/>
  <c r="H38" i="39" s="1"/>
  <c r="S1138" i="36" l="1"/>
  <c r="H9" i="45"/>
  <c r="I37" i="39"/>
  <c r="T1138" i="36" l="1"/>
  <c r="J37" i="39"/>
  <c r="I38" i="39"/>
  <c r="I9" i="45"/>
  <c r="U1138" i="36" l="1"/>
  <c r="J9" i="45"/>
  <c r="J38" i="39"/>
  <c r="K37" i="39"/>
  <c r="K9" i="45" l="1"/>
  <c r="K38" i="39"/>
  <c r="E16" i="39"/>
  <c r="E19" i="39" l="1"/>
  <c r="E22" i="39" l="1"/>
  <c r="O1119" i="36"/>
  <c r="E35" i="39" l="1"/>
  <c r="E132" i="39"/>
  <c r="O318" i="36"/>
  <c r="E134" i="39" l="1"/>
  <c r="E12" i="42"/>
  <c r="O328" i="36"/>
  <c r="E141" i="39" l="1"/>
  <c r="O1122" i="36"/>
  <c r="F132" i="39" l="1"/>
  <c r="P318" i="36"/>
  <c r="F134" i="39" l="1"/>
  <c r="P328" i="36"/>
  <c r="F12" i="42"/>
  <c r="P330" i="36" l="1"/>
  <c r="F141" i="39"/>
  <c r="P1122" i="36"/>
  <c r="P1141" i="36" l="1"/>
  <c r="F143" i="39"/>
  <c r="Q330" i="36"/>
  <c r="G143" i="39" l="1"/>
  <c r="Q1141" i="36"/>
  <c r="D11" i="44"/>
  <c r="N11" i="44" s="1"/>
  <c r="F14" i="45"/>
  <c r="R330" i="36"/>
  <c r="S330" i="36" l="1"/>
  <c r="S1141" i="36" s="1"/>
  <c r="H143" i="39"/>
  <c r="I143" i="39" s="1"/>
  <c r="G14" i="45"/>
  <c r="R1141" i="36"/>
  <c r="H14" i="45" l="1"/>
  <c r="T330" i="36"/>
  <c r="J143" i="39"/>
  <c r="I14" i="45"/>
  <c r="T1141" i="36" l="1"/>
  <c r="U330" i="36"/>
  <c r="U1141" i="36" s="1"/>
  <c r="J14" i="45"/>
  <c r="K143" i="39"/>
  <c r="K14" i="45" l="1"/>
  <c r="E171" i="39"/>
  <c r="E174" i="39" l="1"/>
  <c r="E177" i="39" s="1"/>
  <c r="E189" i="39" s="1"/>
  <c r="E25" i="42"/>
  <c r="O1123" i="36" l="1"/>
  <c r="F171" i="39" l="1"/>
  <c r="F174" i="39" l="1"/>
  <c r="F177" i="39" s="1"/>
  <c r="F25" i="42"/>
  <c r="F189" i="39" l="1"/>
  <c r="P1123" i="36"/>
  <c r="F191" i="39" l="1"/>
  <c r="Q428" i="36"/>
  <c r="P1142" i="36"/>
  <c r="F31" i="45" l="1"/>
  <c r="G191" i="39"/>
  <c r="D24" i="44"/>
  <c r="Q1142" i="36"/>
  <c r="R428" i="36"/>
  <c r="N24" i="44" l="1"/>
  <c r="H191" i="39"/>
  <c r="I191" i="39" s="1"/>
  <c r="G31" i="45"/>
  <c r="S428" i="36"/>
  <c r="R1142" i="36"/>
  <c r="H31" i="45" l="1"/>
  <c r="I31" i="45"/>
  <c r="J191" i="39"/>
  <c r="S1142" i="36"/>
  <c r="T428" i="36"/>
  <c r="K191" i="39" l="1"/>
  <c r="K31" i="45" s="1"/>
  <c r="J31" i="45"/>
  <c r="T1142" i="36"/>
  <c r="U428" i="36"/>
  <c r="U1142" i="36" l="1"/>
  <c r="E384" i="39" l="1"/>
  <c r="E387" i="39" s="1"/>
  <c r="E390" i="39" l="1"/>
  <c r="E405" i="39" s="1"/>
  <c r="O1127" i="36"/>
  <c r="E29" i="42"/>
  <c r="F384" i="39" l="1"/>
  <c r="F387" i="39" s="1"/>
  <c r="P721" i="36" l="1"/>
  <c r="F29" i="42"/>
  <c r="P722" i="36" l="1"/>
  <c r="F390" i="39"/>
  <c r="P1127" i="36"/>
  <c r="F405" i="39" l="1"/>
  <c r="F407" i="39" s="1"/>
  <c r="F408" i="39" s="1"/>
  <c r="Q721" i="36"/>
  <c r="P1146" i="36"/>
  <c r="Q722" i="36" l="1"/>
  <c r="F37" i="45"/>
  <c r="G407" i="39"/>
  <c r="D28" i="44"/>
  <c r="R721" i="36"/>
  <c r="Q1146" i="36"/>
  <c r="R722" i="36" l="1"/>
  <c r="S721" i="36"/>
  <c r="G408" i="39"/>
  <c r="N28" i="44"/>
  <c r="G37" i="45"/>
  <c r="H407" i="39"/>
  <c r="R1146" i="36"/>
  <c r="S722" i="36" l="1"/>
  <c r="H37" i="45"/>
  <c r="H408" i="39"/>
  <c r="I407" i="39"/>
  <c r="T721" i="36"/>
  <c r="S1146" i="36"/>
  <c r="T722" i="36" l="1"/>
  <c r="J407" i="39"/>
  <c r="J408" i="39" s="1"/>
  <c r="I408" i="39"/>
  <c r="I37" i="45"/>
  <c r="U721" i="36"/>
  <c r="U722" i="36" s="1"/>
  <c r="T1146" i="36"/>
  <c r="J37" i="45" l="1"/>
  <c r="K407" i="39"/>
  <c r="K408" i="39" s="1"/>
  <c r="U1146" i="36"/>
  <c r="E435" i="39"/>
  <c r="E437" i="39" s="1"/>
  <c r="K37" i="45" l="1"/>
  <c r="E440" i="39"/>
  <c r="E774" i="39"/>
  <c r="E778" i="39" s="1"/>
  <c r="E781" i="39" s="1"/>
  <c r="E30" i="42"/>
  <c r="E797" i="39" l="1"/>
  <c r="O1128" i="36"/>
  <c r="E455" i="39"/>
  <c r="F435" i="39" l="1"/>
  <c r="F774" i="39" l="1"/>
  <c r="F437" i="39"/>
  <c r="F30" i="42"/>
  <c r="F778" i="39" l="1"/>
  <c r="F781" i="39" s="1"/>
  <c r="F440" i="39"/>
  <c r="P1128" i="36"/>
  <c r="F455" i="39" l="1"/>
  <c r="F797" i="39"/>
  <c r="F799" i="39" s="1"/>
  <c r="P826" i="36"/>
  <c r="P1147" i="36"/>
  <c r="F457" i="39" l="1"/>
  <c r="F458" i="39" s="1"/>
  <c r="F800" i="39" l="1"/>
  <c r="D29" i="44"/>
  <c r="F38" i="45"/>
  <c r="E574" i="39" l="1"/>
  <c r="E576" i="39" s="1"/>
  <c r="E579" i="39" s="1"/>
  <c r="E74" i="42" l="1"/>
  <c r="E831" i="39"/>
  <c r="E33" i="42"/>
  <c r="E36" i="42" s="1"/>
  <c r="E589" i="39"/>
  <c r="O1135" i="36" l="1"/>
  <c r="F74" i="42"/>
  <c r="P1135" i="36"/>
  <c r="O1160" i="36"/>
  <c r="O1163" i="36" s="1"/>
  <c r="E833" i="39"/>
  <c r="E836" i="39" s="1"/>
  <c r="E847" i="39" s="1"/>
  <c r="F574" i="39"/>
  <c r="F576" i="39" s="1"/>
  <c r="F579" i="39" l="1"/>
  <c r="F831" i="39"/>
  <c r="F33" i="42"/>
  <c r="P1154" i="36" l="1"/>
  <c r="F833" i="39"/>
  <c r="F589" i="39"/>
  <c r="F36" i="42"/>
  <c r="P1160" i="36"/>
  <c r="F836" i="39" l="1"/>
  <c r="F847" i="39" s="1"/>
  <c r="F591" i="39"/>
  <c r="P1163" i="36"/>
  <c r="Q1026" i="36"/>
  <c r="P1166" i="36"/>
  <c r="P1027" i="36"/>
  <c r="P1029" i="36"/>
  <c r="F593" i="39" l="1"/>
  <c r="F43" i="45"/>
  <c r="F47" i="45" s="1"/>
  <c r="D32" i="44"/>
  <c r="D35" i="44" s="1"/>
  <c r="F592" i="39"/>
  <c r="G591" i="39"/>
  <c r="F849" i="39"/>
  <c r="P1169" i="36"/>
  <c r="R1026" i="36"/>
  <c r="Q1027" i="36"/>
  <c r="Q1166" i="36"/>
  <c r="Q1029" i="36"/>
  <c r="R1029" i="36" l="1"/>
  <c r="G592" i="39"/>
  <c r="H591" i="39"/>
  <c r="I591" i="39" s="1"/>
  <c r="G43" i="45"/>
  <c r="N32" i="44"/>
  <c r="G593" i="39"/>
  <c r="F850" i="39"/>
  <c r="G849" i="39"/>
  <c r="Q1169" i="36"/>
  <c r="R1027" i="36"/>
  <c r="S1026" i="36"/>
  <c r="R1166" i="36"/>
  <c r="Q436" i="36" l="1"/>
  <c r="Q446" i="36" s="1"/>
  <c r="Q810" i="36"/>
  <c r="G445" i="39"/>
  <c r="G786" i="39" s="1"/>
  <c r="H43" i="45"/>
  <c r="H593" i="39"/>
  <c r="H592" i="39"/>
  <c r="G850" i="39"/>
  <c r="H849" i="39"/>
  <c r="R1169" i="36"/>
  <c r="T1026" i="36"/>
  <c r="S1166" i="36"/>
  <c r="S1029" i="36"/>
  <c r="S1027" i="36"/>
  <c r="I593" i="39"/>
  <c r="I592" i="39"/>
  <c r="J591" i="39"/>
  <c r="I43" i="45"/>
  <c r="G219" i="39" l="1"/>
  <c r="R436" i="36"/>
  <c r="R491" i="36" s="1"/>
  <c r="H445" i="39"/>
  <c r="H786" i="39" s="1"/>
  <c r="R810" i="36"/>
  <c r="G450" i="39"/>
  <c r="E70" i="43"/>
  <c r="Q817" i="36"/>
  <c r="Q823" i="36"/>
  <c r="H850" i="39"/>
  <c r="I849" i="39"/>
  <c r="J593" i="39"/>
  <c r="J43" i="45"/>
  <c r="J592" i="39"/>
  <c r="K591" i="39"/>
  <c r="T1029" i="36"/>
  <c r="U1026" i="36"/>
  <c r="T1166" i="36"/>
  <c r="T1027" i="36"/>
  <c r="S1169" i="36"/>
  <c r="R817" i="36" l="1"/>
  <c r="Q491" i="36"/>
  <c r="G26" i="42"/>
  <c r="H219" i="39"/>
  <c r="R823" i="36"/>
  <c r="H792" i="39"/>
  <c r="H795" i="39" s="1"/>
  <c r="H450" i="39"/>
  <c r="H453" i="39" s="1"/>
  <c r="H455" i="39" s="1"/>
  <c r="G773" i="39"/>
  <c r="G27" i="43"/>
  <c r="G222" i="39"/>
  <c r="S810" i="36"/>
  <c r="I445" i="39"/>
  <c r="I786" i="39" s="1"/>
  <c r="G68" i="42"/>
  <c r="L70" i="43"/>
  <c r="L76" i="43" s="1"/>
  <c r="E76" i="43"/>
  <c r="Q1128" i="36"/>
  <c r="Q825" i="36"/>
  <c r="G792" i="39"/>
  <c r="H29" i="44"/>
  <c r="G453" i="39"/>
  <c r="J849" i="39"/>
  <c r="I850" i="39"/>
  <c r="T1169" i="36"/>
  <c r="U1027" i="36"/>
  <c r="U1029" i="36"/>
  <c r="U1166" i="36"/>
  <c r="K43" i="45"/>
  <c r="K593" i="39"/>
  <c r="K592" i="39"/>
  <c r="H68" i="42" l="1"/>
  <c r="S817" i="36"/>
  <c r="R1128" i="36"/>
  <c r="R825" i="36"/>
  <c r="I219" i="39"/>
  <c r="S436" i="36"/>
  <c r="S446" i="36" s="1"/>
  <c r="R446" i="36"/>
  <c r="H26" i="42" s="1"/>
  <c r="H36" i="42" s="1"/>
  <c r="H222" i="39"/>
  <c r="H225" i="39" s="1"/>
  <c r="H239" i="39" s="1"/>
  <c r="H773" i="39"/>
  <c r="H778" i="39" s="1"/>
  <c r="H781" i="39" s="1"/>
  <c r="H797" i="39" s="1"/>
  <c r="I450" i="39"/>
  <c r="I453" i="39" s="1"/>
  <c r="I455" i="39" s="1"/>
  <c r="I792" i="39"/>
  <c r="L27" i="43"/>
  <c r="G37" i="43"/>
  <c r="G778" i="39"/>
  <c r="G225" i="39"/>
  <c r="G239" i="39" s="1"/>
  <c r="G241" i="39" s="1"/>
  <c r="F25" i="44"/>
  <c r="G36" i="42"/>
  <c r="T810" i="36"/>
  <c r="J445" i="39"/>
  <c r="J786" i="39" s="1"/>
  <c r="G455" i="39"/>
  <c r="L29" i="44"/>
  <c r="H35" i="44"/>
  <c r="G795" i="39"/>
  <c r="Q493" i="36"/>
  <c r="Q1124" i="36"/>
  <c r="Q826" i="36"/>
  <c r="Q1147" i="36"/>
  <c r="R1124" i="36"/>
  <c r="J850" i="39"/>
  <c r="K849" i="39"/>
  <c r="U1169" i="36"/>
  <c r="I795" i="39" l="1"/>
  <c r="I68" i="42"/>
  <c r="R826" i="36"/>
  <c r="J219" i="39"/>
  <c r="J773" i="39" s="1"/>
  <c r="J778" i="39" s="1"/>
  <c r="J781" i="39" s="1"/>
  <c r="R493" i="36"/>
  <c r="T817" i="36"/>
  <c r="T823" i="36"/>
  <c r="T436" i="36"/>
  <c r="T446" i="36" s="1"/>
  <c r="S491" i="36"/>
  <c r="I26" i="42"/>
  <c r="I222" i="39"/>
  <c r="I225" i="39" s="1"/>
  <c r="I239" i="39" s="1"/>
  <c r="I773" i="39"/>
  <c r="I778" i="39" s="1"/>
  <c r="I781" i="39" s="1"/>
  <c r="J792" i="39"/>
  <c r="J795" i="39" s="1"/>
  <c r="J450" i="39"/>
  <c r="J453" i="39" s="1"/>
  <c r="J455" i="39" s="1"/>
  <c r="G781" i="39"/>
  <c r="L25" i="44"/>
  <c r="N25" i="44" s="1"/>
  <c r="F35" i="44"/>
  <c r="L37" i="43"/>
  <c r="U810" i="36"/>
  <c r="K445" i="39"/>
  <c r="N29" i="44"/>
  <c r="G457" i="39"/>
  <c r="G458" i="39" s="1"/>
  <c r="Q1143" i="36"/>
  <c r="R1147" i="36"/>
  <c r="K850" i="39"/>
  <c r="I797" i="39" l="1"/>
  <c r="J222" i="39"/>
  <c r="J225" i="39" s="1"/>
  <c r="J239" i="39" s="1"/>
  <c r="J68" i="42"/>
  <c r="K219" i="39"/>
  <c r="K222" i="39" s="1"/>
  <c r="K225" i="39" s="1"/>
  <c r="K239" i="39" s="1"/>
  <c r="U817" i="36"/>
  <c r="H74" i="42"/>
  <c r="K786" i="39"/>
  <c r="K792" i="39" s="1"/>
  <c r="K795" i="39" s="1"/>
  <c r="T491" i="36"/>
  <c r="T1128" i="36"/>
  <c r="S1124" i="36"/>
  <c r="U823" i="36"/>
  <c r="U436" i="36"/>
  <c r="U446" i="36" s="1"/>
  <c r="J26" i="42"/>
  <c r="J797" i="39"/>
  <c r="K450" i="39"/>
  <c r="K453" i="39" s="1"/>
  <c r="G797" i="39"/>
  <c r="G32" i="45"/>
  <c r="H241" i="39"/>
  <c r="N35" i="44"/>
  <c r="S493" i="36"/>
  <c r="L35" i="44"/>
  <c r="G38" i="45"/>
  <c r="H457" i="39"/>
  <c r="H458" i="39" s="1"/>
  <c r="R1143" i="36"/>
  <c r="K773" i="39" l="1"/>
  <c r="K778" i="39" s="1"/>
  <c r="K781" i="39" s="1"/>
  <c r="K797" i="39" s="1"/>
  <c r="K68" i="42"/>
  <c r="R1135" i="36"/>
  <c r="G74" i="42"/>
  <c r="Q1135" i="36"/>
  <c r="U491" i="36"/>
  <c r="T1124" i="36"/>
  <c r="K455" i="39"/>
  <c r="U1128" i="36"/>
  <c r="S1143" i="36"/>
  <c r="G799" i="39"/>
  <c r="K26" i="42"/>
  <c r="K36" i="42" s="1"/>
  <c r="J36" i="42"/>
  <c r="G47" i="45"/>
  <c r="H32" i="45"/>
  <c r="I241" i="39"/>
  <c r="T493" i="36"/>
  <c r="H38" i="45"/>
  <c r="I457" i="39"/>
  <c r="I458" i="39" s="1"/>
  <c r="T1143" i="36" l="1"/>
  <c r="U1124" i="36"/>
  <c r="G800" i="39"/>
  <c r="H799" i="39"/>
  <c r="H47" i="45"/>
  <c r="U493" i="36"/>
  <c r="I32" i="45"/>
  <c r="J241" i="39"/>
  <c r="I38" i="45"/>
  <c r="J457" i="39"/>
  <c r="J458" i="39" s="1"/>
  <c r="Q1154" i="36" l="1"/>
  <c r="H800" i="39"/>
  <c r="I799" i="39"/>
  <c r="U1143" i="36"/>
  <c r="I47" i="45"/>
  <c r="J32" i="45"/>
  <c r="K241" i="39"/>
  <c r="K32" i="45" s="1"/>
  <c r="K457" i="39"/>
  <c r="K458" i="39" s="1"/>
  <c r="J38" i="45"/>
  <c r="I800" i="39" l="1"/>
  <c r="J799" i="39"/>
  <c r="J800" i="39" s="1"/>
  <c r="R1154" i="36"/>
  <c r="J47" i="45"/>
  <c r="K38" i="45"/>
  <c r="K47" i="45" s="1"/>
  <c r="K799" i="39" l="1"/>
  <c r="K800" i="39" s="1"/>
  <c r="S738" i="36"/>
  <c r="S744" i="36" s="1"/>
  <c r="S823" i="36" l="1"/>
  <c r="I30" i="42"/>
  <c r="S1128" i="36" l="1"/>
  <c r="S825" i="36"/>
  <c r="I36" i="42"/>
  <c r="T825" i="36" l="1"/>
  <c r="S826" i="36"/>
  <c r="S1147" i="36"/>
  <c r="T826" i="36" l="1"/>
  <c r="U825" i="36"/>
  <c r="T1147" i="36"/>
  <c r="U826" i="36" l="1"/>
  <c r="J74" i="42"/>
  <c r="I74" i="42"/>
  <c r="S1135" i="36"/>
  <c r="U1147" i="36"/>
  <c r="T1135" i="36" l="1"/>
  <c r="U1135" i="36" l="1"/>
  <c r="S1154" i="36"/>
  <c r="K74" i="42"/>
  <c r="T1154" i="36" l="1"/>
  <c r="U1154" i="36" l="1"/>
</calcChain>
</file>

<file path=xl/sharedStrings.xml><?xml version="1.0" encoding="utf-8"?>
<sst xmlns="http://schemas.openxmlformats.org/spreadsheetml/2006/main" count="3080" uniqueCount="1481">
  <si>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</si>
  <si>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</si>
  <si>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</si>
  <si>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</si>
  <si>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</si>
  <si>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</si>
  <si>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</si>
  <si>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</si>
  <si>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</si>
  <si>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</si>
  <si>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</si>
  <si>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</si>
  <si>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</si>
  <si>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</si>
  <si>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</si>
  <si>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</si>
  <si>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</si>
  <si>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</si>
  <si>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</si>
  <si>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</si>
  <si>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</si>
  <si>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</si>
  <si>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</si>
  <si>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</si>
  <si>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</si>
  <si>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</si>
  <si>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</si>
  <si>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</si>
  <si>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</si>
  <si>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</si>
  <si>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</si>
  <si>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</si>
  <si>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</si>
  <si>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</si>
  <si>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</si>
  <si>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</si>
  <si>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</si>
  <si>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</si>
  <si>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</si>
  <si>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</si>
  <si>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</si>
  <si>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</si>
  <si>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</si>
  <si>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</si>
  <si>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</si>
  <si>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</si>
  <si>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</si>
  <si>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</si>
  <si>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</si>
  <si>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</si>
  <si>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</si>
  <si>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</si>
  <si>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</si>
  <si>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</si>
  <si>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</si>
  <si>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</si>
  <si>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</si>
  <si>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</si>
  <si>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</si>
  <si>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</si>
  <si>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</si>
  <si>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</si>
  <si>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</si>
  <si>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</si>
  <si>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01-110-50-00-5002</t>
  </si>
  <si>
    <t>01-110-50-00-5001</t>
  </si>
  <si>
    <t>PART-TIME SALARIES</t>
  </si>
  <si>
    <t>SALARIES - ADMINISTRATION</t>
  </si>
  <si>
    <t>SALARIES - ALDERMAN</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</si>
  <si>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</si>
  <si>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</si>
  <si>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</si>
  <si>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</si>
  <si>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</si>
  <si>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</si>
  <si>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</si>
  <si>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</si>
  <si>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</si>
  <si>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</si>
  <si>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</si>
  <si>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</si>
  <si>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</si>
  <si>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</si>
  <si>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</si>
  <si>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</si>
  <si>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</si>
  <si>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</si>
  <si>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</si>
  <si>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</si>
  <si>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</si>
  <si>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</si>
  <si>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</si>
  <si>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</si>
  <si>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</si>
  <si>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</si>
  <si>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</si>
  <si>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</si>
  <si>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</si>
  <si>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</si>
  <si>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</si>
  <si>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</si>
  <si>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</si>
  <si>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</si>
  <si>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</si>
  <si>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</si>
  <si>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</si>
  <si>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</si>
  <si>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</si>
  <si>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</si>
  <si>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</si>
  <si>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</si>
  <si>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</si>
  <si>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</si>
  <si>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</si>
  <si>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</si>
  <si>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</si>
  <si>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</si>
  <si>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</si>
  <si>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</si>
  <si>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</si>
  <si>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</si>
  <si>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TRAINING &amp; CONFERENCE</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</si>
  <si>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</si>
  <si>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</si>
  <si>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</si>
  <si>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</si>
  <si>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</si>
  <si>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</si>
  <si>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</si>
  <si>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</si>
  <si>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</si>
  <si>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</si>
  <si>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</si>
  <si>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</si>
  <si>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</si>
  <si>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</si>
  <si>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</si>
  <si>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</si>
  <si>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</si>
  <si>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</si>
  <si>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</si>
  <si>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</si>
  <si>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</si>
  <si>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</si>
  <si>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</si>
  <si>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</si>
  <si>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</si>
  <si>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</si>
  <si>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</si>
  <si>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</si>
  <si>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</si>
  <si>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</si>
  <si>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</si>
  <si>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</si>
  <si>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</si>
  <si>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</si>
  <si>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</si>
  <si>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</si>
  <si>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</si>
  <si>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</si>
  <si>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</si>
  <si>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</si>
  <si>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</si>
  <si>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</si>
  <si>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</si>
  <si>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</si>
  <si>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</si>
  <si>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</si>
  <si>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</si>
  <si>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</si>
  <si>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</si>
  <si>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</si>
  <si>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</si>
  <si>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</si>
  <si>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</si>
  <si>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</si>
  <si>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</si>
  <si>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</si>
  <si>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</si>
  <si>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</si>
  <si>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</si>
  <si>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</si>
  <si>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</si>
  <si>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</si>
  <si>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</si>
  <si>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</si>
  <si>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</si>
  <si>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</si>
  <si>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01-210-54-00-5460</t>
  </si>
  <si>
    <t>01-220-54-00-5460</t>
  </si>
  <si>
    <t>01-640-54-00-5456</t>
  </si>
  <si>
    <t>01-640-54-00-5481</t>
  </si>
  <si>
    <t>TRANSFER TO DEBT SERVICE</t>
  </si>
  <si>
    <t>TRANSFER TO WATER</t>
  </si>
  <si>
    <t>TRANSFER TO SEWER</t>
  </si>
  <si>
    <t>TRANSFER FROM SEWER</t>
  </si>
  <si>
    <t>01-000-46-00-4685</t>
  </si>
  <si>
    <t>REIMB - CABLE CONSORTIUM</t>
  </si>
  <si>
    <t>01-210-54-00-5495</t>
  </si>
  <si>
    <t>01-410-56-00-5640</t>
  </si>
  <si>
    <t xml:space="preserve">LOCAL USE TAX                                              </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</si>
  <si>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</si>
  <si>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</si>
  <si>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</si>
  <si>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</si>
  <si>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</si>
  <si>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</si>
  <si>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</si>
  <si>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</si>
  <si>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</si>
  <si>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</si>
  <si>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</si>
  <si>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</si>
  <si>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</si>
  <si>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</si>
  <si>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</si>
  <si>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</si>
  <si>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</si>
  <si>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</si>
  <si>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</si>
  <si>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</si>
  <si>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</si>
  <si>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</si>
  <si>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</si>
  <si>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</si>
  <si>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</si>
  <si>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</si>
  <si>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</si>
  <si>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</si>
  <si>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</si>
  <si>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</si>
  <si>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</si>
  <si>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</si>
  <si>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</si>
  <si>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</si>
  <si>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</si>
  <si>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</si>
  <si>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</si>
  <si>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</si>
  <si>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</si>
  <si>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</si>
  <si>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SIGNS</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</si>
  <si>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</si>
  <si>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</si>
  <si>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</si>
  <si>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</si>
  <si>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</si>
  <si>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</si>
  <si>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</si>
  <si>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</si>
  <si>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</si>
  <si>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</si>
  <si>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</si>
  <si>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</si>
  <si>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</si>
  <si>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</si>
  <si>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</si>
  <si>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</si>
  <si>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</si>
  <si>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</si>
  <si>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</si>
  <si>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</si>
  <si>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</si>
  <si>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</si>
  <si>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</si>
  <si>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</si>
  <si>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</si>
  <si>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</si>
  <si>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</si>
  <si>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</si>
  <si>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</si>
  <si>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</si>
  <si>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</si>
  <si>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</si>
  <si>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</si>
  <si>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</si>
  <si>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</si>
  <si>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</si>
  <si>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</si>
  <si>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</si>
  <si>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</si>
  <si>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</si>
  <si>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</si>
  <si>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</si>
  <si>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</si>
  <si>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</si>
  <si>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</si>
  <si>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</si>
  <si>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</si>
  <si>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</si>
  <si>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</si>
  <si>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</si>
  <si>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</si>
  <si>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</si>
  <si>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</si>
  <si>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</si>
  <si>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</si>
  <si>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</si>
  <si>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</si>
  <si>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</si>
  <si>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</si>
  <si>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</si>
  <si>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</si>
  <si>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</si>
  <si>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</si>
  <si>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</si>
  <si>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</si>
  <si>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</si>
  <si>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</si>
  <si>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</si>
  <si>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</si>
  <si>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</si>
  <si>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</si>
  <si>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</si>
  <si>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</si>
  <si>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</si>
  <si>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</si>
  <si>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</si>
  <si>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</si>
  <si>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</si>
  <si>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</si>
  <si>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</si>
  <si>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</si>
  <si>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</si>
  <si>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</si>
  <si>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</si>
  <si>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</si>
  <si>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</si>
  <si>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</si>
  <si>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</si>
  <si>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</si>
  <si>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</si>
  <si>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</si>
  <si>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</si>
  <si>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</si>
  <si>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52-520-75-00-7500</t>
  </si>
  <si>
    <t>52-520-90-00-8000</t>
  </si>
  <si>
    <t>52-520-90-00-8050</t>
  </si>
  <si>
    <t>Debt Service - 2011 Refunding Bond</t>
  </si>
  <si>
    <t>Debt Service - IEPA Loan L17-115300</t>
  </si>
  <si>
    <t>52-520-96-00-8000</t>
  </si>
  <si>
    <t>52-520-96-00-8050</t>
  </si>
  <si>
    <t>72-000-47-00-4703</t>
  </si>
  <si>
    <t>AUTUMN CREEK</t>
  </si>
  <si>
    <t>72-000-47-00-4704</t>
  </si>
  <si>
    <t>BLACKBERRY WOODS</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</si>
  <si>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</si>
  <si>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</si>
  <si>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</si>
  <si>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</si>
  <si>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</si>
  <si>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</si>
  <si>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</si>
  <si>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</si>
  <si>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</si>
  <si>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</si>
  <si>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</si>
  <si>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</si>
  <si>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</si>
  <si>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</si>
  <si>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</si>
  <si>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</si>
  <si>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</si>
  <si>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</si>
  <si>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</si>
  <si>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</si>
  <si>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</si>
  <si>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</si>
  <si>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</si>
  <si>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</si>
  <si>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</si>
  <si>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</si>
  <si>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</si>
  <si>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</si>
  <si>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</si>
  <si>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</si>
  <si>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</si>
  <si>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</si>
  <si>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</si>
  <si>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</si>
  <si>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</si>
  <si>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</si>
  <si>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</si>
  <si>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</si>
  <si>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</si>
  <si>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</si>
  <si>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</si>
  <si>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</si>
  <si>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</si>
  <si>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</si>
  <si>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</si>
  <si>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</si>
  <si>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</si>
  <si>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</si>
  <si>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</si>
  <si>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</si>
  <si>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</si>
  <si>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</si>
  <si>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</si>
  <si>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</si>
  <si>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</si>
  <si>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</si>
  <si>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</si>
  <si>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</si>
  <si>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</si>
  <si>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</si>
  <si>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</si>
  <si>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</si>
  <si>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</si>
  <si>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</si>
  <si>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</si>
  <si>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</si>
  <si>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</si>
  <si>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</si>
  <si>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82-820-56-00-5685</t>
  </si>
  <si>
    <t>DVD'S</t>
  </si>
  <si>
    <t>Debt Service - 2006 Bond</t>
  </si>
  <si>
    <t>Library Debt Service</t>
  </si>
  <si>
    <t>Countryside TIF</t>
  </si>
  <si>
    <t>87-870-54-00-5498</t>
  </si>
  <si>
    <t>Downtown TIF</t>
  </si>
  <si>
    <t>88-880-60-00-6079</t>
  </si>
  <si>
    <t>Finance</t>
  </si>
  <si>
    <t>Police</t>
  </si>
  <si>
    <t>Expenditures</t>
  </si>
  <si>
    <t>Surplus(Deficit)</t>
  </si>
  <si>
    <t>Expenses</t>
  </si>
  <si>
    <t>Fund Balance</t>
  </si>
  <si>
    <t>01-640-99-00-9982</t>
  </si>
  <si>
    <t>TRANSFER TO LIBRARY OPERATIONS</t>
  </si>
  <si>
    <t>82-000-49-00-4901</t>
  </si>
  <si>
    <t>Administration</t>
  </si>
  <si>
    <t>GENERAL FUND - 01</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</si>
  <si>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</si>
  <si>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</si>
  <si>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</si>
  <si>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</si>
  <si>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</si>
  <si>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</si>
  <si>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</si>
  <si>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</si>
  <si>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</si>
  <si>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</si>
  <si>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</si>
  <si>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</si>
  <si>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</si>
  <si>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</si>
  <si>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</si>
  <si>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</si>
  <si>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</si>
  <si>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</si>
  <si>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</si>
  <si>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</si>
  <si>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</si>
  <si>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</si>
  <si>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</si>
  <si>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</si>
  <si>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</si>
  <si>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</si>
  <si>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</si>
  <si>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</si>
  <si>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</si>
  <si>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</si>
  <si>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</si>
  <si>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</si>
  <si>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</si>
  <si>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</si>
  <si>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</si>
  <si>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</si>
  <si>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</si>
  <si>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</si>
  <si>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</si>
  <si>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</si>
  <si>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</si>
  <si>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</si>
  <si>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</si>
  <si>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</si>
  <si>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</si>
  <si>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</si>
  <si>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</si>
  <si>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</si>
  <si>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</si>
  <si>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</si>
  <si>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</si>
  <si>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</si>
  <si>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</si>
  <si>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</si>
  <si>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</si>
  <si>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</si>
  <si>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</si>
  <si>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</si>
  <si>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</si>
  <si>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</si>
  <si>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</si>
  <si>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</si>
  <si>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</si>
  <si>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</si>
  <si>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</si>
  <si>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</si>
  <si>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</si>
  <si>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</si>
  <si>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</si>
  <si>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</si>
  <si>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</si>
  <si>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</si>
  <si>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</si>
  <si>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</si>
  <si>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</si>
  <si>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</si>
  <si>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</si>
  <si>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</si>
  <si>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79-795-56-00-5640</t>
  </si>
  <si>
    <t>OTHER LICENSES &amp; PERMITS</t>
  </si>
  <si>
    <t>01-110-54-00-5485</t>
  </si>
  <si>
    <t>01-210-54-00-5485</t>
  </si>
  <si>
    <t>01-220-54-00-5485</t>
  </si>
  <si>
    <t>51-000-46-00-4690</t>
  </si>
  <si>
    <t>01-000-40-00-4044</t>
  </si>
  <si>
    <t>23-230-60-00-6094</t>
  </si>
  <si>
    <t>KENCOM</t>
  </si>
  <si>
    <t>01-640-54-00-5449</t>
  </si>
  <si>
    <t>88-880-60-00-6000</t>
  </si>
  <si>
    <t>PROJECT COSTS</t>
  </si>
  <si>
    <t>01-640-54-00-5450</t>
  </si>
  <si>
    <t>INFORMATION TECHNOLOGY SERVICES</t>
  </si>
  <si>
    <t>79-000-48-00-4825</t>
  </si>
  <si>
    <t>79-790-54-00-5495</t>
  </si>
  <si>
    <t>84-000-45-00-4500</t>
  </si>
  <si>
    <t>82-820-52-00-5231</t>
  </si>
  <si>
    <t>CITY</t>
  </si>
  <si>
    <t>Park &amp; Recreation</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</si>
  <si>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</si>
  <si>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</si>
  <si>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</si>
  <si>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</si>
  <si>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</si>
  <si>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</si>
  <si>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</si>
  <si>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</si>
  <si>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</si>
  <si>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</si>
  <si>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</si>
  <si>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</si>
  <si>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</si>
  <si>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</si>
  <si>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</si>
  <si>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</si>
  <si>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</si>
  <si>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</si>
  <si>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</si>
  <si>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</si>
  <si>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</si>
  <si>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</si>
  <si>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</si>
  <si>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</si>
  <si>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</si>
  <si>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</si>
  <si>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</si>
  <si>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</si>
  <si>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</si>
  <si>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</si>
  <si>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</si>
  <si>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</si>
  <si>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</si>
  <si>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</si>
  <si>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</si>
  <si>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</si>
  <si>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</si>
  <si>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</si>
  <si>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</si>
  <si>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</si>
  <si>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</si>
  <si>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</si>
  <si>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</si>
  <si>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</si>
  <si>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</si>
  <si>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</si>
  <si>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</si>
  <si>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</si>
  <si>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</si>
  <si>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</si>
  <si>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</si>
  <si>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</si>
  <si>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</si>
  <si>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</si>
  <si>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</si>
  <si>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</si>
  <si>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</si>
  <si>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</si>
  <si>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</si>
  <si>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</si>
  <si>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</si>
  <si>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</si>
  <si>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</si>
  <si>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</si>
  <si>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</si>
  <si>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</si>
  <si>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</si>
  <si>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</si>
  <si>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</si>
  <si>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</si>
  <si>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</si>
  <si>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</si>
  <si>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</si>
  <si>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</si>
  <si>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</si>
  <si>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</si>
  <si>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</si>
  <si>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</si>
  <si>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</si>
  <si>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</si>
  <si>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</si>
  <si>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</si>
  <si>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</si>
  <si>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</si>
  <si>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</si>
  <si>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</si>
  <si>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</si>
  <si>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</si>
  <si>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</si>
  <si>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</si>
  <si>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</si>
  <si>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</si>
  <si>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</si>
  <si>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</si>
  <si>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</si>
  <si>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</si>
  <si>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</si>
  <si>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</si>
  <si>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</si>
  <si>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</si>
  <si>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</si>
  <si>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</si>
  <si>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</si>
  <si>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</si>
  <si>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</si>
  <si>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</si>
  <si>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</si>
  <si>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</si>
  <si>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</si>
  <si>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</si>
  <si>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</si>
  <si>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</si>
  <si>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</si>
  <si>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</si>
  <si>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</si>
  <si>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</si>
  <si>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</si>
  <si>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</si>
  <si>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</si>
  <si>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</si>
  <si>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</si>
  <si>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 xml:space="preserve">Other </t>
  </si>
  <si>
    <t>Inter-</t>
  </si>
  <si>
    <t>Licenses &amp;</t>
  </si>
  <si>
    <t>Fines &amp;</t>
  </si>
  <si>
    <t xml:space="preserve">Charges </t>
  </si>
  <si>
    <t>Investment</t>
  </si>
  <si>
    <t>Reimb-</t>
  </si>
  <si>
    <t>Miscel-</t>
  </si>
  <si>
    <t xml:space="preserve">Financing </t>
  </si>
  <si>
    <t>Fund</t>
  </si>
  <si>
    <t>governmental</t>
  </si>
  <si>
    <t>Permits</t>
  </si>
  <si>
    <t>Forfeits</t>
  </si>
  <si>
    <t>for Services</t>
  </si>
  <si>
    <t>Earnings</t>
  </si>
  <si>
    <t>ursements</t>
  </si>
  <si>
    <t>laneous</t>
  </si>
  <si>
    <t>Sources</t>
  </si>
  <si>
    <t>Total</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</si>
  <si>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</si>
  <si>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</si>
  <si>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</si>
  <si>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</si>
  <si>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</si>
  <si>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</si>
  <si>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</si>
  <si>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</si>
  <si>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</si>
  <si>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</si>
  <si>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</si>
  <si>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</si>
  <si>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</si>
  <si>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</si>
  <si>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</si>
  <si>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</si>
  <si>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</si>
  <si>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</si>
  <si>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</si>
  <si>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</si>
  <si>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</si>
  <si>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</si>
  <si>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</si>
  <si>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Cash Flow - Fund Balance</t>
  </si>
  <si>
    <t>TOTAL REVENUES</t>
  </si>
  <si>
    <t>TOTAL EXPENDITURES</t>
  </si>
  <si>
    <t>52-520-92-00-8000</t>
  </si>
  <si>
    <t>52-520-92-00-8050</t>
  </si>
  <si>
    <t>PARK RENTALS</t>
  </si>
  <si>
    <t>51-000-48-00-4820</t>
  </si>
  <si>
    <t xml:space="preserve">RENTAL INCOME </t>
  </si>
  <si>
    <t>52-520-99-00-9951</t>
  </si>
  <si>
    <t>Route 47 Expansion Project</t>
  </si>
  <si>
    <t>ELECTRONIC CITATION FEES</t>
  </si>
  <si>
    <t>84-840-56-00-5683</t>
  </si>
  <si>
    <t>84-840-56-00-5684</t>
  </si>
  <si>
    <t>84-840-56-00-5685</t>
  </si>
  <si>
    <t>84-840-56-00-5635</t>
  </si>
  <si>
    <t>BOOKS</t>
  </si>
  <si>
    <t>84-840-56-00-5686</t>
  </si>
  <si>
    <t>79-000-44-00-4402</t>
  </si>
  <si>
    <t>SPECIAL EVENTS</t>
  </si>
  <si>
    <t>79-000-44-00-4403</t>
  </si>
  <si>
    <t>CHILD DEVELOPMENT</t>
  </si>
  <si>
    <t>79-000-44-00-4404</t>
  </si>
  <si>
    <t>79-790-56-00-5695</t>
  </si>
  <si>
    <t>CIRCUIT COURT FINES</t>
  </si>
  <si>
    <t>Total Finance</t>
  </si>
  <si>
    <t xml:space="preserve">Total Police </t>
  </si>
  <si>
    <t xml:space="preserve">Total Public Works </t>
  </si>
  <si>
    <t>Total Admin Services &amp; Transfers</t>
  </si>
  <si>
    <t>SALARIES &amp; WAGES</t>
  </si>
  <si>
    <t>EXCISE TAX</t>
  </si>
  <si>
    <t>23-230-60-00-6058</t>
  </si>
  <si>
    <t xml:space="preserve">US 34 (IL 47 / ORCHARD RD) PROJECT </t>
  </si>
  <si>
    <t>23-230-60-00-6059</t>
  </si>
  <si>
    <t>79-000-48-00-4843</t>
  </si>
  <si>
    <t>TRANSFER TO PARKS &amp; RECREATION</t>
  </si>
  <si>
    <t>23-000-42-00-4218</t>
  </si>
  <si>
    <t>DEVELOPMENT FEES - MUNICIPAL BLDG</t>
  </si>
  <si>
    <t>DEVELOPMENT FEES - POLICE CAPITAL</t>
  </si>
  <si>
    <t>DEVELOPMENT FEES - PW CAPITAL</t>
  </si>
  <si>
    <t>25-205-54-00-5495</t>
  </si>
  <si>
    <t>25-205-60-00-6060</t>
  </si>
  <si>
    <t>25-205-60-00-6070</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</si>
  <si>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</si>
  <si>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</si>
  <si>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</si>
  <si>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</si>
  <si>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</si>
  <si>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</si>
  <si>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</si>
  <si>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</si>
  <si>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</si>
  <si>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</si>
  <si>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</si>
  <si>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</si>
  <si>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</si>
  <si>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</si>
  <si>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</si>
  <si>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</si>
  <si>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</si>
  <si>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Account Number</t>
  </si>
  <si>
    <t>185 Wolf Street Building</t>
  </si>
  <si>
    <t>Parks &amp; Recreation Capital</t>
  </si>
  <si>
    <t>Fund Balance Equivalent</t>
  </si>
  <si>
    <t>01-110-54-00-5460</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</si>
  <si>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</si>
  <si>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</si>
  <si>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</si>
  <si>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</si>
  <si>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</si>
  <si>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</si>
  <si>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</si>
  <si>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</si>
  <si>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</si>
  <si>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</si>
  <si>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</si>
  <si>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</si>
  <si>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</si>
  <si>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</si>
  <si>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</si>
  <si>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</si>
  <si>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</si>
  <si>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</si>
  <si>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</si>
  <si>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</si>
  <si>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</si>
  <si>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</si>
  <si>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</si>
  <si>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</si>
  <si>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</si>
  <si>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</si>
  <si>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</si>
  <si>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</si>
  <si>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</si>
  <si>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</si>
  <si>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</si>
  <si>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</si>
  <si>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</si>
  <si>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</si>
  <si>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</si>
  <si>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</si>
  <si>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</si>
  <si>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</si>
  <si>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</si>
  <si>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</si>
  <si>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</si>
  <si>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</si>
  <si>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</si>
  <si>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</si>
  <si>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</si>
  <si>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</si>
  <si>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</si>
  <si>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</si>
  <si>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</si>
  <si>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</si>
  <si>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</si>
  <si>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</si>
  <si>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</si>
  <si>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 xml:space="preserve">BUSINESS DISTRICT REBATE </t>
  </si>
  <si>
    <t>79-795-54-00-5460</t>
  </si>
  <si>
    <t>FY 2020</t>
  </si>
  <si>
    <t>FY 2021</t>
  </si>
  <si>
    <t>FY 2022</t>
  </si>
  <si>
    <t>FY 2023</t>
  </si>
  <si>
    <t>FY 2024</t>
  </si>
  <si>
    <t>FY 2025</t>
  </si>
  <si>
    <t>FY 2026</t>
  </si>
  <si>
    <t>FY 2027</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</si>
  <si>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</si>
  <si>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</si>
  <si>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</si>
  <si>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</si>
  <si>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</si>
  <si>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</si>
  <si>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</si>
  <si>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</si>
  <si>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</si>
  <si>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</si>
  <si>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</si>
  <si>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</si>
  <si>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</si>
  <si>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</si>
  <si>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</si>
  <si>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</si>
  <si>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</si>
  <si>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Transfers In</t>
  </si>
  <si>
    <t>51-510-60-00-6025</t>
  </si>
  <si>
    <t>52-520-60-00-6025</t>
  </si>
  <si>
    <t>01-110-50-00-5010</t>
  </si>
  <si>
    <t>23-000-46-00-4660</t>
  </si>
  <si>
    <t>REIMB - PUSH FOR THE PATH</t>
  </si>
  <si>
    <t>VIDEO GAMING TAX</t>
  </si>
  <si>
    <t>SALE OF CAPITAL ASSETS - POLICE CAPITAL</t>
  </si>
  <si>
    <t>SALE OF CAPITAL ASSETS</t>
  </si>
  <si>
    <t>INTEREST EXPENSE</t>
  </si>
  <si>
    <t>51-510-54-00-5495</t>
  </si>
  <si>
    <t>52-520-54-00-5495</t>
  </si>
  <si>
    <t>23-216-54-00-5446</t>
  </si>
  <si>
    <t>23-216-56-00-5656</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</si>
  <si>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</si>
  <si>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</si>
  <si>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</si>
  <si>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</si>
  <si>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</si>
  <si>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</si>
  <si>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</si>
  <si>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</si>
  <si>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</si>
  <si>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</si>
  <si>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</si>
  <si>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</si>
  <si>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</si>
  <si>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</si>
  <si>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</si>
  <si>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</si>
  <si>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</si>
  <si>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Principal</t>
  </si>
  <si>
    <t>Interest</t>
  </si>
  <si>
    <t>01-000-41-00-4168</t>
  </si>
  <si>
    <t>51-510-60-00-6066</t>
  </si>
  <si>
    <t>KENDALL AREA TRANSIT</t>
  </si>
  <si>
    <t>STREET LIGHTING</t>
  </si>
  <si>
    <t>72-000-47-00-4736</t>
  </si>
  <si>
    <t>BRIARWOOD</t>
  </si>
  <si>
    <t>EMPLOYER CONTRIBUTION - POLICE PENSION</t>
  </si>
  <si>
    <t>DEVELOPMENT FEES - CW CAPITAL</t>
  </si>
  <si>
    <t xml:space="preserve">City-Wide </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</si>
  <si>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</si>
  <si>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</si>
  <si>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</si>
  <si>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</si>
  <si>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</si>
  <si>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</si>
  <si>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</si>
  <si>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PUBLIC WORKS DEPARTMENT - STREET OPERATIONS / HEALTH &amp; SANITATION</t>
  </si>
  <si>
    <t>Public Works - Street Operations</t>
  </si>
  <si>
    <t>Public Works - Health &amp; Sanitation</t>
  </si>
  <si>
    <t>Allocated Insurance Expenditures - Aggregated</t>
  </si>
  <si>
    <t>Aggregated Salary &amp; Wage Information</t>
  </si>
  <si>
    <t>01-410-50-00-5015</t>
  </si>
  <si>
    <t>25-000-42-00-4218</t>
  </si>
  <si>
    <t>25-000-42-00-4219</t>
  </si>
  <si>
    <t>25-000-42-00-4215</t>
  </si>
  <si>
    <t>25-000-42-00-4220</t>
  </si>
  <si>
    <t>25-000-43-00-4315</t>
  </si>
  <si>
    <t>25-000-43-00-4316</t>
  </si>
  <si>
    <t>25-000-44-00-4418</t>
  </si>
  <si>
    <t>25-000-44-00-4420</t>
  </si>
  <si>
    <t>25-000-44-00-4421</t>
  </si>
  <si>
    <t>25-000-44-00-4427</t>
  </si>
  <si>
    <t>25-000-45-00-4522</t>
  </si>
  <si>
    <t>25-000-48-00-4852</t>
  </si>
  <si>
    <t>25-000-48-00-4854</t>
  </si>
  <si>
    <t>25-000-49-00-4920</t>
  </si>
  <si>
    <t>25-000-49-00-4921</t>
  </si>
  <si>
    <t>STATE GRANTS - TRAFFIC SIGNAL MAINTENANCE</t>
  </si>
  <si>
    <t>82-000-44-00-4439</t>
  </si>
  <si>
    <t>23-230-54-00-5499</t>
  </si>
  <si>
    <t>42-420-79-00-8000</t>
  </si>
  <si>
    <t>42-420-79-00-8050</t>
  </si>
  <si>
    <t>2014A Bond</t>
  </si>
  <si>
    <t>23-230-78-00-8000</t>
  </si>
  <si>
    <t>23-230-78-00-8050</t>
  </si>
  <si>
    <t>51-510-94-00-8000</t>
  </si>
  <si>
    <t>51-510-94-00-8050</t>
  </si>
  <si>
    <t>Debt Service - 2014 Refunding Bond</t>
  </si>
  <si>
    <t>23-230-54-00-5498</t>
  </si>
  <si>
    <t>General Fund Revenues</t>
  </si>
  <si>
    <t>LIQUOR LICENSES</t>
  </si>
  <si>
    <t>23-000-46-00-4690</t>
  </si>
  <si>
    <t xml:space="preserve">REIMB - MISCELLANEOUS </t>
  </si>
  <si>
    <t xml:space="preserve">The Debt Service Fund accumulates monies for payment of the 2014B bonds, which refinanced the 2005A bonds.  The 2005A bonds were originally issued to finance road improvement projects.  </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</si>
  <si>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</si>
  <si>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</si>
  <si>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</si>
  <si>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</si>
  <si>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</si>
  <si>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</si>
  <si>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</si>
  <si>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</si>
  <si>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</si>
  <si>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</si>
  <si>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</si>
  <si>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51-510-77-00-8000</t>
  </si>
  <si>
    <t>51-510-77-00-8050</t>
  </si>
  <si>
    <t>Aggregated Benefit Information</t>
  </si>
  <si>
    <t>IMRF</t>
  </si>
  <si>
    <t>FICA</t>
  </si>
  <si>
    <t>TRANSFER TO CITY-WIDE CAPITAL</t>
  </si>
  <si>
    <t>BLACKBERRY CREEK NATURE PRESERVE</t>
  </si>
  <si>
    <t>72-720-60-00-6067</t>
  </si>
  <si>
    <t>TRANSFER FROM CITY-WIDE CAPITAL</t>
  </si>
  <si>
    <t>87-870-54-00-5462</t>
  </si>
  <si>
    <t>88-880-54-00-5462</t>
  </si>
  <si>
    <t>Well Rehabs</t>
  </si>
  <si>
    <t>Selected Capital Projects - Aggregated &gt; $500,000</t>
  </si>
  <si>
    <t>2014B Refunding Bond</t>
  </si>
  <si>
    <t>Debt Service - 2014C Refunding Bond</t>
  </si>
  <si>
    <t>Total Library</t>
  </si>
  <si>
    <t>Grand Total</t>
  </si>
  <si>
    <t>01-000-40-00-4055</t>
  </si>
  <si>
    <t>Selected Capital Projects - Aggregated &gt; $500,000 continued</t>
  </si>
  <si>
    <t>2015A Bond</t>
  </si>
  <si>
    <t>01-410-54-00-5415</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</si>
  <si>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</si>
  <si>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</si>
  <si>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</si>
  <si>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</si>
  <si>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</si>
  <si>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</si>
  <si>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</si>
  <si>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</si>
  <si>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</si>
  <si>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</si>
  <si>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25-000-49-00-4922</t>
  </si>
  <si>
    <t>SALE OF CAPITAL ASSETS - PARK CAPITAL</t>
  </si>
  <si>
    <t>82-820-56-00-5686</t>
  </si>
  <si>
    <t>51-510-60-00-6059</t>
  </si>
  <si>
    <t>52-520-60-00-6059</t>
  </si>
  <si>
    <t>87-870-77-00-8000</t>
  </si>
  <si>
    <t>87-870-77-00-8050</t>
  </si>
  <si>
    <t>NEW WORLD &amp; LIVE SCAN</t>
  </si>
  <si>
    <t>01-640-54-00-5418</t>
  </si>
  <si>
    <t>PURCHASING SERVICES</t>
  </si>
  <si>
    <t>23-000-46-00-4607</t>
  </si>
  <si>
    <t>REIMB - BLACKBERRY WOODS</t>
  </si>
  <si>
    <t>23-230-60-00-6014</t>
  </si>
  <si>
    <t>25-000-48-00-4855</t>
  </si>
  <si>
    <t>MISCELLANEOUS INCOME - PARK CAPITAL</t>
  </si>
  <si>
    <t>01-640-54-00-5473</t>
  </si>
  <si>
    <t>01-640-54-00-5486</t>
  </si>
  <si>
    <t>51-510-85-00-8000</t>
  </si>
  <si>
    <t>51-510-85-00-8050</t>
  </si>
  <si>
    <t>01-210-54-00-5488</t>
  </si>
  <si>
    <t>01-410-54-00-5488</t>
  </si>
  <si>
    <t>51-510-54-00-5488</t>
  </si>
  <si>
    <t>52-520-54-00-5488</t>
  </si>
  <si>
    <t>79-790-54-00-5488</t>
  </si>
  <si>
    <t>79-795-54-00-5488</t>
  </si>
  <si>
    <t>GC HOUSING RENTAL ASSISTANCE</t>
  </si>
  <si>
    <t>23-230-99-00-9951</t>
  </si>
  <si>
    <t>51-000-49-00-4923</t>
  </si>
  <si>
    <t>PROPERTY ACQUISITION</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</si>
  <si>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</si>
  <si>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</si>
  <si>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</si>
  <si>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</si>
  <si>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</si>
  <si>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</si>
  <si>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</si>
  <si>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</si>
  <si>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</si>
  <si>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</si>
  <si>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</si>
  <si>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</si>
  <si>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</si>
  <si>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</si>
  <si>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</si>
  <si>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51-510-60-00-6081</t>
  </si>
  <si>
    <t>51-510-54-00-5401</t>
  </si>
  <si>
    <t>ADMINISTRATIVE CHARGEBACK</t>
  </si>
  <si>
    <t>52-520-54-00-5401</t>
  </si>
  <si>
    <t>01-000-44-00-4415</t>
  </si>
  <si>
    <t>87-870-54-00-5401</t>
  </si>
  <si>
    <t>88-880-54-00-5401</t>
  </si>
  <si>
    <t>Debt Service - 2016 Refunding Bond</t>
  </si>
  <si>
    <t xml:space="preserve">UB COLLECTION FEES </t>
  </si>
  <si>
    <t>FNBO Loan - 102 E Van Emmon Building</t>
  </si>
  <si>
    <t>52-520-60-00-6060</t>
  </si>
  <si>
    <t xml:space="preserve">PROPERTY TAXES - LIBRARY OPS                   </t>
  </si>
  <si>
    <t>PROPERTY TAXES - DEBT SERVICE</t>
  </si>
  <si>
    <t>The table and graph below present the Library's funds in aggregate, similar to that of a private business (for illustrative purposes only).  All budgeted Library funds are included:  Library Operations (82); and Library Capital (84).</t>
  </si>
  <si>
    <t>82-820-84-00-8000</t>
  </si>
  <si>
    <t>82-820-84-00-8050</t>
  </si>
  <si>
    <t>82-820-99-00-8000</t>
  </si>
  <si>
    <t>82-820-99-00-8050</t>
  </si>
  <si>
    <t>51-510-60-00-6011</t>
  </si>
  <si>
    <t>01-640-54-00-5423</t>
  </si>
  <si>
    <t>Downtown TIF II</t>
  </si>
  <si>
    <t>89-000-40-00-4000</t>
  </si>
  <si>
    <t>Downtown TIF Fund II (89)</t>
  </si>
  <si>
    <t>01-220-54-00-5422</t>
  </si>
  <si>
    <t>General Government Capital</t>
  </si>
  <si>
    <t>25-000-44-00-4419</t>
  </si>
  <si>
    <t>COMMUNITY DEVELOPMENT CHARGEBACK</t>
  </si>
  <si>
    <t>Fund Balance - General Government</t>
  </si>
  <si>
    <t>01-410-54-00-5483</t>
  </si>
  <si>
    <t>52-520-54-00-5483</t>
  </si>
  <si>
    <t>01-410-56-00-5665</t>
  </si>
  <si>
    <t>52-520-56-00-5665</t>
  </si>
  <si>
    <t>87-870-54-00-5425</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</si>
  <si>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</si>
  <si>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</si>
  <si>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</si>
  <si>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</si>
  <si>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</si>
  <si>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</si>
  <si>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</si>
  <si>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</si>
  <si>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</si>
  <si>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</si>
  <si>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</si>
  <si>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</si>
  <si>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ASPHALT PATCHING</t>
  </si>
  <si>
    <t>23-000-46-00-4618</t>
  </si>
  <si>
    <t>REIMB - BRISTOL BAY ANNEX</t>
  </si>
  <si>
    <t>23-230-60-00-6098</t>
  </si>
  <si>
    <t>BRISTOL BAY SUBDIVISION</t>
  </si>
  <si>
    <t>25-212-56-00-5635</t>
  </si>
  <si>
    <t>25-212-60-00-6070</t>
  </si>
  <si>
    <t>General Government Fund Balance</t>
  </si>
  <si>
    <t>General Government Capital Expenditures</t>
  </si>
  <si>
    <t>23-230-60-00-6023</t>
  </si>
  <si>
    <t>FOUNTAIN VILLAGE SUBDIVISION</t>
  </si>
  <si>
    <t>23-000-46-00-4621</t>
  </si>
  <si>
    <t>REIMB - FOUNTAIN VILLAGE</t>
  </si>
  <si>
    <t>23-230-56-00-5632</t>
  </si>
  <si>
    <t>52-520-60-00-6001</t>
  </si>
  <si>
    <t>SCADA SYSTEM</t>
  </si>
  <si>
    <t>PARK IMPROVEMENTS</t>
  </si>
  <si>
    <t>52-520-60-00-6070</t>
  </si>
  <si>
    <t>23-216-56-00-5626</t>
  </si>
  <si>
    <t>82-000-40-00-4083</t>
  </si>
  <si>
    <t>Operational Fund Balance %</t>
  </si>
  <si>
    <t>Property Taxes (continued)</t>
  </si>
  <si>
    <t>82-820-56-00-5621</t>
  </si>
  <si>
    <t>CUSTODIAL SUPPLIES</t>
  </si>
  <si>
    <t>LIBRARY OPERATING SUPPLIES</t>
  </si>
  <si>
    <t>23-230-60-00-6034</t>
  </si>
  <si>
    <t>WHISPERING MEADOWS SUBDIVISION</t>
  </si>
  <si>
    <t>01-640-99-00-9923</t>
  </si>
  <si>
    <t>51-510-60-00-6034</t>
  </si>
  <si>
    <t>01-000-45-00-4550</t>
  </si>
  <si>
    <t>GAIN ON INVESTMENT</t>
  </si>
  <si>
    <t xml:space="preserve">TRANSFER FROM GENERAL </t>
  </si>
  <si>
    <t>23-000-45-00-4550</t>
  </si>
  <si>
    <t>23-230-54-00-5462</t>
  </si>
  <si>
    <t>25-000-45-00-4550</t>
  </si>
  <si>
    <t>51-000-45-00-4550</t>
  </si>
  <si>
    <t>52-000-45-00-4550</t>
  </si>
  <si>
    <t>72-000-47-00-4724</t>
  </si>
  <si>
    <t>KENDALL MARKETPLACE</t>
  </si>
  <si>
    <t>82-000-45-00-4550</t>
  </si>
  <si>
    <t>SIDEWALK CONSTRUCTION SUPPLIES</t>
  </si>
  <si>
    <t>23-230-56-00-5637</t>
  </si>
  <si>
    <t>72-720-54-00-5485</t>
  </si>
  <si>
    <t>72-720-60-00-6047</t>
  </si>
  <si>
    <t>72-720-60-00-6040</t>
  </si>
  <si>
    <t>PRESTWICK</t>
  </si>
  <si>
    <t>72-000-47-00-4725</t>
  </si>
  <si>
    <t>HEARTLAND MEADOWS</t>
  </si>
  <si>
    <t>72-000-47-00-4702</t>
  </si>
  <si>
    <t>WHISPERING MEADOWS</t>
  </si>
  <si>
    <t>25-225-54-00-5495</t>
  </si>
  <si>
    <t>25-000-42-00-4217</t>
  </si>
  <si>
    <t>WEATHER WARNING SIREN FEES</t>
  </si>
  <si>
    <t>72-720-60-00-6013</t>
  </si>
  <si>
    <t>BEECHER CENTER PARK</t>
  </si>
  <si>
    <t xml:space="preserve">KENNEDY ROAD BIKE TRAIL </t>
  </si>
  <si>
    <t>52-520-50-00-5015</t>
  </si>
  <si>
    <t>51-510-60-00-6015</t>
  </si>
  <si>
    <t>23-230-60-00-6012</t>
  </si>
  <si>
    <t>MILL ROAD IMPROVEMENTS</t>
  </si>
  <si>
    <t>23-000-46-00-4612</t>
  </si>
  <si>
    <t>82-820-56-00-5635</t>
  </si>
  <si>
    <t>ROUTE 71 (RTE 47 / RTE 126) PROJECT</t>
  </si>
  <si>
    <t>72-000-48-00-4850</t>
  </si>
  <si>
    <t>01-640-54-00-5462</t>
  </si>
  <si>
    <t>Mill Road</t>
  </si>
  <si>
    <t>Total City Debt Service Payments</t>
  </si>
  <si>
    <t xml:space="preserve">The Downtown TIF II was created in 2018, in order to help promote downtown redevelopment and support the existing Downtown TIF.  </t>
  </si>
  <si>
    <t>15-000-46-00-4690</t>
  </si>
  <si>
    <t xml:space="preserve">Total City </t>
  </si>
  <si>
    <t>MATERIALS STORAGE BUILDING</t>
  </si>
  <si>
    <t>23-216-60-00-6003</t>
  </si>
  <si>
    <t>BALLISTIC VESTS</t>
  </si>
  <si>
    <t>ROUTE 47 (RTE 30 / WATER PARK WAY)</t>
  </si>
  <si>
    <t>LENNAR - RAINTREE SEWER RECAPTURE</t>
  </si>
  <si>
    <t>25-225-60-00-6010</t>
  </si>
  <si>
    <t>MISCELLANEOUS REIMB - PARK CAPITAL</t>
  </si>
  <si>
    <t>89-890-54-00-5425</t>
  </si>
  <si>
    <t>89-890-54-00-5462</t>
  </si>
  <si>
    <t>25-000-49-00-4906</t>
  </si>
  <si>
    <t>LOAN ISSUANCE</t>
  </si>
  <si>
    <t>25-215-99-00-9960</t>
  </si>
  <si>
    <t>PAYMENT TO ESCROW AGENT</t>
  </si>
  <si>
    <t>25-225-99-00-9960</t>
  </si>
  <si>
    <t>23-230-60-00-6063</t>
  </si>
  <si>
    <t>72-000-47-00-4701</t>
  </si>
  <si>
    <t>WHITE OAK</t>
  </si>
  <si>
    <t>23-230-60-00-6041</t>
  </si>
  <si>
    <t>SIDEWALK REPLACEMENT PROGRAM</t>
  </si>
  <si>
    <t>PAVEMENT STRIPING PROGRAM</t>
  </si>
  <si>
    <t>25-000-49-00-4910</t>
  </si>
  <si>
    <t>SALE OF CAPITAL ASSETS - GEN GOV</t>
  </si>
  <si>
    <t>23-230-60-00-6036</t>
  </si>
  <si>
    <t>RAINTREE VILLAGE IMPROVEMENTS</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</si>
  <si>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</si>
  <si>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</si>
  <si>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</si>
  <si>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</si>
  <si>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</si>
  <si>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</si>
  <si>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</si>
  <si>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</si>
  <si>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</si>
  <si>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</si>
  <si>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</si>
  <si>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</si>
  <si>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</si>
  <si>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</si>
  <si>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</si>
  <si>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</si>
  <si>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</si>
  <si>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</si>
  <si>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</si>
  <si>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</si>
  <si>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General Government, Public Works and Parks &amp; Recreation Departments.  </t>
  </si>
  <si>
    <t>15-155-60-00-6028</t>
  </si>
  <si>
    <t>15-000-41-00-4114</t>
  </si>
  <si>
    <t>TRANSPORTATION RENEWAL TAX</t>
  </si>
  <si>
    <t>DCEO - MATERIAL STORAGE BLDG</t>
  </si>
  <si>
    <t>23-000-41-00-4189</t>
  </si>
  <si>
    <t>The table and graph below present the City's funds in aggregate, similar to that of a private business (for illustrative purposes only).  All budgeted funds are included except for the following:  Library Operations (82); and Library Capital (84).</t>
  </si>
  <si>
    <t>25-000-48-00-4850</t>
  </si>
  <si>
    <t>MISCELLANEOUS INCOME - GEN GOV</t>
  </si>
  <si>
    <t>25-000-41-00-4170</t>
  </si>
  <si>
    <t>23-000-49-00-4901</t>
  </si>
  <si>
    <t>25-000-46-00-4691</t>
  </si>
  <si>
    <t>MISCELLANEOUS REIMB - PW CAPITAL</t>
  </si>
  <si>
    <t>89-000-49-00-4910</t>
  </si>
  <si>
    <t>FOX HILL IMPROVEMENTS</t>
  </si>
  <si>
    <t>23-216-60-00-6011</t>
  </si>
  <si>
    <t>01-640-54-00-5431</t>
  </si>
  <si>
    <t>LOCAL ECONOMIC SUPPORT PROGRAM</t>
  </si>
  <si>
    <t>82-000-41-00-4160</t>
  </si>
  <si>
    <t>Debt Service - 2003B IRBB Debt Certificates</t>
  </si>
  <si>
    <t>23-230-60-00-6087</t>
  </si>
  <si>
    <t>KENNEDY ROAD (FREEDOM PLACE)</t>
  </si>
  <si>
    <t>23-230-60-00-6088</t>
  </si>
  <si>
    <t>KENNEDY ROAD (NORTH)</t>
  </si>
  <si>
    <t>15-155-60-00-6005</t>
  </si>
  <si>
    <t>23-230-60-00-6005</t>
  </si>
  <si>
    <t>BOND PROCEEDS</t>
  </si>
  <si>
    <t>CITY HALL IMPROVEMENTS</t>
  </si>
  <si>
    <t>Total General Fund Revenues &amp; Transfers</t>
  </si>
  <si>
    <t>Administration Department Expenditures</t>
  </si>
  <si>
    <t>Finance Department Expenditures</t>
  </si>
  <si>
    <t>Police Department Expenditures</t>
  </si>
  <si>
    <t>Community Development Department Expenditures</t>
  </si>
  <si>
    <t>Total General Fund Expenditures</t>
  </si>
  <si>
    <t>(Transfers Out)</t>
  </si>
  <si>
    <t>General Fund Net Transfers</t>
  </si>
  <si>
    <t>Fund Balance %</t>
  </si>
  <si>
    <t>23-230-60-00-6032</t>
  </si>
  <si>
    <t>BRISTOL RIDGE ROAD</t>
  </si>
  <si>
    <t>23-000-41-00-4163</t>
  </si>
  <si>
    <t>FEDERAL GRANTS - STP BRISTOL RIDGE</t>
  </si>
  <si>
    <t>Fox Hill SSA Revenues</t>
  </si>
  <si>
    <t>Fox Hill SSA Expenditures</t>
  </si>
  <si>
    <t>Sunflower SSA Revenues</t>
  </si>
  <si>
    <t>Sunflower SSA Expenditures</t>
  </si>
  <si>
    <t>Motor Fuel Tax Revenues</t>
  </si>
  <si>
    <t>Motor Fuel Tax Expenditures</t>
  </si>
  <si>
    <t>City-Wide Capital Revenues</t>
  </si>
  <si>
    <t>Total City-Wide Capital Fund Expenditures</t>
  </si>
  <si>
    <t>City-Wide Capital Fund Net Transfers</t>
  </si>
  <si>
    <t>Vehicle &amp; Equipment Revenues</t>
  </si>
  <si>
    <t>Parks &amp; Recreation Capital Expenditures</t>
  </si>
  <si>
    <t>Total Vehicle &amp; Equipment Fund Expenditures</t>
  </si>
  <si>
    <t>Vehicle &amp; Equipment Fund Net Transfers</t>
  </si>
  <si>
    <t>Water Fund Revenues</t>
  </si>
  <si>
    <t>Water Fund Expenses</t>
  </si>
  <si>
    <t>Water Fund Net Transfers</t>
  </si>
  <si>
    <t>Sewer Fund Revenues</t>
  </si>
  <si>
    <t>Total Sewer Fund Expenses</t>
  </si>
  <si>
    <t>Sewer Fund Expenses</t>
  </si>
  <si>
    <t>Sewer Fund Net Transfers</t>
  </si>
  <si>
    <t>Debt Service Fund Revenues</t>
  </si>
  <si>
    <t>Debt Service Fund Expenditures</t>
  </si>
  <si>
    <t>Land Cash Fund Revenues</t>
  </si>
  <si>
    <t>Land Cash Fund Expenditures</t>
  </si>
  <si>
    <t>Parks &amp; Recreation Fund Revenues</t>
  </si>
  <si>
    <t>Parks Department Expenditures</t>
  </si>
  <si>
    <t>Recreation Department Expenditures</t>
  </si>
  <si>
    <t>Total Parks &amp; Recreation Fund Expenditures</t>
  </si>
  <si>
    <t>%</t>
  </si>
  <si>
    <t>Change</t>
  </si>
  <si>
    <t>Total Revenues</t>
  </si>
  <si>
    <t>Total Expenditures &amp; Transfers</t>
  </si>
  <si>
    <t>Total Revenues and Transfers</t>
  </si>
  <si>
    <t>Sub-Total Expenditures &amp; Transfers</t>
  </si>
  <si>
    <t>Total City-Wide Capital Revenues &amp; Transfers</t>
  </si>
  <si>
    <t>City-Wide Capital Expenditures &amp; Transfers</t>
  </si>
  <si>
    <t xml:space="preserve">Total Vehicle &amp; Equipment Revenues &amp; Transfers </t>
  </si>
  <si>
    <t>Total Public Works Capital Expenditures &amp; Transfers</t>
  </si>
  <si>
    <t xml:space="preserve">Total Parks &amp; Recreation Capital Expenditures &amp; Transfers </t>
  </si>
  <si>
    <t xml:space="preserve">Debt Service Fund Revenues &amp; Transfers </t>
  </si>
  <si>
    <t xml:space="preserve">Total Water Fund Revenues &amp; Transfers </t>
  </si>
  <si>
    <t xml:space="preserve">Sewer Fund Revenues &amp; Transfers </t>
  </si>
  <si>
    <t xml:space="preserve">Parks &amp; Recreation Revenues &amp; Transfers </t>
  </si>
  <si>
    <t>Total Expenses &amp; Transfers</t>
  </si>
  <si>
    <t>Total Revenues &amp; Transfers</t>
  </si>
  <si>
    <t>Total Revenue &amp; Transfers</t>
  </si>
  <si>
    <t>TOTAL REVENUES &amp; TRANSFERS</t>
  </si>
  <si>
    <t>TOTAL EXPENDITURES &amp; TRANSFERS</t>
  </si>
  <si>
    <t>Parks &amp; Recreation Fund Net Transfers</t>
  </si>
  <si>
    <t>Countryside TIF Expenditures</t>
  </si>
  <si>
    <t>Downtown TIF Expenditures</t>
  </si>
  <si>
    <t>Downtown TIF II Expenditures</t>
  </si>
  <si>
    <t>FY 21 v 20</t>
  </si>
  <si>
    <t>FY 22 v 21</t>
  </si>
  <si>
    <t>Revenues &amp; Other Financing Sources by Category</t>
  </si>
  <si>
    <t>Expenditures &amp; Other Financing Uses by Category</t>
  </si>
  <si>
    <t>Sources(Uses)</t>
  </si>
  <si>
    <t>Library Fund Revenues</t>
  </si>
  <si>
    <t>Library Fund Revenue &amp; Transfers</t>
  </si>
  <si>
    <t>Library Fund Net Transfers</t>
  </si>
  <si>
    <t>Revenues &amp; Other Financing Sources Budget Summary - All Funds</t>
  </si>
  <si>
    <t>Expenditures &amp; Other Financing Uses Budget Summary - All Funds</t>
  </si>
  <si>
    <t xml:space="preserve">Revenues </t>
  </si>
  <si>
    <t>Downtown TIF II Fund Revenues</t>
  </si>
  <si>
    <t>Downtown TIF II Revenues &amp; Transfers</t>
  </si>
  <si>
    <t>Public Works - Health &amp; Sanitation Department Expenditures</t>
  </si>
  <si>
    <t>Administrative Services Department Expenditures</t>
  </si>
  <si>
    <t>Public Works - Street Department Expenditures</t>
  </si>
  <si>
    <t>Total Public Works - Street &amp; Sanitation Department Expenditures</t>
  </si>
  <si>
    <t>Library Fund Expenditures</t>
  </si>
  <si>
    <t>Library Capital Fund Revenues</t>
  </si>
  <si>
    <t>Library Capital Fund Expenditures</t>
  </si>
  <si>
    <t>FOX HILL SSA FUND - 11</t>
  </si>
  <si>
    <t>SUNFLOWER SSA FUND - 12</t>
  </si>
  <si>
    <t>MOTOR FUEL TAX FUND - 15</t>
  </si>
  <si>
    <t>CITY-WIDE CAPITAL FUND - 23</t>
  </si>
  <si>
    <t>VEHICLE &amp; EQUIPMENT FUND - 25</t>
  </si>
  <si>
    <t>DEBT SERVICE FUND - 42</t>
  </si>
  <si>
    <t>WATER FUND - 51</t>
  </si>
  <si>
    <t>SEWER FUND - 52</t>
  </si>
  <si>
    <t>Water Operations Department</t>
  </si>
  <si>
    <t>Sewer Operations Department</t>
  </si>
  <si>
    <t>LAND CASH FUND - 72</t>
  </si>
  <si>
    <t>PARKS &amp; RECREATION FUND - 79</t>
  </si>
  <si>
    <t>LIBRARY FUND - 82</t>
  </si>
  <si>
    <t>Library Operations Department</t>
  </si>
  <si>
    <t>LIBRARY CAPITAL FUND - 84</t>
  </si>
  <si>
    <t>COUNTRYSIDE TIF FUND - 87</t>
  </si>
  <si>
    <t>DOWNTOWN TIF FUND - 88</t>
  </si>
  <si>
    <t>Downtown TIF Revenues</t>
  </si>
  <si>
    <t>Countryside TIF Revenues</t>
  </si>
  <si>
    <t>DOWNTOWN TIF II FUND - 89</t>
  </si>
  <si>
    <t>Building &amp; Grounds Expenditures</t>
  </si>
  <si>
    <t>Building &amp; Grounds Expenditures &amp; Transfers</t>
  </si>
  <si>
    <t>24-000-42-00-4218</t>
  </si>
  <si>
    <t>24-000-45-00-4500</t>
  </si>
  <si>
    <t>24-000-48-00-4845</t>
  </si>
  <si>
    <t>24-000-49-00-4900</t>
  </si>
  <si>
    <t>24-000-49-00-4901</t>
  </si>
  <si>
    <t>24-216-54-00-5446</t>
  </si>
  <si>
    <t>24-216-56-00-5626</t>
  </si>
  <si>
    <t>24-216-56-00-5656</t>
  </si>
  <si>
    <t>24-216-60-00-6030</t>
  </si>
  <si>
    <t>24-216-99-00-9901</t>
  </si>
  <si>
    <t>Total Building &amp; Grounds Fund Expenditures</t>
  </si>
  <si>
    <t>24-216-99-00-9923</t>
  </si>
  <si>
    <t>Building &amp; Grounds Fund Net Transfers</t>
  </si>
  <si>
    <t>01-640-99-00-9924</t>
  </si>
  <si>
    <t>TRANSFER TO BUILDINGS &amp; GROUNDS</t>
  </si>
  <si>
    <t>24-216-82-00-8000</t>
  </si>
  <si>
    <t>24-216-82-00-8050</t>
  </si>
  <si>
    <t>TRANSFER FROM BUILDINGS &amp; GROUNDS</t>
  </si>
  <si>
    <t>City-Wide - Buildings &amp; Grounds Expenditures</t>
  </si>
  <si>
    <t>City-Wide - Buildings &amp; Grounds Expenditures &amp; Transfers</t>
  </si>
  <si>
    <t>BUILDINGS &amp; GROUNDS FUND - 24</t>
  </si>
  <si>
    <t>Buildings &amp; Grounds Revenues</t>
  </si>
  <si>
    <t>Buildings &amp; Grounds Revenues &amp; Transfers</t>
  </si>
  <si>
    <t>Buildings &amp; Grounds</t>
  </si>
  <si>
    <t xml:space="preserve">The City-Wide Capital Fund is used to maintain existing and construct new public infrastructure, and to fund other improvements that benefit the public.  </t>
  </si>
  <si>
    <t>Buildings &amp; Grounds Fund (24)</t>
  </si>
  <si>
    <t>24-216-50-00-5010</t>
  </si>
  <si>
    <t>24-216-52-00-5212</t>
  </si>
  <si>
    <t>24-216-52-00-5214</t>
  </si>
  <si>
    <t>24-216-52-00-5216</t>
  </si>
  <si>
    <t>24-216-52-00-5222</t>
  </si>
  <si>
    <t>24-216-52-00-5223</t>
  </si>
  <si>
    <t>24-216-52-00-5224</t>
  </si>
  <si>
    <t>BUILDINGS &amp; GROUNDS CHARGEBACK</t>
  </si>
  <si>
    <t>24-000-44-00-4416</t>
  </si>
  <si>
    <t>24-216-54-00-5432</t>
  </si>
  <si>
    <t>01-640-54-00-5453</t>
  </si>
  <si>
    <t>51-510-54-00-5453</t>
  </si>
  <si>
    <t>52-520-54-00-5453</t>
  </si>
  <si>
    <t>01-640-54-00-5424</t>
  </si>
  <si>
    <t>24-216-54-00-5424</t>
  </si>
  <si>
    <t>Fox Hill Improvements</t>
  </si>
  <si>
    <t>Bristol Ridge Road</t>
  </si>
  <si>
    <t>Grant Proceeds</t>
  </si>
  <si>
    <t>Rebuild IL Proceeds</t>
  </si>
  <si>
    <t>Kennedy Road (North)</t>
  </si>
  <si>
    <t>Kennedy Road (Freedom Place)</t>
  </si>
  <si>
    <t>24-216-54-00-5402</t>
  </si>
  <si>
    <t>BOND ISSUANCE COSTS</t>
  </si>
  <si>
    <t>52-520-54-00-5402</t>
  </si>
  <si>
    <t>24-216-86-00-8000</t>
  </si>
  <si>
    <t>24-216-86-00-8050</t>
  </si>
  <si>
    <t>PUBLIC WORKS FACILITY</t>
  </si>
  <si>
    <t>24-000-49-00-4951</t>
  </si>
  <si>
    <t>24-000-49-00-4952</t>
  </si>
  <si>
    <t>TRANSFER FROM WATER</t>
  </si>
  <si>
    <t>52-520-99-00-9924</t>
  </si>
  <si>
    <t>51-510-99-00-9924</t>
  </si>
  <si>
    <t>Total Water Fund Expenses</t>
  </si>
  <si>
    <t xml:space="preserve">The Buildings &amp; Grounds Fund was created in Fiscal Year 2022 and is used to maintain existing and construct new municipal owned buildings.  </t>
  </si>
  <si>
    <t>23-000-49-00-4924</t>
  </si>
  <si>
    <t>23-230-99-00-9924</t>
  </si>
  <si>
    <t>24-000-49-00-4923</t>
  </si>
  <si>
    <t>84-840-60-00-6020</t>
  </si>
  <si>
    <t>BUILDING IMPROVEMENTS</t>
  </si>
  <si>
    <t>52-000-41-00-4165</t>
  </si>
  <si>
    <t>51-000-41-00-4165</t>
  </si>
  <si>
    <t>79-000-41-00-4165</t>
  </si>
  <si>
    <t>Fiscal Years 2020 - 2027</t>
  </si>
  <si>
    <t>Fiscal Year 2023</t>
  </si>
  <si>
    <t>Fiscal Year 2023 Budget</t>
  </si>
  <si>
    <t>FY 23 v 22</t>
  </si>
  <si>
    <t>END OF FISCAL YEAR 2023 BUDGET DETAIL WORKSHEET</t>
  </si>
  <si>
    <t>23-000-48-00-4850</t>
  </si>
  <si>
    <t>72-000-47-00-4712</t>
  </si>
  <si>
    <t>GREENBRIAR PARK DETENTION</t>
  </si>
  <si>
    <t>89-000-48-00-4850</t>
  </si>
  <si>
    <t>24-000-49-00-4903</t>
  </si>
  <si>
    <t>PREMIUM ON BOND ISSUANCE</t>
  </si>
  <si>
    <t>23-230-60-00-6033</t>
  </si>
  <si>
    <t>SHARED USE PATH MAINTENANCE PROGRAM</t>
  </si>
  <si>
    <t>23-230-60-00-6037</t>
  </si>
  <si>
    <t xml:space="preserve">PARKING LOT MAINTENANCE PROGRAM </t>
  </si>
  <si>
    <t>Debt Service - 2022 Bond</t>
  </si>
  <si>
    <t>52-520-95-00-8000</t>
  </si>
  <si>
    <t>52-520-95-00-8050</t>
  </si>
  <si>
    <t>24-216-95-00-8000</t>
  </si>
  <si>
    <t>24-216-95-00-8050</t>
  </si>
  <si>
    <t>52-000-49-00-4902</t>
  </si>
  <si>
    <t>BOND ISSUANCE</t>
  </si>
  <si>
    <t>52-520-99-00-9990</t>
  </si>
  <si>
    <t>23-230-60-00-6071</t>
  </si>
  <si>
    <t>BASELINE ROAD IMPROVEMENTS</t>
  </si>
  <si>
    <t>23-230-60-00-6085</t>
  </si>
  <si>
    <t>CORNEILS ROAD IMPROVEMENTS</t>
  </si>
  <si>
    <t>23-000-46-00-4606</t>
  </si>
  <si>
    <t>REIMB - COM ED</t>
  </si>
  <si>
    <t>52-520-54-00-5465</t>
  </si>
  <si>
    <t>Debt Service - 2021 Bond</t>
  </si>
  <si>
    <t>Debt Service - 2023 Bond</t>
  </si>
  <si>
    <t>24-216-56-00-5600</t>
  </si>
  <si>
    <t>25-000-44-00-4416</t>
  </si>
  <si>
    <t>BUILDING &amp; GROUNDS CHARGEBACK</t>
  </si>
  <si>
    <t>24-216-54-00-5422</t>
  </si>
  <si>
    <t>24-216-60-00-6042</t>
  </si>
  <si>
    <t>BEAVER STREET BOOSTER STATION</t>
  </si>
  <si>
    <t>51-510-60-00-6065</t>
  </si>
  <si>
    <t>WATER TOWER REHABILITATION</t>
  </si>
  <si>
    <t>23-000-41-00-4164</t>
  </si>
  <si>
    <t>DCEO - REBUILD DOWNTOWN</t>
  </si>
  <si>
    <t>23-230-60-00-6073</t>
  </si>
  <si>
    <t>51-000-41-00-4166</t>
  </si>
  <si>
    <t>DCEO - GENERAL INFRA GRANT</t>
  </si>
  <si>
    <t>52-000-41-00-4167</t>
  </si>
  <si>
    <t>FEDERAL GRANTS - CDBG FUNDS</t>
  </si>
  <si>
    <t>52-520-60-00-6092</t>
  </si>
  <si>
    <t>SANITARY SEWER IMPROVEMENTS</t>
  </si>
  <si>
    <t>52-000-46-00-4684</t>
  </si>
  <si>
    <t>REIMB - SANITARY SEWER</t>
  </si>
  <si>
    <t>REIMB - GRANDE RESERVE IMPROVEMENTS</t>
  </si>
  <si>
    <t>25-205-54-00-5485</t>
  </si>
  <si>
    <t>(01) General Fund</t>
  </si>
  <si>
    <t>(42) Debt Service Fund</t>
  </si>
  <si>
    <t>REBUILD DOWNTOWN PROJECT</t>
  </si>
  <si>
    <t>24-216-54-00-5440</t>
  </si>
  <si>
    <t>25-000-49-00-4972</t>
  </si>
  <si>
    <t>TRANSFER FROM LAND CASH</t>
  </si>
  <si>
    <t>72-720-99-00-9925</t>
  </si>
  <si>
    <t>TRANSFER TO VEHICLE &amp; EQUIPMENT</t>
  </si>
  <si>
    <t>Total Land Cash Expenditures</t>
  </si>
  <si>
    <t xml:space="preserve">Fund Balance </t>
  </si>
  <si>
    <t>Land Cash Fund Net Transfers</t>
  </si>
  <si>
    <t>51-510-60-00-6073</t>
  </si>
  <si>
    <t>52-520-60-00-6073</t>
  </si>
  <si>
    <t>DEVELOPER COMMITMENT</t>
  </si>
  <si>
    <t>WATER SOURCING - DWC</t>
  </si>
  <si>
    <t>WATER METER REPLACEMENT PROGRAM</t>
  </si>
  <si>
    <t>51-510-54-00-5404</t>
  </si>
  <si>
    <t>82-820-54-00-5453</t>
  </si>
  <si>
    <t>BUILDING &amp; GROUND CHARGEBACK</t>
  </si>
  <si>
    <t>23-230-60-00-6089</t>
  </si>
  <si>
    <t>VAN EMMON LAFO PROJECT</t>
  </si>
  <si>
    <t>23-000-41-00-4165</t>
  </si>
  <si>
    <t>VAN EMMON LAFO</t>
  </si>
  <si>
    <t>52-520-75-00-7505</t>
  </si>
  <si>
    <t>51-510-75-00-7505</t>
  </si>
  <si>
    <t xml:space="preserve">Developer </t>
  </si>
  <si>
    <t>Commitments</t>
  </si>
  <si>
    <t>WATER MAIN REPLACEMENT PROGRAM</t>
  </si>
  <si>
    <t>SEWER MAIN REPLACEMENT PROGRAM</t>
  </si>
  <si>
    <t>Water Main Replacement Program</t>
  </si>
  <si>
    <t>Sewer Main Replacement Program</t>
  </si>
  <si>
    <t>Grande Reserve Improvements</t>
  </si>
  <si>
    <t>Developer Reimbursement</t>
  </si>
  <si>
    <t>Cation Exchange Media Replacement</t>
  </si>
  <si>
    <t>Water Tower Rehabilitation</t>
  </si>
  <si>
    <t>Van Emmon Street</t>
  </si>
  <si>
    <t>Rebuild Downtown</t>
  </si>
  <si>
    <t>City-Wide</t>
  </si>
  <si>
    <t>Water Sourcing - DWC</t>
  </si>
  <si>
    <t>Sanitary Sewer Improvements</t>
  </si>
  <si>
    <t>Reimbursement</t>
  </si>
  <si>
    <t>Building &amp; Grounds</t>
  </si>
  <si>
    <t>Bond Proceeds</t>
  </si>
  <si>
    <t>City Hall Improvements</t>
  </si>
  <si>
    <t>Public Works Facility</t>
  </si>
  <si>
    <t>Vehicles</t>
  </si>
  <si>
    <t>Equipment</t>
  </si>
  <si>
    <t>Park Improvements</t>
  </si>
  <si>
    <t>Baseline Road Improvements</t>
  </si>
  <si>
    <t>Maintenance / Replacment Programs</t>
  </si>
  <si>
    <t>Shared Use Path</t>
  </si>
  <si>
    <t>Parking Lot</t>
  </si>
  <si>
    <t>Sidewalks</t>
  </si>
  <si>
    <t>Water Meters</t>
  </si>
  <si>
    <t>FEDERAL GRANTS - ARPA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</si>
</sst>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69" formatCode="_(* #,##0.00000_);_(* \(#,##0.00000\);_(* &quot;-&quot;_);_(@_)"/>
  </numFmts>
  <fonts count="61">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16"/>
      <color indexed="8"/>
      <name val="Times New Roman"/>
      <family val="1"/>
    </font>
    <font>
      <b/>
      <sz val="9"/>
      <color indexed="8"/>
      <name val="Times New Roman"/>
      <family val="1"/>
    </font>
    <font>
      <b/>
      <sz val="14"/>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b/>
      <sz val="11"/>
      <color rgb="FFFF0000"/>
      <name val="Times New Roman"/>
      <family val="1"/>
    </font>
    <font>
      <b/>
      <u val="singleAccounting"/>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
      <sz val="8"/>
      <name val="Arial"/>
      <family val="2"/>
    </font>
    <font>
      <sz val="11"/>
      <color theme="1"/>
      <name val="Times New Roman"/>
      <family val="1"/>
    </font>
    <font>
      <b/>
      <sz val="11"/>
      <color theme="1"/>
      <name val="Times New Roman"/>
      <family val="1"/>
    </font>
    <font>
      <u/>
      <sz val="8"/>
      <color theme="0"/>
      <name val="Times New Roman"/>
      <family val="1"/>
    </font>
    <font>
      <u/>
      <sz val="8"/>
      <color theme="1"/>
      <name val="Times New Roman"/>
      <family val="1"/>
    </font>
    <font>
      <b/>
      <u val="singleAccounting"/>
      <sz val="11"/>
      <name val="Times New Roman"/>
      <family val="1"/>
    </font>
  </fonts>
  <fills count="9">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34998626667073579"/>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alignment vertical="top"/>
    </xf>
    <xf numFmtId="0" fontId="4" fillId="0" borderId="0">
      <alignment horizontal="center"/>
    </xf>
    <xf numFmtId="43" fontId="1" fillId="0" borderId="0" applyFont="0" applyFill="0" applyBorder="0" applyAlignment="0" applyProtection="0"/>
    <xf numFmtId="44" fontId="19" fillId="0" borderId="0" applyFont="0" applyFill="0" applyBorder="0" applyAlignment="0" applyProtection="0"/>
    <xf numFmtId="9" fontId="11" fillId="0" borderId="0" applyFont="0" applyFill="0" applyBorder="0" applyAlignment="0" applyProtection="0"/>
    <xf numFmtId="37" fontId="5" fillId="2" borderId="0"/>
  </cellStyleXfs>
  <cellXfs count="718">
    <xf numFmtId="0" fontId="0" fillId="0" borderId="0" xfId="0">
      <alignment vertical="top"/>
    </xf>
    <xf numFmtId="0" fontId="2" fillId="0" borderId="0" xfId="0" applyFont="1" applyAlignment="1">
      <alignment vertical="center"/>
    </xf>
    <xf numFmtId="164" fontId="2" fillId="0" borderId="0" xfId="2" applyNumberFormat="1" applyFont="1" applyAlignment="1">
      <alignment vertical="center"/>
    </xf>
    <xf numFmtId="164" fontId="3" fillId="0" borderId="0" xfId="2" applyNumberFormat="1" applyFont="1" applyAlignment="1">
      <alignment vertical="center"/>
    </xf>
    <xf numFmtId="0" fontId="2" fillId="0" borderId="0" xfId="0" applyFont="1" applyAlignment="1">
      <alignment horizontal="left" vertical="center"/>
    </xf>
    <xf numFmtId="41" fontId="2" fillId="0" borderId="0" xfId="0" applyNumberFormat="1" applyFont="1" applyAlignment="1">
      <alignment vertical="center"/>
    </xf>
    <xf numFmtId="0" fontId="3" fillId="0" borderId="0" xfId="0" applyFont="1" applyAlignment="1">
      <alignment vertical="center"/>
    </xf>
    <xf numFmtId="164" fontId="16" fillId="0" borderId="0" xfId="2" applyNumberFormat="1" applyFont="1" applyAlignment="1">
      <alignment vertical="center"/>
    </xf>
    <xf numFmtId="0" fontId="18"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0" xfId="0" applyFont="1" applyAlignment="1">
      <alignment horizontal="left" indent="1"/>
    </xf>
    <xf numFmtId="0" fontId="3" fillId="0" borderId="0" xfId="0" applyFont="1" applyAlignment="1">
      <alignment horizontal="left" indent="1"/>
    </xf>
    <xf numFmtId="0" fontId="3" fillId="0" borderId="0" xfId="1" applyFont="1" applyAlignment="1"/>
    <xf numFmtId="0" fontId="2" fillId="0" borderId="0" xfId="0" applyFont="1" applyAlignment="1">
      <alignment horizontal="left"/>
    </xf>
    <xf numFmtId="164" fontId="2" fillId="0" borderId="0" xfId="2" applyNumberFormat="1" applyFont="1"/>
    <xf numFmtId="164" fontId="2" fillId="0" borderId="0" xfId="2" applyNumberFormat="1" applyFont="1" applyAlignment="1">
      <alignment vertical="center" wrapText="1"/>
    </xf>
    <xf numFmtId="164" fontId="2" fillId="0" borderId="0" xfId="2" applyNumberFormat="1" applyFont="1" applyAlignment="1">
      <alignment horizontal="center"/>
    </xf>
    <xf numFmtId="164" fontId="0" fillId="0" borderId="0" xfId="2" applyNumberFormat="1" applyFont="1" applyAlignment="1">
      <alignment vertical="top"/>
    </xf>
    <xf numFmtId="0" fontId="2" fillId="0" borderId="0" xfId="0" applyFont="1" applyAlignment="1">
      <alignment vertical="center" wrapText="1"/>
    </xf>
    <xf numFmtId="164" fontId="2" fillId="3" borderId="0" xfId="2" applyNumberFormat="1" applyFont="1" applyFill="1" applyAlignment="1">
      <alignment horizontal="center"/>
    </xf>
    <xf numFmtId="0" fontId="3" fillId="0" borderId="0" xfId="0" applyFont="1" applyAlignment="1">
      <alignment horizontal="left"/>
    </xf>
    <xf numFmtId="0" fontId="2" fillId="0" borderId="0" xfId="1" applyFont="1" applyAlignment="1">
      <alignment horizontal="left" indent="1"/>
    </xf>
    <xf numFmtId="0" fontId="20" fillId="0" borderId="0" xfId="0" applyFont="1" applyAlignment="1">
      <alignment horizontal="center" wrapText="1"/>
    </xf>
    <xf numFmtId="0" fontId="2" fillId="0" borderId="0" xfId="0" applyFont="1" applyAlignment="1">
      <alignment horizontal="left" vertical="center" wrapText="1" indent="2"/>
    </xf>
    <xf numFmtId="0" fontId="2" fillId="0" borderId="1" xfId="0" applyFont="1" applyBorder="1" applyAlignment="1">
      <alignment horizontal="center"/>
    </xf>
    <xf numFmtId="0" fontId="2" fillId="0" borderId="2" xfId="0" applyFont="1" applyBorder="1" applyAlignment="1">
      <alignment horizontal="left" indent="1"/>
    </xf>
    <xf numFmtId="0" fontId="2" fillId="0" borderId="0" xfId="0" applyFont="1" applyAlignment="1">
      <alignment horizontal="left" vertical="center" wrapText="1"/>
    </xf>
    <xf numFmtId="0" fontId="0" fillId="0" borderId="0" xfId="0" applyAlignment="1">
      <alignment horizontal="left"/>
    </xf>
    <xf numFmtId="0" fontId="2" fillId="0" borderId="0" xfId="0" applyFont="1" applyAlignment="1">
      <alignment horizontal="left" vertical="center" indent="2"/>
    </xf>
    <xf numFmtId="0" fontId="2" fillId="0" borderId="0" xfId="0" applyFont="1">
      <alignment vertical="top"/>
    </xf>
    <xf numFmtId="0" fontId="0" fillId="0" borderId="0" xfId="0" applyAlignment="1">
      <alignment wrapText="1"/>
    </xf>
    <xf numFmtId="0" fontId="23" fillId="0" borderId="0" xfId="0" applyFont="1" applyAlignment="1">
      <alignment vertical="center"/>
    </xf>
    <xf numFmtId="164" fontId="20" fillId="0" borderId="0" xfId="2" applyNumberFormat="1" applyFont="1" applyAlignment="1">
      <alignment horizontal="center" wrapText="1"/>
    </xf>
    <xf numFmtId="164" fontId="21" fillId="0" borderId="0" xfId="2" applyNumberFormat="1" applyFont="1" applyAlignment="1">
      <alignment horizontal="center" wrapText="1"/>
    </xf>
    <xf numFmtId="164" fontId="2" fillId="0" borderId="0" xfId="2" applyNumberFormat="1" applyFont="1" applyAlignment="1">
      <alignment horizontal="left" vertical="center" wrapText="1" indent="2"/>
    </xf>
    <xf numFmtId="164" fontId="2" fillId="0" borderId="0" xfId="2" applyNumberFormat="1" applyFont="1" applyAlignment="1">
      <alignment horizontal="left" vertical="center" wrapText="1"/>
    </xf>
    <xf numFmtId="164" fontId="0" fillId="0" borderId="0" xfId="2" applyNumberFormat="1" applyFont="1" applyAlignment="1">
      <alignment horizontal="left"/>
    </xf>
    <xf numFmtId="164" fontId="2" fillId="0" borderId="0" xfId="2" applyNumberFormat="1" applyFont="1" applyAlignment="1">
      <alignment horizontal="left" vertical="center" indent="2"/>
    </xf>
    <xf numFmtId="164" fontId="22" fillId="0" borderId="0" xfId="2" applyNumberFormat="1" applyFont="1" applyAlignment="1">
      <alignment horizontal="left" vertical="center" indent="2"/>
    </xf>
    <xf numFmtId="164" fontId="2" fillId="0" borderId="0" xfId="2" applyNumberFormat="1" applyFont="1" applyAlignment="1">
      <alignment vertical="top"/>
    </xf>
    <xf numFmtId="164" fontId="0" fillId="0" borderId="0" xfId="2" applyNumberFormat="1" applyFont="1" applyAlignment="1">
      <alignment wrapText="1"/>
    </xf>
    <xf numFmtId="0" fontId="21"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5" fillId="0" borderId="0" xfId="0" applyFont="1" applyAlignment="1">
      <alignment vertical="center"/>
    </xf>
    <xf numFmtId="0" fontId="3" fillId="0" borderId="3" xfId="0" applyFont="1" applyBorder="1" applyAlignment="1">
      <alignment vertical="center"/>
    </xf>
    <xf numFmtId="37" fontId="2" fillId="0" borderId="0" xfId="0" applyNumberFormat="1" applyFont="1" applyAlignment="1">
      <alignment vertical="center"/>
    </xf>
    <xf numFmtId="167" fontId="2" fillId="0" borderId="0" xfId="3" applyNumberFormat="1" applyFont="1" applyAlignment="1">
      <alignment vertical="center"/>
    </xf>
    <xf numFmtId="37" fontId="2" fillId="0" borderId="1" xfId="5" applyFont="1" applyFill="1" applyBorder="1" applyAlignment="1">
      <alignment horizontal="center" vertical="center"/>
    </xf>
    <xf numFmtId="37" fontId="2" fillId="0" borderId="0" xfId="5" applyFont="1" applyFill="1" applyAlignment="1">
      <alignment horizontal="center" vertical="center"/>
    </xf>
    <xf numFmtId="164" fontId="2" fillId="0" borderId="0" xfId="2" applyNumberFormat="1" applyFont="1" applyAlignment="1">
      <alignment horizontal="center" vertical="center"/>
    </xf>
    <xf numFmtId="10" fontId="2" fillId="0" borderId="0" xfId="4" applyNumberFormat="1" applyFont="1" applyAlignment="1">
      <alignment vertical="center"/>
    </xf>
    <xf numFmtId="14" fontId="2" fillId="0" borderId="0" xfId="0" applyNumberFormat="1" applyFont="1" applyAlignment="1">
      <alignment horizontal="center"/>
    </xf>
    <xf numFmtId="37" fontId="2" fillId="0" borderId="1" xfId="5" applyFont="1" applyFill="1" applyBorder="1" applyAlignment="1">
      <alignment horizontal="center"/>
    </xf>
    <xf numFmtId="37" fontId="2" fillId="0" borderId="0" xfId="5" applyFont="1" applyFill="1" applyAlignment="1">
      <alignment horizontal="center"/>
    </xf>
    <xf numFmtId="164" fontId="18" fillId="0" borderId="0" xfId="2" applyNumberFormat="1" applyFont="1" applyAlignment="1">
      <alignment vertical="center"/>
    </xf>
    <xf numFmtId="0" fontId="3" fillId="4" borderId="3" xfId="0" applyFont="1" applyFill="1" applyBorder="1" applyAlignment="1">
      <alignment vertical="center"/>
    </xf>
    <xf numFmtId="41" fontId="3" fillId="4" borderId="3" xfId="0" applyNumberFormat="1" applyFont="1" applyFill="1" applyBorder="1" applyAlignment="1">
      <alignment vertical="center"/>
    </xf>
    <xf numFmtId="37" fontId="2" fillId="0" borderId="0" xfId="0" applyNumberFormat="1" applyFont="1" applyAlignment="1"/>
    <xf numFmtId="0" fontId="26" fillId="0" borderId="0" xfId="0" applyFont="1" applyAlignment="1"/>
    <xf numFmtId="0" fontId="27" fillId="0" borderId="0" xfId="0" applyFont="1" applyAlignment="1"/>
    <xf numFmtId="0" fontId="20" fillId="0" borderId="0" xfId="0" applyFont="1" applyAlignment="1">
      <alignment horizontal="center"/>
    </xf>
    <xf numFmtId="0" fontId="25" fillId="0" borderId="0" xfId="0" applyFont="1" applyAlignment="1">
      <alignment horizontal="left"/>
    </xf>
    <xf numFmtId="164" fontId="2" fillId="0" borderId="2" xfId="2" applyNumberFormat="1" applyFont="1" applyBorder="1" applyAlignment="1">
      <alignment vertical="center"/>
    </xf>
    <xf numFmtId="0" fontId="28" fillId="0" borderId="0" xfId="0" applyFont="1" applyAlignment="1">
      <alignment horizontal="center"/>
    </xf>
    <xf numFmtId="0" fontId="28" fillId="0" borderId="0" xfId="0" applyFont="1" applyAlignment="1">
      <alignment vertical="center"/>
    </xf>
    <xf numFmtId="0" fontId="3" fillId="0" borderId="0" xfId="0" applyFont="1" applyAlignment="1"/>
    <xf numFmtId="0" fontId="3" fillId="0" borderId="4" xfId="0" applyFont="1" applyBorder="1" applyAlignment="1">
      <alignment horizontal="left" indent="1"/>
    </xf>
    <xf numFmtId="0" fontId="14" fillId="0" borderId="0" xfId="0" applyFont="1">
      <alignment vertical="top"/>
    </xf>
    <xf numFmtId="0" fontId="3" fillId="0" borderId="3" xfId="0" applyFont="1" applyBorder="1" applyAlignment="1">
      <alignment horizontal="left" indent="1"/>
    </xf>
    <xf numFmtId="0" fontId="3" fillId="0" borderId="3" xfId="0" applyFont="1" applyBorder="1" applyAlignment="1">
      <alignment horizontal="left" indent="1" shrinkToFit="1"/>
    </xf>
    <xf numFmtId="0" fontId="34" fillId="0" borderId="0" xfId="0" applyFont="1" applyAlignment="1"/>
    <xf numFmtId="0" fontId="34" fillId="0" borderId="0" xfId="0" applyFont="1" applyAlignment="1">
      <alignment horizontal="center"/>
    </xf>
    <xf numFmtId="37" fontId="18" fillId="0" borderId="0" xfId="0" applyNumberFormat="1" applyFont="1" applyAlignment="1">
      <alignment vertical="center"/>
    </xf>
    <xf numFmtId="0" fontId="18" fillId="0" borderId="0" xfId="0" applyFont="1" applyAlignment="1">
      <alignment horizontal="center" vertical="center"/>
    </xf>
    <xf numFmtId="164" fontId="3" fillId="0" borderId="0" xfId="2" applyNumberFormat="1" applyFont="1"/>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1" applyFont="1" applyAlignment="1">
      <alignment vertical="center"/>
    </xf>
    <xf numFmtId="10" fontId="18" fillId="0" borderId="0" xfId="4" applyNumberFormat="1" applyFont="1" applyAlignment="1">
      <alignment vertical="center"/>
    </xf>
    <xf numFmtId="0" fontId="2" fillId="0" borderId="2" xfId="1" applyFont="1" applyBorder="1" applyAlignment="1">
      <alignment vertical="center"/>
    </xf>
    <xf numFmtId="0" fontId="18" fillId="0" borderId="0" xfId="1" applyFont="1" applyAlignment="1">
      <alignment vertical="center"/>
    </xf>
    <xf numFmtId="166" fontId="2" fillId="0" borderId="0" xfId="4" applyNumberFormat="1" applyFont="1" applyAlignment="1">
      <alignment vertical="center"/>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6" fillId="0" borderId="0" xfId="0" applyFont="1" applyAlignment="1">
      <alignment vertical="center"/>
    </xf>
    <xf numFmtId="0" fontId="7" fillId="0" borderId="0" xfId="0" applyFont="1" applyAlignment="1">
      <alignment horizontal="left" vertical="center" wrapText="1"/>
    </xf>
    <xf numFmtId="0" fontId="6" fillId="5" borderId="0" xfId="0" applyFont="1" applyFill="1" applyAlignment="1">
      <alignment vertical="center"/>
    </xf>
    <xf numFmtId="0" fontId="33" fillId="0" borderId="0" xfId="0" applyFont="1" applyAlignment="1">
      <alignment vertical="center"/>
    </xf>
    <xf numFmtId="10" fontId="10" fillId="0" borderId="0" xfId="4" applyNumberFormat="1" applyFont="1" applyAlignment="1">
      <alignment vertical="center"/>
    </xf>
    <xf numFmtId="0" fontId="12"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vertical="center" readingOrder="1"/>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164" fontId="7" fillId="0" borderId="0" xfId="2" applyNumberFormat="1" applyFont="1" applyAlignment="1">
      <alignment vertical="center"/>
    </xf>
    <xf numFmtId="10" fontId="7" fillId="0" borderId="0" xfId="4" applyNumberFormat="1" applyFont="1" applyAlignment="1">
      <alignment vertical="center"/>
    </xf>
    <xf numFmtId="0" fontId="12" fillId="0" borderId="0" xfId="0" applyFont="1" applyAlignment="1">
      <alignment vertical="center"/>
    </xf>
    <xf numFmtId="0" fontId="15" fillId="0" borderId="0" xfId="0" applyFont="1" applyAlignment="1">
      <alignment horizontal="left" vertical="center"/>
    </xf>
    <xf numFmtId="10" fontId="6" fillId="0" borderId="0" xfId="4" applyNumberFormat="1"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vertical="center"/>
    </xf>
    <xf numFmtId="0" fontId="6" fillId="7" borderId="0" xfId="0" applyFont="1" applyFill="1" applyAlignme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32" fillId="0" borderId="0" xfId="0" applyFont="1" applyAlignment="1">
      <alignment vertical="center"/>
    </xf>
    <xf numFmtId="164" fontId="6" fillId="0" borderId="0" xfId="2" applyNumberFormat="1" applyFont="1" applyAlignment="1">
      <alignment vertical="center"/>
    </xf>
    <xf numFmtId="0" fontId="43" fillId="7" borderId="0" xfId="0" applyFont="1" applyFill="1" applyAlignment="1">
      <alignment vertical="center"/>
    </xf>
    <xf numFmtId="0" fontId="44" fillId="7" borderId="0" xfId="0" applyFont="1" applyFill="1" applyAlignment="1">
      <alignment vertical="center"/>
    </xf>
    <xf numFmtId="0" fontId="44" fillId="7" borderId="0" xfId="0" applyFont="1" applyFill="1" applyAlignment="1">
      <alignment horizontal="center" vertical="center"/>
    </xf>
    <xf numFmtId="0" fontId="44"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0" fontId="31" fillId="0" borderId="0" xfId="0" applyFont="1" applyAlignment="1">
      <alignment vertical="center"/>
    </xf>
    <xf numFmtId="10" fontId="44" fillId="7" borderId="0" xfId="4" applyNumberFormat="1" applyFont="1" applyFill="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6" fillId="7" borderId="0" xfId="0" applyFont="1" applyFill="1" applyAlignment="1" applyProtection="1">
      <alignment vertical="center"/>
      <protection locked="0"/>
    </xf>
    <xf numFmtId="0" fontId="48" fillId="0" borderId="0" xfId="0" applyFont="1" applyAlignment="1">
      <alignment horizontal="left" vertical="center" indent="1"/>
    </xf>
    <xf numFmtId="0" fontId="44" fillId="0" borderId="0" xfId="0" applyFont="1" applyAlignment="1" applyProtection="1">
      <alignment vertical="center"/>
      <protection locked="0"/>
    </xf>
    <xf numFmtId="0" fontId="3" fillId="0" borderId="0" xfId="0" applyFont="1" applyAlignment="1">
      <alignment horizontal="right" vertical="center"/>
    </xf>
    <xf numFmtId="0" fontId="2" fillId="7" borderId="0" xfId="0" applyFont="1" applyFill="1" applyAlignment="1">
      <alignment vertical="center"/>
    </xf>
    <xf numFmtId="0" fontId="25" fillId="0" borderId="0" xfId="0" applyFont="1" applyAlignment="1">
      <alignment horizontal="left" vertical="center"/>
    </xf>
    <xf numFmtId="0" fontId="2" fillId="0" borderId="0" xfId="1" applyFont="1" applyAlignment="1">
      <alignment horizontal="left" vertical="center" indent="1"/>
    </xf>
    <xf numFmtId="0" fontId="2" fillId="0" borderId="0" xfId="0" applyFont="1" applyAlignment="1">
      <alignment horizontal="left" vertical="center" indent="1"/>
    </xf>
    <xf numFmtId="0" fontId="45"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xf>
    <xf numFmtId="164" fontId="6" fillId="0" borderId="0" xfId="2" applyNumberFormat="1" applyFont="1" applyAlignment="1">
      <alignment vertical="center" wrapText="1"/>
    </xf>
    <xf numFmtId="0" fontId="6" fillId="0" borderId="0" xfId="0" applyFont="1" applyAlignment="1">
      <alignment horizontal="left" vertical="center" wrapText="1"/>
    </xf>
    <xf numFmtId="0" fontId="3" fillId="0" borderId="0" xfId="0" applyFont="1" applyAlignment="1">
      <alignment horizontal="center" vertical="center"/>
    </xf>
    <xf numFmtId="0" fontId="32"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horizontal="right" vertical="center"/>
    </xf>
    <xf numFmtId="0" fontId="45" fillId="0" borderId="0" xfId="0" applyFont="1" applyAlignment="1" applyProtection="1">
      <alignment vertical="center"/>
      <protection locked="0"/>
    </xf>
    <xf numFmtId="0" fontId="6" fillId="6" borderId="0" xfId="0" applyFont="1" applyFill="1" applyAlignment="1">
      <alignment vertical="center"/>
    </xf>
    <xf numFmtId="9" fontId="7" fillId="0" borderId="0" xfId="4" applyFont="1" applyAlignment="1">
      <alignment vertical="center"/>
    </xf>
    <xf numFmtId="9" fontId="7" fillId="6" borderId="0" xfId="4" applyFont="1" applyFill="1" applyAlignment="1">
      <alignment vertical="center"/>
    </xf>
    <xf numFmtId="0" fontId="2" fillId="0" borderId="0" xfId="0" applyFont="1" applyAlignment="1">
      <alignment vertical="center" shrinkToFit="1"/>
    </xf>
    <xf numFmtId="10" fontId="18" fillId="6" borderId="0" xfId="4" applyNumberFormat="1" applyFont="1" applyFill="1" applyAlignment="1">
      <alignment vertical="center"/>
    </xf>
    <xf numFmtId="0" fontId="31" fillId="6" borderId="0" xfId="0" applyFont="1" applyFill="1" applyAlignment="1">
      <alignment horizontal="left" vertical="center"/>
    </xf>
    <xf numFmtId="0" fontId="9" fillId="0" borderId="0" xfId="0" applyFont="1" applyAlignment="1">
      <alignment horizontal="center" vertical="center"/>
    </xf>
    <xf numFmtId="9" fontId="41" fillId="6" borderId="0" xfId="4" applyFont="1" applyFill="1" applyAlignment="1">
      <alignment horizontal="center" vertical="center"/>
    </xf>
    <xf numFmtId="0" fontId="53" fillId="0" borderId="0" xfId="0" applyFont="1" applyAlignment="1">
      <alignment horizontal="center" vertical="center"/>
    </xf>
    <xf numFmtId="0" fontId="47" fillId="0" borderId="0" xfId="0" applyFont="1" applyAlignment="1" applyProtection="1">
      <alignment horizontal="center" vertical="center"/>
      <protection locked="0"/>
    </xf>
    <xf numFmtId="0" fontId="2" fillId="0" borderId="0" xfId="0" applyFont="1" applyAlignment="1">
      <alignment vertical="center"/>
    </xf>
    <xf numFmtId="0" fontId="2" fillId="0" borderId="0"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6" fillId="0" borderId="0" xfId="0" applyFont="1" applyFill="1" applyAlignment="1">
      <alignment vertical="center"/>
    </xf>
    <xf numFmtId="164" fontId="7" fillId="0" borderId="0" xfId="2" applyNumberFormat="1" applyFont="1" applyFill="1" applyAlignment="1">
      <alignment vertical="center"/>
    </xf>
    <xf numFmtId="0" fontId="12" fillId="0" borderId="0" xfId="0" applyFont="1" applyFill="1" applyAlignment="1">
      <alignment vertical="center"/>
    </xf>
    <xf numFmtId="41" fontId="2" fillId="6" borderId="0" xfId="2" applyNumberFormat="1" applyFont="1" applyFill="1" applyBorder="1" applyAlignment="1" applyProtection="1">
      <alignment vertical="center"/>
      <protection locked="0"/>
    </xf>
    <xf numFmtId="41" fontId="2" fillId="6" borderId="0" xfId="0" applyNumberFormat="1" applyFont="1" applyFill="1" applyBorder="1" applyAlignment="1" applyProtection="1">
      <alignment vertical="center"/>
      <protection locked="0"/>
    </xf>
    <xf numFmtId="41" fontId="2" fillId="6" borderId="0" xfId="2" applyNumberFormat="1" applyFont="1" applyFill="1" applyBorder="1" applyAlignment="1">
      <alignment vertical="center"/>
    </xf>
    <xf numFmtId="41" fontId="16" fillId="6" borderId="0" xfId="2" applyNumberFormat="1" applyFont="1" applyFill="1" applyBorder="1" applyAlignment="1" applyProtection="1">
      <alignment vertical="center"/>
      <protection locked="0"/>
    </xf>
    <xf numFmtId="41" fontId="6" fillId="6" borderId="0" xfId="0" applyNumberFormat="1" applyFont="1" applyFill="1" applyBorder="1" applyAlignment="1" applyProtection="1">
      <alignment vertical="center"/>
      <protection locked="0"/>
    </xf>
    <xf numFmtId="41" fontId="7" fillId="6" borderId="0" xfId="0" applyNumberFormat="1" applyFont="1" applyFill="1" applyBorder="1" applyAlignment="1">
      <alignment vertical="center"/>
    </xf>
    <xf numFmtId="41" fontId="16" fillId="6" borderId="0" xfId="0" applyNumberFormat="1" applyFont="1" applyFill="1" applyBorder="1" applyAlignment="1" applyProtection="1">
      <alignment vertical="center"/>
      <protection locked="0"/>
    </xf>
    <xf numFmtId="41" fontId="3" fillId="6" borderId="0" xfId="0" applyNumberFormat="1" applyFont="1" applyFill="1" applyBorder="1" applyAlignment="1">
      <alignment vertical="center"/>
    </xf>
    <xf numFmtId="41" fontId="2" fillId="6" borderId="0" xfId="2" applyNumberFormat="1" applyFont="1" applyFill="1" applyBorder="1" applyAlignment="1" applyProtection="1">
      <alignment horizontal="right" vertical="center"/>
      <protection locked="0"/>
    </xf>
    <xf numFmtId="41" fontId="3" fillId="6" borderId="0" xfId="2" applyNumberFormat="1" applyFont="1" applyFill="1" applyBorder="1" applyAlignment="1">
      <alignment vertical="center"/>
    </xf>
    <xf numFmtId="41" fontId="3" fillId="6" borderId="0" xfId="2" applyNumberFormat="1" applyFont="1" applyFill="1" applyBorder="1" applyAlignment="1">
      <alignment horizontal="right" vertical="center"/>
    </xf>
    <xf numFmtId="41" fontId="6" fillId="6" borderId="0" xfId="2" applyNumberFormat="1" applyFont="1" applyFill="1" applyBorder="1" applyAlignment="1" applyProtection="1">
      <alignment vertical="center"/>
      <protection locked="0"/>
    </xf>
    <xf numFmtId="41" fontId="6" fillId="6" borderId="0" xfId="2" applyNumberFormat="1" applyFont="1" applyFill="1" applyBorder="1" applyAlignment="1" applyProtection="1">
      <alignment horizontal="right" vertical="center"/>
      <protection locked="0"/>
    </xf>
    <xf numFmtId="41" fontId="3" fillId="6" borderId="0" xfId="2" applyNumberFormat="1" applyFont="1" applyFill="1" applyBorder="1" applyAlignment="1" applyProtection="1">
      <alignment horizontal="right" vertical="center"/>
      <protection locked="0"/>
    </xf>
    <xf numFmtId="41" fontId="7" fillId="6" borderId="0" xfId="2" applyNumberFormat="1" applyFont="1" applyFill="1" applyBorder="1" applyAlignment="1">
      <alignment vertical="center"/>
    </xf>
    <xf numFmtId="10" fontId="10" fillId="6" borderId="0" xfId="4" applyNumberFormat="1" applyFont="1" applyFill="1" applyBorder="1" applyAlignment="1">
      <alignment vertical="center"/>
    </xf>
    <xf numFmtId="168" fontId="10" fillId="6" borderId="0" xfId="4" applyNumberFormat="1" applyFont="1" applyFill="1" applyBorder="1" applyAlignment="1" applyProtection="1">
      <alignment vertical="center"/>
      <protection locked="0"/>
    </xf>
    <xf numFmtId="41" fontId="44" fillId="6" borderId="0" xfId="2" applyNumberFormat="1" applyFont="1" applyFill="1" applyBorder="1" applyAlignment="1" applyProtection="1">
      <alignment vertical="center"/>
      <protection locked="0"/>
    </xf>
    <xf numFmtId="168" fontId="7" fillId="6" borderId="0" xfId="0" applyNumberFormat="1" applyFont="1" applyFill="1" applyBorder="1" applyAlignment="1" applyProtection="1">
      <alignment vertical="center"/>
      <protection locked="0"/>
    </xf>
    <xf numFmtId="41" fontId="7" fillId="6" borderId="0" xfId="0" applyNumberFormat="1" applyFont="1" applyFill="1" applyBorder="1" applyAlignment="1" applyProtection="1">
      <alignment vertical="center"/>
      <protection locked="0"/>
    </xf>
    <xf numFmtId="41" fontId="17" fillId="6" borderId="0" xfId="2" applyNumberFormat="1" applyFont="1" applyFill="1" applyBorder="1" applyAlignment="1" applyProtection="1">
      <alignment horizontal="right" vertical="center"/>
      <protection locked="0"/>
    </xf>
    <xf numFmtId="168" fontId="6" fillId="6" borderId="0" xfId="0" applyNumberFormat="1" applyFont="1" applyFill="1" applyBorder="1" applyAlignment="1" applyProtection="1">
      <alignment vertical="center"/>
      <protection locked="0"/>
    </xf>
    <xf numFmtId="41" fontId="6" fillId="6" borderId="0" xfId="0" applyNumberFormat="1" applyFont="1" applyFill="1" applyBorder="1" applyAlignment="1">
      <alignment vertical="center"/>
    </xf>
    <xf numFmtId="41" fontId="16" fillId="6" borderId="0" xfId="2" applyNumberFormat="1" applyFont="1" applyFill="1" applyBorder="1" applyAlignment="1">
      <alignment vertical="center"/>
    </xf>
    <xf numFmtId="10" fontId="44" fillId="6" borderId="0" xfId="4" applyNumberFormat="1" applyFont="1" applyFill="1" applyBorder="1" applyAlignment="1" applyProtection="1">
      <alignment vertical="center"/>
      <protection locked="0"/>
    </xf>
    <xf numFmtId="41" fontId="16" fillId="6" borderId="0" xfId="2" applyNumberFormat="1" applyFont="1" applyFill="1" applyBorder="1" applyAlignment="1" applyProtection="1">
      <alignment horizontal="right" vertical="center"/>
      <protection locked="0"/>
    </xf>
    <xf numFmtId="41" fontId="2" fillId="6" borderId="0" xfId="2" applyNumberFormat="1" applyFont="1" applyFill="1" applyBorder="1" applyAlignment="1">
      <alignment horizontal="right" vertical="center"/>
    </xf>
    <xf numFmtId="41" fontId="7" fillId="6" borderId="0" xfId="2" applyNumberFormat="1" applyFont="1" applyFill="1" applyBorder="1" applyAlignment="1" applyProtection="1">
      <alignment vertical="center"/>
      <protection locked="0"/>
    </xf>
    <xf numFmtId="41" fontId="6" fillId="6" borderId="0" xfId="2" applyNumberFormat="1" applyFont="1" applyFill="1" applyBorder="1" applyAlignment="1">
      <alignment vertical="center"/>
    </xf>
    <xf numFmtId="41" fontId="45" fillId="6" borderId="0" xfId="2" applyNumberFormat="1" applyFont="1" applyFill="1" applyBorder="1" applyAlignment="1">
      <alignment vertical="center"/>
    </xf>
    <xf numFmtId="41" fontId="30" fillId="6" borderId="0" xfId="2" applyNumberFormat="1" applyFont="1" applyFill="1" applyBorder="1" applyAlignment="1">
      <alignment vertical="center"/>
    </xf>
    <xf numFmtId="168" fontId="6" fillId="6" borderId="0" xfId="4" applyNumberFormat="1" applyFont="1" applyFill="1" applyBorder="1" applyAlignment="1" applyProtection="1">
      <alignment vertical="center"/>
      <protection locked="0"/>
    </xf>
    <xf numFmtId="168" fontId="7" fillId="6" borderId="0" xfId="2" applyNumberFormat="1" applyFont="1" applyFill="1" applyBorder="1" applyAlignment="1" applyProtection="1">
      <alignment vertical="center"/>
      <protection locked="0"/>
    </xf>
    <xf numFmtId="164" fontId="6" fillId="6" borderId="0" xfId="2" applyNumberFormat="1" applyFont="1" applyFill="1" applyBorder="1" applyAlignment="1" applyProtection="1">
      <alignment vertical="center"/>
      <protection locked="0"/>
    </xf>
    <xf numFmtId="10" fontId="44" fillId="0" borderId="0" xfId="4" applyNumberFormat="1" applyFont="1" applyBorder="1" applyAlignment="1" applyProtection="1">
      <alignment vertical="center"/>
      <protection locked="0"/>
    </xf>
    <xf numFmtId="169" fontId="6" fillId="6" borderId="0" xfId="0" applyNumberFormat="1" applyFont="1" applyFill="1" applyBorder="1" applyAlignment="1" applyProtection="1">
      <alignment vertical="center"/>
      <protection locked="0"/>
    </xf>
    <xf numFmtId="10" fontId="9" fillId="6" borderId="0" xfId="4" applyNumberFormat="1" applyFont="1" applyFill="1" applyBorder="1" applyAlignment="1">
      <alignment vertical="center"/>
    </xf>
    <xf numFmtId="41" fontId="17" fillId="6" borderId="0" xfId="2" applyNumberFormat="1" applyFont="1" applyFill="1" applyBorder="1" applyAlignment="1" applyProtection="1">
      <alignment vertical="center"/>
      <protection locked="0"/>
    </xf>
    <xf numFmtId="41" fontId="44" fillId="7" borderId="0" xfId="0" applyNumberFormat="1" applyFont="1" applyFill="1" applyBorder="1" applyAlignment="1">
      <alignment vertical="center"/>
    </xf>
    <xf numFmtId="41" fontId="35" fillId="6" borderId="0" xfId="0" applyNumberFormat="1" applyFont="1" applyFill="1" applyBorder="1" applyAlignment="1">
      <alignment vertical="center"/>
    </xf>
    <xf numFmtId="41" fontId="17" fillId="6" borderId="0" xfId="2" applyNumberFormat="1" applyFont="1" applyFill="1" applyBorder="1" applyAlignment="1">
      <alignment vertical="center"/>
    </xf>
    <xf numFmtId="41" fontId="44" fillId="7" borderId="0" xfId="2" applyNumberFormat="1" applyFont="1" applyFill="1" applyBorder="1" applyAlignment="1">
      <alignment vertical="center"/>
    </xf>
    <xf numFmtId="41" fontId="37" fillId="6" borderId="0" xfId="0" applyNumberFormat="1" applyFont="1" applyFill="1" applyBorder="1" applyAlignment="1">
      <alignment vertical="center"/>
    </xf>
    <xf numFmtId="41" fontId="6" fillId="0" borderId="0" xfId="2" applyNumberFormat="1" applyFont="1" applyBorder="1" applyAlignment="1" applyProtection="1">
      <alignment horizontal="right" vertical="center"/>
      <protection locked="0"/>
    </xf>
    <xf numFmtId="41" fontId="2" fillId="0" borderId="0" xfId="2"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6"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1" fontId="7" fillId="0" borderId="0" xfId="0" applyNumberFormat="1" applyFont="1" applyBorder="1" applyAlignment="1">
      <alignment horizontal="center" vertical="center"/>
    </xf>
    <xf numFmtId="1" fontId="7" fillId="0" borderId="0" xfId="0" applyNumberFormat="1" applyFont="1" applyFill="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7" fillId="6" borderId="0" xfId="0" applyFont="1" applyFill="1" applyBorder="1" applyAlignment="1" applyProtection="1">
      <alignment horizontal="center" vertical="center" wrapText="1"/>
      <protection locked="0"/>
    </xf>
    <xf numFmtId="10" fontId="6" fillId="0" borderId="0" xfId="4" applyNumberFormat="1" applyFont="1" applyBorder="1" applyAlignment="1" applyProtection="1">
      <alignment vertical="center"/>
      <protection locked="0"/>
    </xf>
    <xf numFmtId="43" fontId="6" fillId="0" borderId="0" xfId="0" applyNumberFormat="1" applyFont="1" applyBorder="1" applyAlignment="1" applyProtection="1">
      <alignment vertical="center"/>
      <protection locked="0"/>
    </xf>
    <xf numFmtId="41" fontId="6" fillId="0" borderId="0" xfId="0" applyNumberFormat="1" applyFont="1" applyBorder="1" applyAlignment="1" applyProtection="1">
      <alignment vertical="center"/>
      <protection locked="0"/>
    </xf>
    <xf numFmtId="41" fontId="2" fillId="0" borderId="0" xfId="2" applyNumberFormat="1" applyFont="1" applyBorder="1" applyAlignment="1">
      <alignment vertical="center"/>
    </xf>
    <xf numFmtId="41" fontId="2" fillId="0" borderId="0" xfId="2" applyNumberFormat="1" applyFont="1" applyFill="1" applyBorder="1" applyAlignment="1">
      <alignment vertical="center"/>
    </xf>
    <xf numFmtId="41" fontId="2" fillId="0" borderId="0" xfId="0" applyNumberFormat="1" applyFont="1" applyBorder="1" applyAlignment="1">
      <alignment vertical="center"/>
    </xf>
    <xf numFmtId="41" fontId="2" fillId="0" borderId="0" xfId="0" applyNumberFormat="1" applyFont="1" applyBorder="1" applyAlignment="1" applyProtection="1">
      <alignment vertical="center"/>
      <protection locked="0"/>
    </xf>
    <xf numFmtId="41" fontId="16" fillId="0" borderId="0" xfId="2" applyNumberFormat="1" applyFont="1" applyBorder="1" applyAlignment="1">
      <alignment vertical="center"/>
    </xf>
    <xf numFmtId="41" fontId="16" fillId="0" borderId="0" xfId="2" applyNumberFormat="1" applyFont="1" applyBorder="1" applyAlignment="1" applyProtection="1">
      <alignment vertical="center"/>
      <protection locked="0"/>
    </xf>
    <xf numFmtId="41" fontId="6" fillId="0" borderId="0" xfId="0" applyNumberFormat="1" applyFont="1" applyBorder="1" applyAlignment="1">
      <alignment vertical="center"/>
    </xf>
    <xf numFmtId="41" fontId="7" fillId="0" borderId="0" xfId="0" applyNumberFormat="1" applyFont="1" applyBorder="1" applyAlignment="1">
      <alignment vertical="center"/>
    </xf>
    <xf numFmtId="41" fontId="2" fillId="0" borderId="0" xfId="0" applyNumberFormat="1" applyFont="1" applyFill="1" applyBorder="1" applyAlignment="1" applyProtection="1">
      <alignment vertical="center"/>
      <protection locked="0"/>
    </xf>
    <xf numFmtId="41" fontId="16" fillId="0" borderId="0" xfId="0" applyNumberFormat="1" applyFont="1" applyBorder="1" applyAlignment="1">
      <alignment vertical="center"/>
    </xf>
    <xf numFmtId="41" fontId="16" fillId="0" borderId="0" xfId="0" applyNumberFormat="1" applyFont="1" applyBorder="1" applyAlignment="1" applyProtection="1">
      <alignment vertical="center"/>
      <protection locked="0"/>
    </xf>
    <xf numFmtId="41" fontId="3" fillId="0" borderId="0" xfId="2" applyNumberFormat="1" applyFont="1" applyBorder="1" applyAlignment="1">
      <alignment vertical="center"/>
    </xf>
    <xf numFmtId="41" fontId="3" fillId="0" borderId="0" xfId="0" applyNumberFormat="1" applyFont="1" applyBorder="1" applyAlignment="1">
      <alignment vertical="center"/>
    </xf>
    <xf numFmtId="41" fontId="2" fillId="0" borderId="0" xfId="2" applyNumberFormat="1" applyFont="1" applyBorder="1" applyAlignment="1">
      <alignment horizontal="right" vertical="center"/>
    </xf>
    <xf numFmtId="41" fontId="2" fillId="0" borderId="0" xfId="2" applyNumberFormat="1" applyFont="1" applyBorder="1" applyAlignment="1" applyProtection="1">
      <alignment horizontal="right" vertical="center"/>
      <protection locked="0"/>
    </xf>
    <xf numFmtId="41" fontId="3" fillId="0" borderId="0" xfId="2" applyNumberFormat="1" applyFont="1" applyBorder="1" applyAlignment="1">
      <alignment horizontal="right" vertical="center"/>
    </xf>
    <xf numFmtId="41" fontId="6" fillId="0" borderId="0" xfId="2" applyNumberFormat="1" applyFont="1" applyBorder="1" applyAlignment="1">
      <alignment vertical="center"/>
    </xf>
    <xf numFmtId="41" fontId="6" fillId="0" borderId="0" xfId="2" applyNumberFormat="1" applyFont="1" applyBorder="1" applyAlignment="1" applyProtection="1">
      <alignment vertical="center"/>
      <protection locked="0"/>
    </xf>
    <xf numFmtId="41" fontId="6" fillId="0" borderId="0" xfId="2" applyNumberFormat="1" applyFont="1" applyBorder="1" applyAlignment="1">
      <alignment horizontal="right" vertical="center"/>
    </xf>
    <xf numFmtId="41" fontId="3" fillId="0" borderId="0" xfId="2" applyNumberFormat="1" applyFont="1" applyBorder="1" applyAlignment="1" applyProtection="1">
      <alignment horizontal="right" vertical="center"/>
      <protection locked="0"/>
    </xf>
    <xf numFmtId="41" fontId="2" fillId="0" borderId="0" xfId="2" applyNumberFormat="1" applyFont="1" applyFill="1" applyBorder="1" applyAlignment="1" applyProtection="1">
      <alignment vertical="center"/>
      <protection locked="0"/>
    </xf>
    <xf numFmtId="164" fontId="7" fillId="0" borderId="0" xfId="2" applyNumberFormat="1" applyFont="1" applyBorder="1" applyAlignment="1">
      <alignment vertical="center"/>
    </xf>
    <xf numFmtId="41" fontId="7" fillId="0" borderId="0" xfId="2" applyNumberFormat="1" applyFont="1" applyBorder="1" applyAlignment="1">
      <alignment vertical="center"/>
    </xf>
    <xf numFmtId="10" fontId="10" fillId="0" borderId="0" xfId="4" applyNumberFormat="1" applyFont="1" applyBorder="1" applyAlignment="1">
      <alignment vertical="center"/>
    </xf>
    <xf numFmtId="10" fontId="7" fillId="0" borderId="0" xfId="4" applyNumberFormat="1" applyFont="1" applyBorder="1" applyAlignment="1">
      <alignment vertical="center"/>
    </xf>
    <xf numFmtId="168" fontId="10" fillId="0" borderId="0" xfId="4" applyNumberFormat="1" applyFont="1" applyBorder="1" applyAlignment="1">
      <alignment vertical="center"/>
    </xf>
    <xf numFmtId="168" fontId="10" fillId="0" borderId="0" xfId="4" applyNumberFormat="1" applyFont="1" applyBorder="1" applyAlignment="1" applyProtection="1">
      <alignment vertical="center"/>
      <protection locked="0"/>
    </xf>
    <xf numFmtId="41" fontId="44" fillId="0" borderId="0" xfId="2" applyNumberFormat="1" applyFont="1" applyBorder="1" applyAlignment="1" applyProtection="1">
      <alignment vertical="center"/>
      <protection locked="0"/>
    </xf>
    <xf numFmtId="168" fontId="45" fillId="0" borderId="0" xfId="2" applyNumberFormat="1" applyFont="1" applyBorder="1" applyAlignment="1">
      <alignment vertical="center"/>
    </xf>
    <xf numFmtId="168" fontId="7" fillId="0" borderId="0" xfId="0" applyNumberFormat="1" applyFont="1" applyBorder="1" applyAlignment="1">
      <alignment vertical="center"/>
    </xf>
    <xf numFmtId="168" fontId="7" fillId="0" borderId="0" xfId="0" applyNumberFormat="1" applyFont="1" applyBorder="1" applyAlignment="1" applyProtection="1">
      <alignment vertical="center"/>
      <protection locked="0"/>
    </xf>
    <xf numFmtId="41" fontId="7" fillId="0" borderId="0" xfId="0" applyNumberFormat="1" applyFont="1" applyBorder="1" applyAlignment="1" applyProtection="1">
      <alignment vertical="center"/>
      <protection locked="0"/>
    </xf>
    <xf numFmtId="41" fontId="17" fillId="0" borderId="0" xfId="2" applyNumberFormat="1" applyFont="1" applyBorder="1" applyAlignment="1" applyProtection="1">
      <alignment horizontal="right" vertical="center"/>
      <protection locked="0"/>
    </xf>
    <xf numFmtId="168" fontId="6" fillId="0" borderId="0" xfId="0" applyNumberFormat="1" applyFont="1" applyFill="1" applyBorder="1" applyAlignment="1">
      <alignment vertical="center"/>
    </xf>
    <xf numFmtId="168" fontId="6" fillId="0" borderId="0" xfId="0" applyNumberFormat="1" applyFont="1" applyBorder="1" applyAlignment="1">
      <alignment vertical="center"/>
    </xf>
    <xf numFmtId="168" fontId="6" fillId="0" borderId="0" xfId="0" applyNumberFormat="1" applyFont="1" applyBorder="1" applyAlignment="1" applyProtection="1">
      <alignment vertical="center"/>
      <protection locked="0"/>
    </xf>
    <xf numFmtId="10" fontId="6" fillId="0" borderId="0" xfId="4" applyNumberFormat="1" applyFont="1" applyBorder="1" applyAlignment="1">
      <alignment vertical="center"/>
    </xf>
    <xf numFmtId="164" fontId="6" fillId="0" borderId="0" xfId="2" applyNumberFormat="1" applyFont="1" applyBorder="1" applyAlignment="1">
      <alignment vertical="center"/>
    </xf>
    <xf numFmtId="41" fontId="2" fillId="0" borderId="0" xfId="2" applyNumberFormat="1" applyFont="1" applyFill="1" applyBorder="1" applyAlignment="1">
      <alignment horizontal="right" vertical="center"/>
    </xf>
    <xf numFmtId="41" fontId="16" fillId="0" borderId="0" xfId="2" applyNumberFormat="1" applyFont="1" applyFill="1" applyBorder="1" applyAlignment="1">
      <alignment vertical="center"/>
    </xf>
    <xf numFmtId="41" fontId="7" fillId="0" borderId="0" xfId="2" applyNumberFormat="1" applyFont="1" applyBorder="1" applyAlignment="1" applyProtection="1">
      <alignment vertical="center"/>
      <protection locked="0"/>
    </xf>
    <xf numFmtId="41" fontId="16" fillId="0" borderId="0" xfId="2" applyNumberFormat="1" applyFont="1" applyFill="1" applyBorder="1" applyAlignment="1" applyProtection="1">
      <alignment vertical="center"/>
      <protection locked="0"/>
    </xf>
    <xf numFmtId="168" fontId="6" fillId="0" borderId="0" xfId="4" applyNumberFormat="1" applyFont="1" applyBorder="1" applyAlignment="1" applyProtection="1">
      <alignment vertical="center"/>
      <protection locked="0"/>
    </xf>
    <xf numFmtId="168" fontId="7" fillId="0" borderId="0" xfId="2" applyNumberFormat="1" applyFont="1" applyBorder="1" applyAlignment="1">
      <alignment vertical="center"/>
    </xf>
    <xf numFmtId="168" fontId="7" fillId="0" borderId="0" xfId="2" applyNumberFormat="1" applyFont="1" applyBorder="1" applyAlignment="1" applyProtection="1">
      <alignment vertical="center"/>
      <protection locked="0"/>
    </xf>
    <xf numFmtId="164" fontId="2" fillId="0" borderId="0" xfId="2" applyNumberFormat="1" applyFont="1" applyFill="1" applyBorder="1" applyAlignment="1" applyProtection="1">
      <alignment vertical="center"/>
      <protection locked="0"/>
    </xf>
    <xf numFmtId="164" fontId="2" fillId="0" borderId="0" xfId="2" applyNumberFormat="1" applyFont="1" applyBorder="1" applyAlignment="1" applyProtection="1">
      <alignment vertical="center"/>
      <protection locked="0"/>
    </xf>
    <xf numFmtId="41" fontId="6" fillId="0" borderId="0" xfId="0" applyNumberFormat="1" applyFont="1" applyFill="1" applyBorder="1" applyAlignment="1" applyProtection="1">
      <alignment vertical="center"/>
      <protection locked="0"/>
    </xf>
    <xf numFmtId="41" fontId="17" fillId="0" borderId="0" xfId="2" applyNumberFormat="1" applyFont="1" applyBorder="1" applyAlignment="1">
      <alignment vertical="center"/>
    </xf>
    <xf numFmtId="41" fontId="17" fillId="0" borderId="0" xfId="2" applyNumberFormat="1" applyFont="1" applyBorder="1" applyAlignment="1" applyProtection="1">
      <alignment vertical="center"/>
      <protection locked="0"/>
    </xf>
    <xf numFmtId="41" fontId="35" fillId="0" borderId="0" xfId="0" applyNumberFormat="1" applyFont="1" applyBorder="1" applyAlignment="1">
      <alignment vertical="center"/>
    </xf>
    <xf numFmtId="41" fontId="37" fillId="0" borderId="0" xfId="0" applyNumberFormat="1" applyFont="1" applyBorder="1" applyAlignment="1">
      <alignment vertical="center"/>
    </xf>
    <xf numFmtId="41" fontId="17" fillId="0" borderId="0" xfId="0" applyNumberFormat="1" applyFont="1" applyBorder="1" applyAlignment="1">
      <alignment vertical="center"/>
    </xf>
    <xf numFmtId="41" fontId="44" fillId="7" borderId="0" xfId="4" applyNumberFormat="1" applyFont="1" applyFill="1" applyBorder="1" applyAlignment="1">
      <alignment vertical="center"/>
    </xf>
    <xf numFmtId="41" fontId="10" fillId="0" borderId="0" xfId="4" applyNumberFormat="1" applyFont="1" applyBorder="1" applyAlignment="1">
      <alignment vertical="center"/>
    </xf>
    <xf numFmtId="41" fontId="10" fillId="6" borderId="0" xfId="4" applyNumberFormat="1" applyFont="1" applyFill="1" applyBorder="1" applyAlignment="1">
      <alignment vertical="center"/>
    </xf>
    <xf numFmtId="41" fontId="10" fillId="0" borderId="0" xfId="2" applyNumberFormat="1" applyFont="1" applyBorder="1" applyAlignment="1">
      <alignment vertical="center"/>
    </xf>
    <xf numFmtId="41" fontId="10" fillId="6" borderId="0" xfId="2" applyNumberFormat="1" applyFont="1" applyFill="1" applyBorder="1" applyAlignment="1">
      <alignment vertical="center"/>
    </xf>
    <xf numFmtId="164" fontId="17" fillId="0" borderId="0" xfId="2" applyNumberFormat="1" applyFont="1" applyBorder="1" applyAlignment="1">
      <alignment vertical="center"/>
    </xf>
    <xf numFmtId="164" fontId="17" fillId="6" borderId="0" xfId="2" applyNumberFormat="1" applyFont="1" applyFill="1" applyBorder="1" applyAlignment="1">
      <alignment vertical="center"/>
    </xf>
    <xf numFmtId="164" fontId="7" fillId="6" borderId="0" xfId="2" applyNumberFormat="1" applyFont="1" applyFill="1" applyBorder="1" applyAlignment="1">
      <alignment vertical="center"/>
    </xf>
    <xf numFmtId="164" fontId="9" fillId="0" borderId="0" xfId="2" applyNumberFormat="1" applyFont="1" applyBorder="1" applyAlignment="1">
      <alignment vertical="center"/>
    </xf>
    <xf numFmtId="164" fontId="9" fillId="6" borderId="0" xfId="2" applyNumberFormat="1" applyFont="1" applyFill="1" applyBorder="1" applyAlignment="1">
      <alignment vertical="center"/>
    </xf>
    <xf numFmtId="10" fontId="7" fillId="6" borderId="0" xfId="4" applyNumberFormat="1" applyFont="1" applyFill="1" applyBorder="1" applyAlignment="1">
      <alignment vertical="center"/>
    </xf>
    <xf numFmtId="41" fontId="2" fillId="6" borderId="0" xfId="0" applyNumberFormat="1" applyFont="1" applyFill="1" applyBorder="1" applyAlignment="1">
      <alignment vertical="center"/>
    </xf>
    <xf numFmtId="41" fontId="45" fillId="0" borderId="0" xfId="0" applyNumberFormat="1" applyFont="1" applyBorder="1" applyAlignment="1">
      <alignment vertical="center"/>
    </xf>
    <xf numFmtId="41" fontId="45" fillId="6" borderId="0" xfId="0" applyNumberFormat="1" applyFont="1" applyFill="1" applyBorder="1" applyAlignment="1">
      <alignment vertical="center"/>
    </xf>
    <xf numFmtId="41" fontId="17" fillId="6" borderId="0" xfId="0" applyNumberFormat="1" applyFont="1" applyFill="1" applyBorder="1" applyAlignment="1">
      <alignment vertical="center"/>
    </xf>
    <xf numFmtId="41" fontId="15" fillId="6" borderId="0" xfId="0" applyNumberFormat="1" applyFont="1" applyFill="1" applyBorder="1" applyAlignment="1">
      <alignment vertical="center"/>
    </xf>
    <xf numFmtId="41" fontId="15" fillId="0" borderId="0" xfId="0" applyNumberFormat="1" applyFont="1" applyBorder="1" applyAlignment="1">
      <alignment vertical="center"/>
    </xf>
    <xf numFmtId="41" fontId="44" fillId="0" borderId="0" xfId="0" applyNumberFormat="1" applyFont="1" applyBorder="1" applyAlignment="1">
      <alignment vertical="center"/>
    </xf>
    <xf numFmtId="41" fontId="44" fillId="6" borderId="0" xfId="0" applyNumberFormat="1" applyFont="1" applyFill="1" applyBorder="1" applyAlignment="1">
      <alignment vertical="center"/>
    </xf>
    <xf numFmtId="41" fontId="16" fillId="6" borderId="0" xfId="0" applyNumberFormat="1" applyFont="1" applyFill="1" applyBorder="1" applyAlignment="1">
      <alignment vertical="center"/>
    </xf>
    <xf numFmtId="41" fontId="48" fillId="0" borderId="0" xfId="2" applyNumberFormat="1" applyFont="1" applyBorder="1" applyAlignment="1">
      <alignment vertical="center"/>
    </xf>
    <xf numFmtId="41" fontId="48" fillId="6" borderId="0" xfId="2" applyNumberFormat="1" applyFont="1" applyFill="1" applyBorder="1" applyAlignment="1">
      <alignment vertical="center"/>
    </xf>
    <xf numFmtId="164" fontId="2" fillId="0" borderId="0" xfId="2" applyNumberFormat="1" applyFont="1" applyBorder="1" applyAlignment="1">
      <alignment vertical="center"/>
    </xf>
    <xf numFmtId="164" fontId="16" fillId="0" borderId="0" xfId="2" applyNumberFormat="1" applyFont="1" applyBorder="1" applyAlignment="1">
      <alignment vertical="center"/>
    </xf>
    <xf numFmtId="0" fontId="2" fillId="6" borderId="0" xfId="0" applyFont="1" applyFill="1" applyBorder="1" applyAlignment="1" applyProtection="1">
      <alignment vertical="center"/>
      <protection locked="0"/>
    </xf>
    <xf numFmtId="0" fontId="2" fillId="0" borderId="0" xfId="0" applyFont="1" applyAlignment="1">
      <alignment vertical="center"/>
    </xf>
    <xf numFmtId="0" fontId="6" fillId="0" borderId="0" xfId="0" applyFont="1" applyAlignment="1">
      <alignment vertical="center"/>
    </xf>
    <xf numFmtId="41" fontId="7" fillId="0" borderId="0"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Fill="1" applyAlignment="1">
      <alignment vertical="center"/>
    </xf>
    <xf numFmtId="0" fontId="44" fillId="0" borderId="0" xfId="0" applyFont="1" applyFill="1" applyAlignment="1">
      <alignment vertical="center"/>
    </xf>
    <xf numFmtId="41" fontId="44" fillId="0" borderId="0" xfId="2" applyNumberFormat="1" applyFont="1" applyFill="1" applyBorder="1" applyAlignment="1" applyProtection="1">
      <alignment vertical="center"/>
      <protection locked="0"/>
    </xf>
    <xf numFmtId="164" fontId="6" fillId="0" borderId="0" xfId="2" applyNumberFormat="1" applyFont="1" applyFill="1" applyBorder="1" applyAlignment="1" applyProtection="1">
      <alignment vertical="center"/>
      <protection locked="0"/>
    </xf>
    <xf numFmtId="41" fontId="2" fillId="0" borderId="0" xfId="2" applyNumberFormat="1" applyFont="1" applyFill="1" applyBorder="1" applyAlignment="1" applyProtection="1">
      <alignment horizontal="right" vertical="center"/>
      <protection locked="0"/>
    </xf>
    <xf numFmtId="0" fontId="2" fillId="0" borderId="0" xfId="0" applyFont="1" applyFill="1" applyAlignment="1">
      <alignment horizontal="left" vertical="center"/>
    </xf>
    <xf numFmtId="0" fontId="2" fillId="0" borderId="0" xfId="0" applyFont="1" applyFill="1" applyAlignment="1">
      <alignment vertical="center" readingOrder="1"/>
    </xf>
    <xf numFmtId="0" fontId="7"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41" fontId="17" fillId="0" borderId="0" xfId="2" applyNumberFormat="1" applyFont="1" applyFill="1" applyBorder="1" applyAlignment="1" applyProtection="1">
      <alignment horizontal="right" vertical="center"/>
      <protection locked="0"/>
    </xf>
    <xf numFmtId="168" fontId="10" fillId="0" borderId="0" xfId="4" applyNumberFormat="1" applyFont="1" applyFill="1" applyBorder="1" applyAlignment="1">
      <alignment vertical="center"/>
    </xf>
    <xf numFmtId="0" fontId="6" fillId="0" borderId="0" xfId="0" applyFont="1" applyFill="1" applyAlignment="1">
      <alignment horizontal="left" vertical="center"/>
    </xf>
    <xf numFmtId="41" fontId="6" fillId="0" borderId="0" xfId="2" applyNumberFormat="1" applyFont="1" applyFill="1" applyBorder="1" applyAlignment="1" applyProtection="1">
      <alignment vertical="center"/>
      <protection locked="0"/>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10" fillId="0" borderId="0" xfId="0" applyFont="1" applyFill="1" applyAlignment="1">
      <alignment horizontal="left" vertical="center"/>
    </xf>
    <xf numFmtId="0" fontId="9"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Fill="1" applyAlignment="1">
      <alignment vertical="center"/>
    </xf>
    <xf numFmtId="10" fontId="10" fillId="0" borderId="0" xfId="4"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41" fontId="6" fillId="0" borderId="0" xfId="2" applyNumberFormat="1" applyFont="1" applyFill="1" applyBorder="1" applyAlignment="1" applyProtection="1">
      <alignment horizontal="right" vertical="center"/>
      <protection locked="0"/>
    </xf>
    <xf numFmtId="43" fontId="2" fillId="0" borderId="0" xfId="2" applyFont="1" applyAlignment="1">
      <alignment vertical="center"/>
    </xf>
    <xf numFmtId="10" fontId="6" fillId="6" borderId="0" xfId="4" applyNumberFormat="1" applyFont="1" applyFill="1" applyBorder="1" applyAlignment="1">
      <alignment vertical="center"/>
    </xf>
    <xf numFmtId="0" fontId="46" fillId="0" borderId="0" xfId="0" applyFont="1" applyFill="1" applyAlignment="1">
      <alignment vertical="center"/>
    </xf>
    <xf numFmtId="0" fontId="47" fillId="0" borderId="0" xfId="0" applyFont="1" applyFill="1" applyAlignment="1">
      <alignment vertical="center"/>
    </xf>
    <xf numFmtId="10" fontId="45" fillId="0" borderId="0" xfId="4" applyNumberFormat="1" applyFont="1" applyFill="1" applyBorder="1" applyAlignment="1">
      <alignment vertical="center"/>
    </xf>
    <xf numFmtId="10" fontId="49" fillId="0" borderId="0" xfId="4" applyNumberFormat="1" applyFont="1" applyBorder="1" applyAlignment="1">
      <alignment vertical="center"/>
    </xf>
    <xf numFmtId="10" fontId="45" fillId="6" borderId="0" xfId="4" applyNumberFormat="1" applyFont="1" applyFill="1" applyBorder="1" applyAlignment="1">
      <alignment vertical="center"/>
    </xf>
    <xf numFmtId="0" fontId="7" fillId="6" borderId="0" xfId="0" applyFont="1" applyFill="1" applyAlignment="1">
      <alignment vertical="center"/>
    </xf>
    <xf numFmtId="9" fontId="6" fillId="0" borderId="0" xfId="4" applyNumberFormat="1" applyFont="1" applyBorder="1" applyAlignment="1" applyProtection="1">
      <alignment vertical="center"/>
      <protection locked="0"/>
    </xf>
    <xf numFmtId="41" fontId="7" fillId="0" borderId="0" xfId="0" applyNumberFormat="1" applyFont="1" applyFill="1" applyBorder="1" applyAlignment="1" applyProtection="1">
      <alignment vertical="center"/>
      <protection locked="0"/>
    </xf>
    <xf numFmtId="0" fontId="2" fillId="0" borderId="0" xfId="0" applyFont="1" applyAlignment="1">
      <alignment vertical="center"/>
    </xf>
    <xf numFmtId="41" fontId="16" fillId="0" borderId="0" xfId="2" applyNumberFormat="1" applyFont="1" applyFill="1" applyBorder="1" applyAlignment="1" applyProtection="1">
      <alignment horizontal="right" vertical="center"/>
      <protection locked="0"/>
    </xf>
    <xf numFmtId="1" fontId="7" fillId="6" borderId="0" xfId="0" applyNumberFormat="1" applyFont="1" applyFill="1" applyBorder="1" applyAlignment="1">
      <alignment horizontal="center" vertical="center"/>
    </xf>
    <xf numFmtId="0" fontId="3" fillId="6" borderId="0" xfId="0" applyFont="1" applyFill="1" applyBorder="1" applyAlignment="1">
      <alignment horizontal="center" vertical="center"/>
    </xf>
    <xf numFmtId="0" fontId="7" fillId="6" borderId="0" xfId="0" applyFont="1" applyFill="1" applyBorder="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41" fontId="6" fillId="0" borderId="0" xfId="0" applyNumberFormat="1" applyFont="1" applyFill="1" applyBorder="1" applyAlignment="1">
      <alignment vertical="center"/>
    </xf>
    <xf numFmtId="168" fontId="7" fillId="0" borderId="0" xfId="2" applyNumberFormat="1" applyFont="1" applyFill="1" applyBorder="1" applyAlignment="1">
      <alignment vertical="center"/>
    </xf>
    <xf numFmtId="0" fontId="2" fillId="0" borderId="0" xfId="0" applyFont="1" applyAlignment="1">
      <alignment vertical="center" wrapText="1"/>
    </xf>
    <xf numFmtId="0" fontId="7" fillId="0" borderId="0" xfId="0" applyFont="1" applyAlignment="1">
      <alignment horizontal="center" vertical="center" textRotation="180"/>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41" fontId="16" fillId="0" borderId="0" xfId="0" applyNumberFormat="1" applyFont="1" applyFill="1" applyBorder="1" applyAlignment="1" applyProtection="1">
      <alignment vertical="center"/>
      <protection locked="0"/>
    </xf>
    <xf numFmtId="41" fontId="17" fillId="0" borderId="0" xfId="2" applyNumberFormat="1" applyFont="1" applyFill="1" applyBorder="1" applyAlignment="1" applyProtection="1">
      <alignment vertical="center"/>
      <protection locked="0"/>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3" fillId="0" borderId="0" xfId="0" applyFont="1" applyFill="1" applyAlignment="1">
      <alignment horizontal="left" vertical="center"/>
    </xf>
    <xf numFmtId="9" fontId="6" fillId="0" borderId="0" xfId="4" applyFont="1" applyBorder="1" applyAlignment="1">
      <alignment vertical="center"/>
    </xf>
    <xf numFmtId="0" fontId="45" fillId="0" borderId="0" xfId="0" applyFont="1" applyFill="1" applyAlignment="1">
      <alignment vertical="center"/>
    </xf>
    <xf numFmtId="0" fontId="6" fillId="0" borderId="0" xfId="0" applyFont="1" applyAlignment="1">
      <alignment vertical="center"/>
    </xf>
    <xf numFmtId="0" fontId="2" fillId="0" borderId="0" xfId="0" applyFont="1" applyAlignment="1">
      <alignment vertical="center"/>
    </xf>
    <xf numFmtId="167" fontId="2" fillId="0" borderId="0" xfId="3" applyNumberFormat="1" applyFont="1" applyBorder="1" applyAlignment="1">
      <alignment vertical="center"/>
    </xf>
    <xf numFmtId="167" fontId="2" fillId="0" borderId="0" xfId="3" applyNumberFormat="1" applyFont="1" applyFill="1" applyBorder="1" applyAlignment="1" applyProtection="1">
      <alignment vertical="center"/>
      <protection locked="0"/>
    </xf>
    <xf numFmtId="167" fontId="2" fillId="6" borderId="0" xfId="3" applyNumberFormat="1" applyFont="1" applyFill="1" applyBorder="1" applyAlignment="1" applyProtection="1">
      <alignment vertical="center"/>
      <protection locked="0"/>
    </xf>
    <xf numFmtId="167" fontId="3" fillId="0" borderId="0" xfId="3" applyNumberFormat="1" applyFont="1" applyFill="1" applyBorder="1" applyAlignment="1">
      <alignment vertical="center"/>
    </xf>
    <xf numFmtId="167" fontId="3" fillId="6" borderId="0" xfId="3" applyNumberFormat="1" applyFont="1" applyFill="1" applyBorder="1" applyAlignment="1">
      <alignment vertical="center"/>
    </xf>
    <xf numFmtId="167" fontId="7" fillId="0" borderId="0" xfId="3" applyNumberFormat="1" applyFont="1" applyBorder="1" applyAlignment="1">
      <alignment vertical="center"/>
    </xf>
    <xf numFmtId="167" fontId="7" fillId="6" borderId="0" xfId="3" applyNumberFormat="1" applyFont="1" applyFill="1" applyBorder="1" applyAlignment="1">
      <alignment vertical="center"/>
    </xf>
    <xf numFmtId="167" fontId="3" fillId="0" borderId="0" xfId="3" applyNumberFormat="1" applyFont="1" applyBorder="1" applyAlignment="1">
      <alignment vertical="center"/>
    </xf>
    <xf numFmtId="167" fontId="2" fillId="0" borderId="0" xfId="3" applyNumberFormat="1" applyFont="1" applyFill="1" applyBorder="1" applyAlignment="1">
      <alignment vertical="center"/>
    </xf>
    <xf numFmtId="167" fontId="3" fillId="0" borderId="0" xfId="3" applyNumberFormat="1" applyFont="1" applyBorder="1" applyAlignment="1">
      <alignment horizontal="right" vertical="center"/>
    </xf>
    <xf numFmtId="167" fontId="3" fillId="6" borderId="0" xfId="3" applyNumberFormat="1" applyFont="1" applyFill="1" applyBorder="1" applyAlignment="1">
      <alignment horizontal="right" vertical="center"/>
    </xf>
    <xf numFmtId="167" fontId="2" fillId="0" borderId="0" xfId="3" applyNumberFormat="1" applyFont="1" applyBorder="1" applyAlignment="1" applyProtection="1">
      <alignment vertical="center"/>
      <protection locked="0"/>
    </xf>
    <xf numFmtId="0" fontId="7" fillId="0" borderId="0" xfId="0" applyFont="1" applyAlignment="1">
      <alignment horizontal="left" vertical="center" indent="7"/>
    </xf>
    <xf numFmtId="0" fontId="2" fillId="0" borderId="2" xfId="0" applyFont="1" applyBorder="1" applyAlignment="1">
      <alignment vertical="center"/>
    </xf>
    <xf numFmtId="0" fontId="6" fillId="0" borderId="2" xfId="0" applyFont="1" applyBorder="1" applyAlignment="1">
      <alignment horizontal="left" vertical="center"/>
    </xf>
    <xf numFmtId="41" fontId="2" fillId="0" borderId="2" xfId="2" applyNumberFormat="1" applyFont="1" applyBorder="1" applyAlignment="1">
      <alignment vertical="center"/>
    </xf>
    <xf numFmtId="41" fontId="2" fillId="6" borderId="2" xfId="2" applyNumberFormat="1" applyFont="1" applyFill="1" applyBorder="1" applyAlignment="1">
      <alignment vertical="center"/>
    </xf>
    <xf numFmtId="8" fontId="7" fillId="6" borderId="0" xfId="0" applyNumberFormat="1" applyFont="1" applyFill="1" applyAlignment="1">
      <alignment vertical="center"/>
    </xf>
    <xf numFmtId="0" fontId="7" fillId="6" borderId="2" xfId="0" applyFont="1" applyFill="1" applyBorder="1" applyAlignment="1">
      <alignment vertical="center"/>
    </xf>
    <xf numFmtId="165" fontId="7" fillId="6" borderId="0" xfId="0" applyNumberFormat="1" applyFont="1" applyFill="1" applyAlignment="1">
      <alignment vertical="center"/>
    </xf>
    <xf numFmtId="164" fontId="7" fillId="6" borderId="0" xfId="2" applyNumberFormat="1" applyFont="1" applyFill="1" applyAlignment="1">
      <alignment vertical="center"/>
    </xf>
    <xf numFmtId="10" fontId="7" fillId="6" borderId="0" xfId="4" applyNumberFormat="1" applyFont="1" applyFill="1" applyAlignment="1">
      <alignment vertical="center"/>
    </xf>
    <xf numFmtId="167" fontId="7" fillId="0" borderId="0" xfId="3" applyNumberFormat="1" applyFont="1" applyFill="1" applyBorder="1" applyAlignment="1">
      <alignment vertical="center"/>
    </xf>
    <xf numFmtId="0" fontId="7" fillId="6" borderId="0" xfId="0" applyFont="1" applyFill="1" applyBorder="1" applyAlignment="1">
      <alignment vertical="center"/>
    </xf>
    <xf numFmtId="41" fontId="6" fillId="6" borderId="2" xfId="0" applyNumberFormat="1" applyFont="1" applyFill="1" applyBorder="1" applyAlignment="1">
      <alignment vertical="center"/>
    </xf>
    <xf numFmtId="167" fontId="6" fillId="6" borderId="0" xfId="3" applyNumberFormat="1" applyFont="1" applyFill="1" applyBorder="1" applyAlignment="1">
      <alignment vertical="center"/>
    </xf>
    <xf numFmtId="167" fontId="6" fillId="0" borderId="0" xfId="3" applyNumberFormat="1" applyFont="1" applyFill="1" applyBorder="1" applyAlignment="1">
      <alignment vertical="center"/>
    </xf>
    <xf numFmtId="10" fontId="10" fillId="6" borderId="0" xfId="4" applyNumberFormat="1" applyFont="1" applyFill="1" applyAlignment="1">
      <alignment horizontal="left" vertical="center" indent="2"/>
    </xf>
    <xf numFmtId="167" fontId="3" fillId="0" borderId="3" xfId="3" applyNumberFormat="1" applyFont="1" applyBorder="1" applyAlignment="1">
      <alignment vertical="center"/>
    </xf>
    <xf numFmtId="167" fontId="3" fillId="4" borderId="3" xfId="3" applyNumberFormat="1" applyFont="1" applyFill="1" applyBorder="1" applyAlignment="1">
      <alignment vertical="center"/>
    </xf>
    <xf numFmtId="167" fontId="3" fillId="0" borderId="5" xfId="3" applyNumberFormat="1" applyFont="1" applyBorder="1" applyAlignment="1">
      <alignment vertical="center"/>
    </xf>
    <xf numFmtId="167" fontId="18" fillId="0" borderId="0" xfId="3" applyNumberFormat="1" applyFont="1" applyAlignment="1">
      <alignment vertical="center"/>
    </xf>
    <xf numFmtId="167" fontId="16" fillId="0" borderId="0" xfId="3" applyNumberFormat="1" applyFont="1" applyBorder="1" applyAlignment="1">
      <alignment vertical="center"/>
    </xf>
    <xf numFmtId="167" fontId="16" fillId="0" borderId="0" xfId="3" applyNumberFormat="1" applyFont="1" applyFill="1" applyBorder="1" applyAlignment="1" applyProtection="1">
      <alignment vertical="center"/>
      <protection locked="0"/>
    </xf>
    <xf numFmtId="167" fontId="6" fillId="0" borderId="0" xfId="3" applyNumberFormat="1" applyFont="1" applyFill="1" applyBorder="1" applyAlignment="1" applyProtection="1">
      <alignment horizontal="right" vertical="center"/>
      <protection locked="0"/>
    </xf>
    <xf numFmtId="167" fontId="17" fillId="0" borderId="0" xfId="3" applyNumberFormat="1" applyFont="1" applyFill="1" applyBorder="1" applyAlignment="1" applyProtection="1">
      <alignment horizontal="right" vertical="center"/>
      <protection locked="0"/>
    </xf>
    <xf numFmtId="167" fontId="6" fillId="0" borderId="0" xfId="3" applyNumberFormat="1" applyFont="1" applyBorder="1" applyAlignment="1">
      <alignment vertical="center"/>
    </xf>
    <xf numFmtId="167" fontId="2" fillId="0" borderId="0" xfId="3" applyNumberFormat="1" applyFont="1" applyFill="1" applyBorder="1" applyAlignment="1" applyProtection="1">
      <alignment horizontal="right" vertical="center"/>
      <protection locked="0"/>
    </xf>
    <xf numFmtId="167" fontId="6" fillId="0" borderId="0" xfId="3" applyNumberFormat="1" applyFont="1" applyFill="1" applyBorder="1" applyAlignment="1" applyProtection="1">
      <alignment vertical="center"/>
      <protection locked="0"/>
    </xf>
    <xf numFmtId="167" fontId="45" fillId="0" borderId="0" xfId="3" applyNumberFormat="1" applyFont="1" applyFill="1" applyBorder="1" applyAlignment="1">
      <alignment vertical="center"/>
    </xf>
    <xf numFmtId="167" fontId="17" fillId="0" borderId="0" xfId="3" applyNumberFormat="1" applyFont="1" applyBorder="1" applyAlignment="1">
      <alignment vertical="center"/>
    </xf>
    <xf numFmtId="167" fontId="7" fillId="0" borderId="0" xfId="3" applyNumberFormat="1" applyFont="1" applyBorder="1" applyAlignment="1">
      <alignment horizontal="center" vertical="center"/>
    </xf>
    <xf numFmtId="167" fontId="23" fillId="0" borderId="0" xfId="3" applyNumberFormat="1" applyFont="1" applyBorder="1" applyAlignment="1">
      <alignment vertical="center"/>
    </xf>
    <xf numFmtId="167" fontId="29" fillId="0" borderId="0" xfId="3" applyNumberFormat="1" applyFont="1" applyBorder="1" applyAlignment="1">
      <alignment vertical="center"/>
    </xf>
    <xf numFmtId="44" fontId="2" fillId="6" borderId="0" xfId="3" applyFont="1" applyFill="1" applyBorder="1" applyAlignment="1" applyProtection="1">
      <alignment vertical="center"/>
      <protection locked="0"/>
    </xf>
    <xf numFmtId="167" fontId="17" fillId="6" borderId="0" xfId="3" applyNumberFormat="1" applyFont="1" applyFill="1" applyBorder="1" applyAlignment="1" applyProtection="1">
      <alignment horizontal="right" vertical="center"/>
      <protection locked="0"/>
    </xf>
    <xf numFmtId="167" fontId="16" fillId="6" borderId="0" xfId="3" applyNumberFormat="1" applyFont="1" applyFill="1" applyBorder="1" applyAlignment="1" applyProtection="1">
      <alignment vertical="center"/>
      <protection locked="0"/>
    </xf>
    <xf numFmtId="167" fontId="6" fillId="6" borderId="0" xfId="3" applyNumberFormat="1" applyFont="1" applyFill="1" applyBorder="1" applyAlignment="1" applyProtection="1">
      <alignment horizontal="right" vertical="center"/>
      <protection locked="0"/>
    </xf>
    <xf numFmtId="167" fontId="6" fillId="0" borderId="0" xfId="3" applyNumberFormat="1" applyFont="1" applyBorder="1" applyAlignment="1" applyProtection="1">
      <alignment horizontal="right" vertical="center"/>
      <protection locked="0"/>
    </xf>
    <xf numFmtId="167" fontId="2" fillId="6" borderId="0" xfId="3" applyNumberFormat="1" applyFont="1" applyFill="1" applyBorder="1" applyAlignment="1" applyProtection="1">
      <alignment horizontal="right" vertical="center"/>
      <protection locked="0"/>
    </xf>
    <xf numFmtId="44" fontId="2" fillId="0" borderId="0" xfId="3" applyFont="1" applyBorder="1" applyAlignment="1" applyProtection="1">
      <alignment horizontal="right" vertical="center"/>
      <protection locked="0"/>
    </xf>
    <xf numFmtId="167" fontId="2" fillId="0" borderId="0" xfId="3" applyNumberFormat="1" applyFont="1" applyBorder="1" applyAlignment="1" applyProtection="1">
      <alignment horizontal="right" vertical="center"/>
      <protection locked="0"/>
    </xf>
    <xf numFmtId="167" fontId="6" fillId="6" borderId="0" xfId="3" applyNumberFormat="1" applyFont="1" applyFill="1" applyBorder="1" applyAlignment="1" applyProtection="1">
      <alignment vertical="center"/>
      <protection locked="0"/>
    </xf>
    <xf numFmtId="167" fontId="6" fillId="0" borderId="0" xfId="3" applyNumberFormat="1" applyFont="1" applyBorder="1" applyAlignment="1" applyProtection="1">
      <alignment vertical="center"/>
      <protection locked="0"/>
    </xf>
    <xf numFmtId="167" fontId="30" fillId="6" borderId="0" xfId="3" applyNumberFormat="1" applyFont="1" applyFill="1" applyBorder="1" applyAlignment="1">
      <alignment vertical="center"/>
    </xf>
    <xf numFmtId="167" fontId="45" fillId="6" borderId="0" xfId="3" applyNumberFormat="1" applyFont="1" applyFill="1" applyBorder="1" applyAlignment="1">
      <alignment vertical="center"/>
    </xf>
    <xf numFmtId="167" fontId="17" fillId="6" borderId="0" xfId="3" applyNumberFormat="1" applyFont="1" applyFill="1" applyBorder="1" applyAlignment="1">
      <alignment vertical="center"/>
    </xf>
    <xf numFmtId="167" fontId="7" fillId="6" borderId="0" xfId="3" applyNumberFormat="1" applyFont="1" applyFill="1" applyBorder="1" applyAlignment="1">
      <alignment horizontal="center" vertical="center"/>
    </xf>
    <xf numFmtId="167" fontId="23" fillId="6" borderId="0" xfId="3" applyNumberFormat="1" applyFont="1" applyFill="1" applyBorder="1" applyAlignment="1">
      <alignment vertical="center"/>
    </xf>
    <xf numFmtId="167" fontId="2" fillId="6" borderId="0" xfId="3" applyNumberFormat="1" applyFont="1" applyFill="1" applyBorder="1" applyAlignment="1">
      <alignment vertical="center"/>
    </xf>
    <xf numFmtId="167" fontId="29" fillId="6" borderId="0" xfId="3" applyNumberFormat="1" applyFont="1" applyFill="1" applyBorder="1" applyAlignment="1">
      <alignment vertical="center"/>
    </xf>
    <xf numFmtId="164" fontId="6" fillId="0" borderId="0" xfId="2" applyNumberFormat="1" applyFont="1" applyAlignment="1">
      <alignment vertical="center"/>
    </xf>
    <xf numFmtId="0" fontId="6" fillId="0" borderId="7"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167" fontId="3" fillId="0" borderId="0" xfId="3" applyNumberFormat="1" applyFont="1" applyFill="1" applyBorder="1" applyAlignment="1" applyProtection="1">
      <alignment vertical="center"/>
      <protection locked="0"/>
    </xf>
    <xf numFmtId="167" fontId="3" fillId="6" borderId="0" xfId="3" applyNumberFormat="1" applyFont="1" applyFill="1" applyBorder="1" applyAlignment="1" applyProtection="1">
      <alignment vertical="center"/>
      <protection locked="0"/>
    </xf>
    <xf numFmtId="167" fontId="3" fillId="0" borderId="0" xfId="3" applyNumberFormat="1" applyFont="1" applyBorder="1" applyAlignment="1" applyProtection="1">
      <alignment vertical="center"/>
      <protection locked="0"/>
    </xf>
    <xf numFmtId="167" fontId="16" fillId="0" borderId="0" xfId="3" applyNumberFormat="1" applyFont="1" applyBorder="1" applyAlignment="1">
      <alignment horizontal="right" vertical="center"/>
    </xf>
    <xf numFmtId="167" fontId="16" fillId="0" borderId="0" xfId="3" applyNumberFormat="1" applyFont="1" applyFill="1" applyBorder="1" applyAlignment="1" applyProtection="1">
      <alignment horizontal="right" vertical="center"/>
      <protection locked="0"/>
    </xf>
    <xf numFmtId="167" fontId="16" fillId="6" borderId="0" xfId="3" applyNumberFormat="1" applyFont="1" applyFill="1" applyBorder="1" applyAlignment="1" applyProtection="1">
      <alignment horizontal="right" vertical="center"/>
      <protection locked="0"/>
    </xf>
    <xf numFmtId="0" fontId="7" fillId="0" borderId="0" xfId="0" applyFont="1" applyAlignment="1">
      <alignment horizontal="left" vertical="center" indent="31"/>
    </xf>
    <xf numFmtId="167" fontId="3" fillId="0" borderId="0" xfId="3" applyNumberFormat="1" applyFont="1" applyFill="1" applyBorder="1" applyAlignment="1">
      <alignment horizontal="right" vertical="center"/>
    </xf>
    <xf numFmtId="167" fontId="16" fillId="0" borderId="0" xfId="3" applyNumberFormat="1" applyFont="1" applyBorder="1" applyAlignment="1" applyProtection="1">
      <alignment vertical="center"/>
      <protection locked="0"/>
    </xf>
    <xf numFmtId="0" fontId="7" fillId="0" borderId="0" xfId="0" applyFont="1" applyAlignment="1">
      <alignment horizontal="left" vertical="center" indent="16"/>
    </xf>
    <xf numFmtId="167" fontId="7" fillId="0" borderId="2" xfId="3" applyNumberFormat="1" applyFont="1" applyBorder="1" applyAlignment="1">
      <alignment vertical="center"/>
    </xf>
    <xf numFmtId="167" fontId="7" fillId="6" borderId="2" xfId="3" applyNumberFormat="1" applyFont="1" applyFill="1" applyBorder="1" applyAlignment="1">
      <alignment vertical="center"/>
    </xf>
    <xf numFmtId="164" fontId="6" fillId="6" borderId="2" xfId="2" applyNumberFormat="1" applyFont="1" applyFill="1" applyBorder="1" applyAlignment="1">
      <alignment vertical="center"/>
    </xf>
    <xf numFmtId="0" fontId="6" fillId="6" borderId="2" xfId="0" applyFont="1" applyFill="1" applyBorder="1" applyAlignment="1">
      <alignment vertical="center"/>
    </xf>
    <xf numFmtId="41" fontId="7" fillId="0" borderId="7" xfId="0" applyNumberFormat="1" applyFont="1" applyBorder="1" applyAlignment="1">
      <alignment vertical="center"/>
    </xf>
    <xf numFmtId="41" fontId="7" fillId="6" borderId="7" xfId="0" applyNumberFormat="1" applyFont="1" applyFill="1" applyBorder="1" applyAlignment="1">
      <alignment vertical="center"/>
    </xf>
    <xf numFmtId="41" fontId="6" fillId="0" borderId="2" xfId="0" applyNumberFormat="1" applyFont="1" applyBorder="1" applyAlignment="1">
      <alignment vertical="center"/>
    </xf>
    <xf numFmtId="0" fontId="44" fillId="6" borderId="0" xfId="0" applyFont="1" applyFill="1" applyAlignment="1">
      <alignment vertical="center"/>
    </xf>
    <xf numFmtId="0" fontId="45" fillId="6" borderId="0" xfId="0" applyFont="1" applyFill="1" applyAlignment="1">
      <alignment vertical="center"/>
    </xf>
    <xf numFmtId="0" fontId="10" fillId="6" borderId="0" xfId="0" applyFont="1" applyFill="1" applyAlignment="1">
      <alignment vertical="center"/>
    </xf>
    <xf numFmtId="0" fontId="9" fillId="6" borderId="0" xfId="0" applyFont="1" applyFill="1" applyAlignment="1">
      <alignment vertical="center"/>
    </xf>
    <xf numFmtId="168" fontId="10" fillId="6" borderId="0" xfId="4" applyNumberFormat="1" applyFont="1" applyFill="1" applyBorder="1" applyAlignment="1">
      <alignment vertical="center"/>
    </xf>
    <xf numFmtId="0" fontId="6" fillId="0" borderId="2" xfId="0" applyFont="1" applyBorder="1" applyAlignment="1">
      <alignment vertical="center"/>
    </xf>
    <xf numFmtId="167" fontId="6" fillId="0" borderId="2" xfId="3" applyNumberFormat="1" applyFont="1" applyBorder="1" applyAlignment="1">
      <alignment vertical="center"/>
    </xf>
    <xf numFmtId="167" fontId="6" fillId="6" borderId="2" xfId="3" applyNumberFormat="1" applyFont="1" applyFill="1" applyBorder="1" applyAlignment="1">
      <alignment vertical="center"/>
    </xf>
    <xf numFmtId="43" fontId="6" fillId="6" borderId="2" xfId="2" applyFont="1" applyFill="1" applyBorder="1" applyAlignment="1">
      <alignment vertical="center"/>
    </xf>
    <xf numFmtId="10" fontId="6" fillId="6" borderId="0" xfId="4" applyNumberFormat="1" applyFont="1" applyFill="1" applyAlignment="1">
      <alignment vertical="center"/>
    </xf>
    <xf numFmtId="167" fontId="3" fillId="0" borderId="2" xfId="3" applyNumberFormat="1" applyFont="1" applyBorder="1" applyAlignment="1">
      <alignment vertical="center"/>
    </xf>
    <xf numFmtId="0" fontId="7" fillId="0" borderId="2" xfId="0" applyFont="1" applyBorder="1" applyAlignment="1">
      <alignment horizontal="left" vertical="center" indent="25"/>
    </xf>
    <xf numFmtId="167" fontId="3" fillId="6" borderId="2" xfId="3" applyNumberFormat="1" applyFont="1" applyFill="1" applyBorder="1" applyAlignment="1">
      <alignment vertical="center"/>
    </xf>
    <xf numFmtId="0" fontId="2" fillId="6" borderId="0" xfId="0" applyFont="1" applyFill="1" applyAlignment="1">
      <alignment vertical="center"/>
    </xf>
    <xf numFmtId="0" fontId="6" fillId="6" borderId="0" xfId="0" applyFont="1" applyFill="1" applyAlignment="1">
      <alignment horizontal="left" vertical="center"/>
    </xf>
    <xf numFmtId="43" fontId="2" fillId="6" borderId="2" xfId="2" applyFont="1" applyFill="1" applyBorder="1" applyAlignment="1">
      <alignment vertical="center"/>
    </xf>
    <xf numFmtId="0" fontId="45" fillId="0" borderId="0" xfId="0" applyFont="1" applyFill="1" applyAlignment="1" applyProtection="1">
      <alignment vertical="center"/>
      <protection locked="0"/>
    </xf>
    <xf numFmtId="167" fontId="16" fillId="0" borderId="0" xfId="3" applyNumberFormat="1" applyFont="1" applyBorder="1" applyAlignment="1" applyProtection="1">
      <alignment horizontal="right" vertical="center"/>
      <protection locked="0"/>
    </xf>
    <xf numFmtId="0" fontId="2" fillId="0" borderId="2" xfId="0" applyFont="1" applyBorder="1" applyAlignment="1">
      <alignment horizontal="left" vertical="center" indent="1"/>
    </xf>
    <xf numFmtId="0" fontId="3" fillId="0" borderId="7" xfId="0" applyFont="1" applyBorder="1" applyAlignment="1">
      <alignment horizontal="left" indent="1" shrinkToFit="1"/>
    </xf>
    <xf numFmtId="1" fontId="45" fillId="7" borderId="0" xfId="0" applyNumberFormat="1" applyFont="1" applyFill="1" applyBorder="1" applyAlignment="1">
      <alignment horizontal="center" vertical="center"/>
    </xf>
    <xf numFmtId="0" fontId="45" fillId="7" borderId="1" xfId="0" applyFont="1" applyFill="1" applyBorder="1" applyAlignment="1">
      <alignment horizontal="center" vertical="center"/>
    </xf>
    <xf numFmtId="1" fontId="57" fillId="6" borderId="0" xfId="0" applyNumberFormat="1" applyFont="1" applyFill="1" applyBorder="1" applyAlignment="1">
      <alignment horizontal="center" vertical="center"/>
    </xf>
    <xf numFmtId="0" fontId="57" fillId="6" borderId="1" xfId="0" applyFont="1" applyFill="1" applyBorder="1" applyAlignment="1">
      <alignment horizontal="center" vertical="center"/>
    </xf>
    <xf numFmtId="164" fontId="56" fillId="6" borderId="0" xfId="2" applyNumberFormat="1" applyFont="1" applyFill="1"/>
    <xf numFmtId="10" fontId="56" fillId="6" borderId="0" xfId="4" applyNumberFormat="1" applyFont="1" applyFill="1" applyAlignment="1">
      <alignment vertical="center"/>
    </xf>
    <xf numFmtId="167" fontId="3" fillId="0" borderId="7" xfId="3" applyNumberFormat="1" applyFont="1" applyBorder="1" applyAlignment="1">
      <alignment vertical="center"/>
    </xf>
    <xf numFmtId="0" fontId="3" fillId="0" borderId="7" xfId="0" applyFont="1" applyBorder="1" applyAlignment="1">
      <alignment horizontal="left" vertical="center" indent="1"/>
    </xf>
    <xf numFmtId="167" fontId="3" fillId="0" borderId="7" xfId="3" applyNumberFormat="1" applyFont="1" applyBorder="1" applyAlignment="1">
      <alignment horizontal="left" vertical="center" indent="1"/>
    </xf>
    <xf numFmtId="0" fontId="3" fillId="0" borderId="7" xfId="0" applyFont="1" applyBorder="1" applyAlignment="1">
      <alignment horizontal="left" vertical="center"/>
    </xf>
    <xf numFmtId="1" fontId="58" fillId="7" borderId="0" xfId="0" applyNumberFormat="1" applyFont="1" applyFill="1" applyBorder="1" applyAlignment="1">
      <alignment horizontal="center" vertical="center"/>
    </xf>
    <xf numFmtId="1" fontId="59" fillId="6" borderId="0" xfId="0" applyNumberFormat="1" applyFont="1" applyFill="1" applyBorder="1" applyAlignment="1">
      <alignment horizontal="center" vertical="center"/>
    </xf>
    <xf numFmtId="0" fontId="6" fillId="0" borderId="0" xfId="0" applyFont="1" applyAlignment="1">
      <alignment vertical="center"/>
    </xf>
    <xf numFmtId="0" fontId="7" fillId="6" borderId="0" xfId="0" applyFont="1" applyFill="1" applyAlignment="1">
      <alignment horizontal="left" vertical="center" indent="13"/>
    </xf>
    <xf numFmtId="0" fontId="2" fillId="0" borderId="0" xfId="0" applyFont="1" applyAlignment="1">
      <alignment vertical="center"/>
    </xf>
    <xf numFmtId="164" fontId="2" fillId="6" borderId="0" xfId="2" applyNumberFormat="1" applyFont="1" applyFill="1" applyBorder="1" applyAlignment="1" applyProtection="1">
      <alignment vertical="center"/>
      <protection locked="0"/>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167" fontId="2" fillId="0" borderId="0" xfId="3" applyNumberFormat="1" applyFont="1" applyBorder="1" applyAlignment="1">
      <alignment horizontal="right" vertical="center"/>
    </xf>
    <xf numFmtId="164" fontId="16" fillId="0" borderId="0" xfId="2" applyNumberFormat="1" applyFont="1" applyBorder="1" applyAlignment="1">
      <alignment horizontal="right" vertical="center"/>
    </xf>
    <xf numFmtId="164" fontId="16" fillId="0" borderId="0" xfId="2" applyNumberFormat="1" applyFont="1" applyFill="1" applyBorder="1" applyAlignment="1" applyProtection="1">
      <alignment horizontal="right" vertical="center"/>
      <protection locked="0"/>
    </xf>
    <xf numFmtId="164" fontId="16" fillId="6" borderId="0" xfId="2" applyNumberFormat="1" applyFont="1" applyFill="1" applyBorder="1" applyAlignment="1" applyProtection="1">
      <alignment horizontal="right" vertical="center"/>
      <protection locked="0"/>
    </xf>
    <xf numFmtId="41" fontId="6" fillId="0" borderId="0" xfId="2"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48" fillId="0" borderId="0" xfId="0" applyFont="1" applyAlignment="1">
      <alignment vertical="center"/>
    </xf>
    <xf numFmtId="167" fontId="50" fillId="6" borderId="0" xfId="3" applyNumberFormat="1" applyFont="1" applyFill="1" applyBorder="1" applyAlignment="1">
      <alignment vertical="center"/>
    </xf>
    <xf numFmtId="167" fontId="60" fillId="6" borderId="0" xfId="3" applyNumberFormat="1" applyFont="1" applyFill="1" applyBorder="1" applyAlignment="1">
      <alignment vertical="center"/>
    </xf>
    <xf numFmtId="44" fontId="2" fillId="0" borderId="0" xfId="3" applyFont="1" applyBorder="1" applyAlignment="1">
      <alignment horizontal="right" vertical="center"/>
    </xf>
    <xf numFmtId="44" fontId="2" fillId="0" borderId="0" xfId="3" applyFont="1" applyFill="1" applyBorder="1" applyAlignment="1" applyProtection="1">
      <alignment horizontal="right" vertical="center"/>
      <protection locked="0"/>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168" fontId="6" fillId="0" borderId="0" xfId="0" applyNumberFormat="1" applyFont="1" applyFill="1" applyBorder="1" applyAlignment="1" applyProtection="1">
      <alignment vertical="center"/>
      <protection locked="0"/>
    </xf>
    <xf numFmtId="164" fontId="16" fillId="0" borderId="0" xfId="2" applyNumberFormat="1" applyFont="1" applyFill="1" applyBorder="1" applyAlignment="1" applyProtection="1">
      <alignment vertical="center"/>
      <protection locked="0"/>
    </xf>
    <xf numFmtId="164" fontId="16" fillId="6" borderId="0" xfId="2" applyNumberFormat="1" applyFont="1" applyFill="1" applyBorder="1" applyAlignment="1" applyProtection="1">
      <alignment vertical="center"/>
      <protection locked="0"/>
    </xf>
    <xf numFmtId="164" fontId="16" fillId="0" borderId="0" xfId="2" applyNumberFormat="1" applyFont="1" applyBorder="1" applyAlignment="1" applyProtection="1">
      <alignment vertical="center"/>
      <protection locked="0"/>
    </xf>
    <xf numFmtId="0" fontId="7" fillId="0" borderId="0" xfId="0" applyFont="1" applyAlignment="1">
      <alignment horizontal="left" vertical="center" indent="27"/>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7" fillId="6" borderId="0" xfId="0" applyFont="1" applyFill="1" applyAlignment="1">
      <alignment horizontal="left" vertical="center" indent="24"/>
    </xf>
    <xf numFmtId="0" fontId="6" fillId="6" borderId="0" xfId="0" applyFont="1" applyFill="1" applyBorder="1" applyAlignment="1">
      <alignment horizontal="left" vertical="center" indent="24"/>
    </xf>
    <xf numFmtId="0" fontId="3" fillId="0" borderId="0" xfId="0" applyFont="1" applyBorder="1" applyAlignment="1">
      <alignment horizontal="left" vertical="center"/>
    </xf>
    <xf numFmtId="167" fontId="3" fillId="0" borderId="5" xfId="3" applyNumberFormat="1" applyFont="1" applyBorder="1" applyAlignment="1">
      <alignment horizontal="left" vertical="center"/>
    </xf>
    <xf numFmtId="10" fontId="6" fillId="0" borderId="0" xfId="4" applyNumberFormat="1" applyFont="1" applyFill="1" applyBorder="1" applyAlignment="1">
      <alignment vertical="center"/>
    </xf>
    <xf numFmtId="0" fontId="6" fillId="0" borderId="0" xfId="0" applyFont="1" applyAlignment="1">
      <alignment vertical="center"/>
    </xf>
    <xf numFmtId="0" fontId="7" fillId="7" borderId="0" xfId="0" applyFont="1" applyFill="1" applyAlignment="1">
      <alignment horizontal="center" vertical="center"/>
    </xf>
    <xf numFmtId="167" fontId="3" fillId="7" borderId="0" xfId="3" applyNumberFormat="1" applyFont="1" applyFill="1" applyBorder="1" applyAlignment="1">
      <alignment vertical="center"/>
    </xf>
    <xf numFmtId="167" fontId="3" fillId="8" borderId="0" xfId="3" applyNumberFormat="1" applyFont="1" applyFill="1" applyBorder="1" applyAlignment="1">
      <alignment vertical="center"/>
    </xf>
    <xf numFmtId="167" fontId="3" fillId="8" borderId="0" xfId="3"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Fill="1" applyBorder="1" applyAlignment="1">
      <alignment horizontal="center" vertical="center" wrapText="1"/>
    </xf>
    <xf numFmtId="0" fontId="7" fillId="0" borderId="0" xfId="0" applyFont="1" applyAlignment="1">
      <alignment horizontal="center" vertical="center"/>
    </xf>
    <xf numFmtId="0" fontId="45" fillId="7" borderId="0" xfId="0" applyFont="1" applyFill="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3" fillId="0" borderId="0" xfId="0" applyFont="1" applyAlignment="1">
      <alignment horizontal="center" vertical="center"/>
    </xf>
    <xf numFmtId="0" fontId="6" fillId="0" borderId="0" xfId="0" applyFont="1" applyFill="1" applyBorder="1" applyAlignment="1" applyProtection="1">
      <alignment horizontal="center" vertical="center"/>
      <protection locked="0"/>
    </xf>
    <xf numFmtId="0" fontId="3" fillId="0" borderId="0" xfId="0" applyFont="1" applyFill="1" applyAlignment="1">
      <alignment vertical="center"/>
    </xf>
    <xf numFmtId="164" fontId="7" fillId="0" borderId="0" xfId="2" applyNumberFormat="1" applyFont="1" applyAlignment="1">
      <alignment horizontal="center" vertical="center"/>
    </xf>
    <xf numFmtId="10" fontId="7" fillId="0" borderId="0" xfId="4" applyNumberFormat="1" applyFont="1" applyAlignment="1">
      <alignment horizontal="center" vertical="center"/>
    </xf>
    <xf numFmtId="0" fontId="45" fillId="0" borderId="0" xfId="0" applyFont="1" applyFill="1" applyAlignment="1" applyProtection="1">
      <alignment horizontal="center" vertical="center"/>
      <protection locked="0"/>
    </xf>
    <xf numFmtId="0" fontId="7"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9" fontId="7" fillId="0" borderId="0" xfId="4" applyFont="1" applyAlignment="1">
      <alignment horizontal="center" vertical="center"/>
    </xf>
    <xf numFmtId="0" fontId="47" fillId="0" borderId="0" xfId="0" applyFont="1" applyFill="1" applyAlignment="1">
      <alignment horizontal="center" vertical="center"/>
    </xf>
    <xf numFmtId="0" fontId="42" fillId="0" borderId="0" xfId="0" applyFont="1" applyAlignment="1">
      <alignment horizontal="center" vertical="center"/>
    </xf>
    <xf numFmtId="0" fontId="40" fillId="0" borderId="0" xfId="0" applyFont="1" applyAlignment="1">
      <alignment horizontal="center" vertical="center"/>
    </xf>
    <xf numFmtId="0" fontId="7" fillId="7" borderId="0" xfId="0" applyFont="1" applyFill="1" applyAlignment="1" applyProtection="1">
      <alignment horizontal="center" vertical="center"/>
      <protection locked="0"/>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15" fillId="0" borderId="0" xfId="0" applyFont="1" applyFill="1" applyBorder="1" applyAlignment="1" applyProtection="1">
      <alignment horizontal="center" vertical="center"/>
      <protection locked="0"/>
    </xf>
    <xf numFmtId="164" fontId="3" fillId="6" borderId="0" xfId="2" applyNumberFormat="1" applyFont="1" applyFill="1" applyBorder="1" applyAlignment="1">
      <alignment vertical="center"/>
    </xf>
    <xf numFmtId="164" fontId="3" fillId="6" borderId="0" xfId="2" applyNumberFormat="1" applyFont="1" applyFill="1" applyBorder="1" applyAlignment="1">
      <alignment horizontal="right" vertical="center"/>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41" fontId="2" fillId="0" borderId="0" xfId="0" applyNumberFormat="1" applyFont="1" applyAlignment="1" applyProtection="1">
      <alignment vertical="center"/>
      <protection locked="0"/>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164" fontId="2" fillId="0" borderId="0" xfId="2" applyNumberFormat="1" applyFont="1" applyFill="1" applyBorder="1" applyAlignment="1" applyProtection="1">
      <alignment horizontal="right" vertical="center"/>
      <protection locked="0"/>
    </xf>
    <xf numFmtId="164" fontId="2" fillId="6" borderId="0" xfId="2" applyNumberFormat="1" applyFont="1" applyFill="1" applyBorder="1" applyAlignment="1" applyProtection="1">
      <alignment horizontal="right" vertical="center"/>
      <protection locked="0"/>
    </xf>
    <xf numFmtId="164" fontId="2" fillId="0" borderId="0" xfId="2" applyNumberFormat="1" applyFont="1" applyBorder="1" applyAlignment="1" applyProtection="1">
      <alignment horizontal="right" vertical="center"/>
      <protection locked="0"/>
    </xf>
    <xf numFmtId="0" fontId="6"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shrinkToFit="1"/>
    </xf>
    <xf numFmtId="164" fontId="6" fillId="0" borderId="0" xfId="2" applyNumberFormat="1" applyFont="1" applyFill="1" applyBorder="1" applyAlignment="1" applyProtection="1">
      <alignment horizontal="right" vertical="center"/>
      <protection locked="0"/>
    </xf>
    <xf numFmtId="164" fontId="6" fillId="6" borderId="0" xfId="2" applyNumberFormat="1" applyFont="1" applyFill="1" applyBorder="1" applyAlignment="1" applyProtection="1">
      <alignment horizontal="right" vertical="center"/>
      <protection locked="0"/>
    </xf>
    <xf numFmtId="167" fontId="2" fillId="0" borderId="0" xfId="2" applyNumberFormat="1" applyFont="1" applyAlignment="1">
      <alignment vertical="center"/>
    </xf>
    <xf numFmtId="0" fontId="7" fillId="0" borderId="0" xfId="0" applyFont="1" applyAlignment="1">
      <alignment horizontal="center" vertical="center"/>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Alignment="1">
      <alignment vertical="center"/>
    </xf>
    <xf numFmtId="41" fontId="6" fillId="6" borderId="2" xfId="0" applyNumberFormat="1" applyFont="1" applyFill="1" applyBorder="1" applyAlignment="1" applyProtection="1">
      <alignment vertical="center"/>
      <protection locked="0"/>
    </xf>
    <xf numFmtId="41" fontId="6" fillId="0" borderId="2" xfId="0" applyNumberFormat="1" applyFont="1" applyBorder="1" applyAlignment="1" applyProtection="1">
      <alignment vertical="center"/>
      <protection locked="0"/>
    </xf>
    <xf numFmtId="167" fontId="2" fillId="6" borderId="2" xfId="3" applyNumberFormat="1" applyFont="1" applyFill="1" applyBorder="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32" fillId="0" borderId="0" xfId="0" applyFont="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164" fontId="6" fillId="6" borderId="0" xfId="2" applyNumberFormat="1" applyFont="1" applyFill="1" applyBorder="1" applyAlignment="1">
      <alignment vertical="center"/>
    </xf>
    <xf numFmtId="164" fontId="48" fillId="0" borderId="0" xfId="2" applyNumberFormat="1" applyFont="1" applyBorder="1" applyAlignment="1">
      <alignment vertical="center"/>
    </xf>
    <xf numFmtId="164" fontId="48" fillId="6" borderId="0" xfId="2" applyNumberFormat="1" applyFont="1" applyFill="1" applyBorder="1" applyAlignment="1">
      <alignment vertical="center"/>
    </xf>
    <xf numFmtId="164" fontId="48" fillId="0" borderId="0" xfId="2" applyNumberFormat="1" applyFont="1" applyFill="1" applyBorder="1" applyAlignment="1">
      <alignment vertical="center"/>
    </xf>
    <xf numFmtId="167" fontId="50" fillId="0" borderId="0" xfId="3" applyNumberFormat="1" applyFont="1" applyBorder="1" applyAlignment="1">
      <alignment vertical="center"/>
    </xf>
    <xf numFmtId="167" fontId="60" fillId="0" borderId="0" xfId="3" applyNumberFormat="1" applyFont="1" applyFill="1" applyBorder="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20" fillId="0" borderId="0" xfId="0" applyFont="1" applyAlignment="1">
      <alignment vertical="center"/>
    </xf>
    <xf numFmtId="0" fontId="24" fillId="0" borderId="0" xfId="0" applyFont="1" applyAlignment="1">
      <alignment vertical="center"/>
    </xf>
    <xf numFmtId="0" fontId="7" fillId="0" borderId="0" xfId="0" applyFont="1" applyAlignment="1">
      <alignment horizontal="center" vertical="center"/>
    </xf>
    <xf numFmtId="0" fontId="6" fillId="0" borderId="0" xfId="0" applyFont="1" applyAlignment="1">
      <alignment vertical="center"/>
    </xf>
    <xf numFmtId="0" fontId="2" fillId="0" borderId="0" xfId="1" applyFont="1" applyFill="1" applyAlignment="1">
      <alignment horizontal="left" vertical="center" indent="1"/>
    </xf>
    <xf numFmtId="0" fontId="2" fillId="0" borderId="0" xfId="0" applyFont="1" applyFill="1" applyAlignment="1">
      <alignment horizontal="left" vertical="center" indent="1"/>
    </xf>
    <xf numFmtId="167" fontId="44" fillId="0" borderId="0" xfId="0" applyNumberFormat="1" applyFont="1" applyFill="1" applyAlignment="1">
      <alignment vertical="center"/>
    </xf>
    <xf numFmtId="0" fontId="20" fillId="0" borderId="0" xfId="0" applyFont="1" applyFill="1" applyAlignment="1">
      <alignment horizontal="center" vertical="center" wrapText="1"/>
    </xf>
    <xf numFmtId="164" fontId="2" fillId="0" borderId="0" xfId="2" applyNumberFormat="1"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xf>
    <xf numFmtId="167" fontId="2" fillId="0" borderId="0" xfId="3" applyNumberFormat="1" applyFont="1" applyFill="1" applyAlignment="1">
      <alignment vertical="center"/>
    </xf>
    <xf numFmtId="164" fontId="2" fillId="0" borderId="0" xfId="2" applyNumberFormat="1" applyFont="1" applyFill="1" applyBorder="1" applyAlignment="1">
      <alignment vertical="center"/>
    </xf>
    <xf numFmtId="164" fontId="18" fillId="0" borderId="0" xfId="2" applyNumberFormat="1" applyFont="1" applyFill="1" applyAlignment="1">
      <alignment vertical="center"/>
    </xf>
    <xf numFmtId="164" fontId="3" fillId="0" borderId="0" xfId="2" applyNumberFormat="1" applyFont="1" applyFill="1" applyAlignment="1">
      <alignment vertical="center"/>
    </xf>
    <xf numFmtId="10" fontId="18" fillId="0" borderId="0" xfId="4" applyNumberFormat="1" applyFont="1" applyFill="1" applyAlignment="1">
      <alignment vertical="center"/>
    </xf>
    <xf numFmtId="10" fontId="2" fillId="0" borderId="0" xfId="4" applyNumberFormat="1" applyFont="1" applyFill="1" applyAlignment="1">
      <alignment vertical="center"/>
    </xf>
    <xf numFmtId="164" fontId="6" fillId="0" borderId="0" xfId="2" applyNumberFormat="1" applyFont="1" applyFill="1" applyAlignment="1">
      <alignment vertical="center"/>
    </xf>
    <xf numFmtId="43" fontId="2" fillId="0" borderId="0" xfId="2" applyFont="1" applyFill="1" applyAlignment="1">
      <alignment vertical="center"/>
    </xf>
    <xf numFmtId="167" fontId="18" fillId="0" borderId="0" xfId="3" applyNumberFormat="1" applyFont="1" applyFill="1" applyAlignment="1">
      <alignment vertical="center"/>
    </xf>
    <xf numFmtId="164" fontId="2" fillId="0" borderId="0" xfId="2" applyNumberFormat="1" applyFont="1" applyFill="1" applyAlignment="1">
      <alignment vertical="center" wrapText="1"/>
    </xf>
    <xf numFmtId="167" fontId="3" fillId="0" borderId="0" xfId="3" applyNumberFormat="1" applyFont="1" applyFill="1" applyBorder="1" applyAlignment="1">
      <alignment horizontal="left" vertical="center"/>
    </xf>
    <xf numFmtId="0" fontId="6" fillId="0" borderId="0" xfId="0" applyFont="1" applyFill="1" applyAlignment="1">
      <alignment vertical="center" wrapText="1"/>
    </xf>
    <xf numFmtId="166" fontId="2" fillId="0" borderId="0" xfId="4" applyNumberFormat="1" applyFont="1" applyFill="1" applyAlignment="1">
      <alignment vertical="center"/>
    </xf>
    <xf numFmtId="0" fontId="2" fillId="0" borderId="0" xfId="0" applyFont="1" applyFill="1" applyAlignment="1">
      <alignment vertical="top" wrapText="1"/>
    </xf>
    <xf numFmtId="0" fontId="20"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51" fillId="0" borderId="0" xfId="0" applyFont="1" applyAlignment="1">
      <alignment vertical="center"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vertical="center"/>
    </xf>
    <xf numFmtId="0" fontId="7" fillId="6" borderId="6" xfId="0" applyFont="1" applyFill="1" applyBorder="1" applyAlignment="1">
      <alignment horizontal="center" vertical="center"/>
    </xf>
    <xf numFmtId="0" fontId="6" fillId="6" borderId="0" xfId="0" applyFont="1" applyFill="1" applyAlignment="1">
      <alignment horizontal="center" vertical="center"/>
    </xf>
    <xf numFmtId="0" fontId="6" fillId="6" borderId="2" xfId="0" applyFont="1" applyFill="1" applyBorder="1" applyAlignment="1">
      <alignment horizontal="center" vertical="center"/>
    </xf>
    <xf numFmtId="164" fontId="7" fillId="6" borderId="0" xfId="2" applyNumberFormat="1" applyFont="1" applyFill="1" applyAlignment="1">
      <alignment horizontal="left" vertical="center" indent="25"/>
    </xf>
    <xf numFmtId="0" fontId="6" fillId="0" borderId="0" xfId="0" applyFont="1" applyAlignment="1">
      <alignment vertical="center"/>
    </xf>
    <xf numFmtId="0" fontId="7" fillId="6" borderId="0" xfId="0" applyFont="1" applyFill="1" applyBorder="1" applyAlignment="1">
      <alignment horizontal="center" vertical="center"/>
    </xf>
    <xf numFmtId="0" fontId="7" fillId="6" borderId="0" xfId="0" applyFont="1" applyFill="1" applyAlignment="1">
      <alignment horizontal="center" vertical="center"/>
    </xf>
    <xf numFmtId="0" fontId="9" fillId="6" borderId="0" xfId="0" applyFont="1" applyFill="1" applyAlignment="1">
      <alignment horizontal="center" vertical="center"/>
    </xf>
    <xf numFmtId="0" fontId="52" fillId="7" borderId="0" xfId="0" applyFont="1" applyFill="1" applyAlignment="1" applyProtection="1">
      <alignment horizontal="center" vertical="center"/>
      <protection locked="0"/>
    </xf>
    <xf numFmtId="0" fontId="32" fillId="0" borderId="0" xfId="0" applyFont="1" applyAlignment="1">
      <alignment horizontal="center" vertical="center"/>
    </xf>
    <xf numFmtId="0" fontId="54" fillId="0" borderId="0" xfId="0" applyFont="1" applyAlignment="1">
      <alignment horizontal="center" vertical="center"/>
    </xf>
    <xf numFmtId="0" fontId="3" fillId="0" borderId="0" xfId="0" applyFont="1" applyAlignment="1">
      <alignment horizontal="center" vertical="center"/>
    </xf>
    <xf numFmtId="0" fontId="43" fillId="7" borderId="0" xfId="0" applyFont="1" applyFill="1" applyAlignment="1">
      <alignment horizontal="center" vertical="center"/>
    </xf>
    <xf numFmtId="0" fontId="13" fillId="0" borderId="0" xfId="0" applyFont="1" applyAlignment="1">
      <alignment horizontal="center" vertical="center"/>
    </xf>
    <xf numFmtId="0" fontId="32" fillId="0" borderId="0" xfId="0" applyFont="1" applyFill="1" applyAlignment="1">
      <alignment horizontal="center" vertical="center"/>
    </xf>
    <xf numFmtId="0" fontId="39" fillId="0" borderId="0" xfId="0" applyFont="1" applyFill="1" applyAlignment="1">
      <alignment horizontal="center" vertical="center"/>
    </xf>
    <xf numFmtId="0" fontId="39"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left" vertical="center" wrapText="1"/>
    </xf>
    <xf numFmtId="0" fontId="23" fillId="0" borderId="0" xfId="0" applyFont="1" applyFill="1" applyAlignment="1">
      <alignment horizontal="center" vertical="center"/>
    </xf>
    <xf numFmtId="0" fontId="7" fillId="0" borderId="0" xfId="0" applyFont="1" applyAlignment="1">
      <alignment horizontal="center" vertical="center" textRotation="180"/>
    </xf>
    <xf numFmtId="0" fontId="2" fillId="0" borderId="0" xfId="0" applyFont="1" applyAlignment="1">
      <alignment vertical="center" shrinkToFit="1"/>
    </xf>
    <xf numFmtId="0" fontId="7" fillId="0" borderId="0" xfId="0" applyFont="1" applyAlignment="1">
      <alignment horizontal="left" vertical="center" indent="2"/>
    </xf>
    <xf numFmtId="0" fontId="2" fillId="0" borderId="0" xfId="0" applyFont="1" applyAlignment="1">
      <alignment horizontal="left" vertical="center"/>
    </xf>
    <xf numFmtId="0" fontId="7" fillId="0" borderId="0" xfId="0" applyFont="1" applyAlignment="1">
      <alignment horizontal="left" vertical="center" indent="11"/>
    </xf>
    <xf numFmtId="0" fontId="7" fillId="0" borderId="2" xfId="0" applyFont="1" applyBorder="1" applyAlignment="1">
      <alignment horizontal="center" vertical="center"/>
    </xf>
    <xf numFmtId="0" fontId="7" fillId="0" borderId="0" xfId="0" applyFont="1" applyAlignment="1">
      <alignment horizontal="left" vertical="center" indent="27"/>
    </xf>
  </cellXfs>
  <cellStyles count="6">
    <cellStyle name="Activity Heading" xfId="1" xr:uid="{00000000-0005-0000-0000-000000000000}"/>
    <cellStyle name="Comma" xfId="2" builtinId="3"/>
    <cellStyle name="Currency" xfId="3" builtinId="4"/>
    <cellStyle name="Normal" xfId="0" builtinId="0"/>
    <cellStyle name="Percent" xfId="4" builtinId="5"/>
    <cellStyle name="Shading for Budget" xfId="5" xr:uid="{00000000-0005-0000-0000-000005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44808440040886"/>
          <c:y val="0.11658398950131239"/>
          <c:w val="0.77735878905547762"/>
          <c:h val="0.76270085272722365"/>
        </c:manualLayout>
      </c:layout>
      <c:lineChart>
        <c:grouping val="standard"/>
        <c:varyColors val="0"/>
        <c:ser>
          <c:idx val="0"/>
          <c:order val="0"/>
          <c:val>
            <c:numRef>
              <c:f>('Gen Fd Cover Sheets'!$C$16:$D$16,'Gen Fd Cover Sheets'!$F$16:$G$16,'Gen Fd Cover Sheets'!$J$16,'Gen Fd Cover Sheets'!$L$16:$O$16)</c:f>
              <c:numCache>
                <c:formatCode>_("$"* #,##0_);_("$"* \(#,##0\);_("$"* "-"??_);_(@_)</c:formatCode>
                <c:ptCount val="9"/>
                <c:pt idx="0">
                  <c:v>931316</c:v>
                </c:pt>
                <c:pt idx="1">
                  <c:v>966619</c:v>
                </c:pt>
                <c:pt idx="2">
                  <c:v>996443</c:v>
                </c:pt>
                <c:pt idx="3">
                  <c:v>831711</c:v>
                </c:pt>
                <c:pt idx="4">
                  <c:v>892366</c:v>
                </c:pt>
                <c:pt idx="5">
                  <c:v>944553</c:v>
                </c:pt>
                <c:pt idx="6">
                  <c:v>977085</c:v>
                </c:pt>
                <c:pt idx="7">
                  <c:v>1010612</c:v>
                </c:pt>
                <c:pt idx="8">
                  <c:v>1034501</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3817135871714667"/>
                <c:y val="0.12134659868286991"/>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19654554432829005"/>
          <c:y val="0.17946974847050684"/>
          <c:w val="0.80345445567171014"/>
          <c:h val="0.53840924541128476"/>
        </c:manualLayout>
      </c:layout>
      <c:lineChart>
        <c:grouping val="standard"/>
        <c:varyColors val="0"/>
        <c:ser>
          <c:idx val="0"/>
          <c:order val="0"/>
          <c:val>
            <c:numRef>
              <c:f>('Fund Cover Sheets'!$C$143:$D$143,'Fund Cover Sheets'!$E$143:$F$143,'Fund Cover Sheets'!$G$143,'Fund Cover Sheets'!$H$143:$K$143)</c:f>
              <c:numCache>
                <c:formatCode>_("$"* #,##0_);_("$"* \(#,##0\);_("$"* "-"??_);_(@_)</c:formatCode>
                <c:ptCount val="9"/>
                <c:pt idx="0">
                  <c:v>695707</c:v>
                </c:pt>
                <c:pt idx="1">
                  <c:v>1243821</c:v>
                </c:pt>
                <c:pt idx="2">
                  <c:v>-267652</c:v>
                </c:pt>
                <c:pt idx="3">
                  <c:v>270323</c:v>
                </c:pt>
                <c:pt idx="4">
                  <c:v>169838</c:v>
                </c:pt>
                <c:pt idx="5">
                  <c:v>66205</c:v>
                </c:pt>
                <c:pt idx="6">
                  <c:v>31670</c:v>
                </c:pt>
                <c:pt idx="7">
                  <c:v>17595</c:v>
                </c:pt>
                <c:pt idx="8">
                  <c:v>24849</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19452118077957073"/>
          <c:y val="0.19204813943043303"/>
          <c:w val="0.80425657142641538"/>
          <c:h val="0.53840924541128476"/>
        </c:manualLayout>
      </c:layout>
      <c:lineChart>
        <c:grouping val="standard"/>
        <c:varyColors val="0"/>
        <c:ser>
          <c:idx val="0"/>
          <c:order val="0"/>
          <c:val>
            <c:numRef>
              <c:f>('Fund Cover Sheets'!$C$457:$D$457,'Fund Cover Sheets'!$E$457:$F$457,'Fund Cover Sheets'!$G$457,'Fund Cover Sheets'!$H$457:$K$457)</c:f>
              <c:numCache>
                <c:formatCode>_("$"* #,##0_);_("$"* \(#,##0\);_("$"* "-"??_);_(@_)</c:formatCode>
                <c:ptCount val="9"/>
                <c:pt idx="0">
                  <c:v>1222388</c:v>
                </c:pt>
                <c:pt idx="1">
                  <c:v>864688</c:v>
                </c:pt>
                <c:pt idx="2">
                  <c:v>692051</c:v>
                </c:pt>
                <c:pt idx="3">
                  <c:v>953507</c:v>
                </c:pt>
                <c:pt idx="4">
                  <c:v>1562682</c:v>
                </c:pt>
                <c:pt idx="5">
                  <c:v>1504717</c:v>
                </c:pt>
                <c:pt idx="6">
                  <c:v>791520</c:v>
                </c:pt>
                <c:pt idx="7">
                  <c:v>574190</c:v>
                </c:pt>
                <c:pt idx="8">
                  <c:v>931937</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18882774352630347"/>
          <c:y val="0.26726534414251824"/>
          <c:w val="0.80479272589327533"/>
          <c:h val="0.53840924541128476"/>
        </c:manualLayout>
      </c:layout>
      <c:lineChart>
        <c:grouping val="standard"/>
        <c:varyColors val="0"/>
        <c:ser>
          <c:idx val="0"/>
          <c:order val="0"/>
          <c:val>
            <c:numRef>
              <c:f>('Fund Cover Sheets'!$C$499:$D$499,'Fund Cover Sheets'!$E$499:$F$499,'Fund Cover Sheets'!$G$499,'Fund Cover Sheets'!$H$499:$K$499)</c:f>
              <c:numCache>
                <c:formatCode>_("$"* #,##0_);_("$"* \(#,##0\);_("$"* "-"??_);_(@_)</c:formatCode>
                <c:ptCount val="9"/>
                <c:pt idx="0">
                  <c:v>247841</c:v>
                </c:pt>
                <c:pt idx="1">
                  <c:v>31131</c:v>
                </c:pt>
                <c:pt idx="2">
                  <c:v>59959</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2005957535359231"/>
          <c:y val="0.17946974847050848"/>
          <c:w val="0.79940424646407693"/>
          <c:h val="0.53840924541128476"/>
        </c:manualLayout>
      </c:layout>
      <c:lineChart>
        <c:grouping val="standard"/>
        <c:varyColors val="0"/>
        <c:ser>
          <c:idx val="0"/>
          <c:order val="0"/>
          <c:val>
            <c:numRef>
              <c:f>('Fund Cover Sheets'!$C$545:$D$545,'Fund Cover Sheets'!$E$545:$F$545,'Fund Cover Sheets'!$G$545,'Fund Cover Sheets'!$H$545:$K$545)</c:f>
              <c:numCache>
                <c:formatCode>_("$"* #,##0_);_("$"* \(#,##0\);_("$"* "-"??_);_(@_)</c:formatCode>
                <c:ptCount val="9"/>
                <c:pt idx="0">
                  <c:v>411485</c:v>
                </c:pt>
                <c:pt idx="1">
                  <c:v>73000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20117978423765745"/>
          <c:y val="0.22773738255884382"/>
          <c:w val="0.79669447839719398"/>
          <c:h val="0.53840924541128476"/>
        </c:manualLayout>
      </c:layout>
      <c:lineChart>
        <c:grouping val="standard"/>
        <c:varyColors val="0"/>
        <c:ser>
          <c:idx val="0"/>
          <c:order val="0"/>
          <c:val>
            <c:numRef>
              <c:f>('Fund Cover Sheets'!$C$591:$D$591,'Fund Cover Sheets'!$E$591:$F$591,'Fund Cover Sheets'!$G$591,'Fund Cover Sheets'!$H$591:$K$591)</c:f>
              <c:numCache>
                <c:formatCode>_("$"* #,##0_);_("$"* \(#,##0\);_("$"* "-"??_);_(@_)</c:formatCode>
                <c:ptCount val="9"/>
                <c:pt idx="0">
                  <c:v>578607</c:v>
                </c:pt>
                <c:pt idx="1">
                  <c:v>638033</c:v>
                </c:pt>
                <c:pt idx="2">
                  <c:v>578676</c:v>
                </c:pt>
                <c:pt idx="3">
                  <c:v>675831</c:v>
                </c:pt>
                <c:pt idx="4">
                  <c:v>663784</c:v>
                </c:pt>
                <c:pt idx="5">
                  <c:v>652283</c:v>
                </c:pt>
                <c:pt idx="6">
                  <c:v>632805</c:v>
                </c:pt>
                <c:pt idx="7">
                  <c:v>609744</c:v>
                </c:pt>
                <c:pt idx="8">
                  <c:v>581446</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19713792704072297"/>
          <c:y val="0.17946952610823144"/>
          <c:w val="0.80286207295927703"/>
          <c:h val="0.53840924541128476"/>
        </c:manualLayout>
      </c:layout>
      <c:lineChart>
        <c:grouping val="standard"/>
        <c:varyColors val="0"/>
        <c:ser>
          <c:idx val="0"/>
          <c:order val="0"/>
          <c:val>
            <c:numRef>
              <c:f>('Fund Cover Sheets'!$C$632:$D$632,'Fund Cover Sheets'!$E$632:$F$632,'Fund Cover Sheets'!$G$632,'Fund Cover Sheets'!$H$632:$K$632)</c:f>
              <c:numCache>
                <c:formatCode>_("$"* #,##0_);_("$"* \(#,##0\);_("$"* "-"??_);_(@_)</c:formatCode>
                <c:ptCount val="9"/>
                <c:pt idx="0">
                  <c:v>123583</c:v>
                </c:pt>
                <c:pt idx="1">
                  <c:v>169188</c:v>
                </c:pt>
                <c:pt idx="2">
                  <c:v>107933</c:v>
                </c:pt>
                <c:pt idx="3">
                  <c:v>180862</c:v>
                </c:pt>
                <c:pt idx="4">
                  <c:v>145712</c:v>
                </c:pt>
                <c:pt idx="5">
                  <c:v>110712</c:v>
                </c:pt>
                <c:pt idx="6">
                  <c:v>75962</c:v>
                </c:pt>
                <c:pt idx="7">
                  <c:v>41462</c:v>
                </c:pt>
                <c:pt idx="8">
                  <c:v>31552</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19695723256294093"/>
          <c:y val="0.17276935860404391"/>
          <c:w val="0.80304276743705905"/>
          <c:h val="0.53840924541128476"/>
        </c:manualLayout>
      </c:layout>
      <c:lineChart>
        <c:grouping val="standard"/>
        <c:varyColors val="0"/>
        <c:ser>
          <c:idx val="0"/>
          <c:order val="0"/>
          <c:val>
            <c:numRef>
              <c:f>('Fund Cover Sheets'!$C$669:$D$669,'Fund Cover Sheets'!$E$669:$F$669,'Fund Cover Sheets'!$G$669,'Fund Cover Sheets'!$H$669:$K$669)</c:f>
              <c:numCache>
                <c:formatCode>_("$"* #,##0_);_("$"* \(#,##0\);_("$"* "-"??_);_(@_)</c:formatCode>
                <c:ptCount val="9"/>
                <c:pt idx="0">
                  <c:v>-1141784</c:v>
                </c:pt>
                <c:pt idx="1">
                  <c:v>-1211222</c:v>
                </c:pt>
                <c:pt idx="2">
                  <c:v>-1175479</c:v>
                </c:pt>
                <c:pt idx="3">
                  <c:v>-1182714</c:v>
                </c:pt>
                <c:pt idx="4">
                  <c:v>-1177872</c:v>
                </c:pt>
                <c:pt idx="5">
                  <c:v>-1168336</c:v>
                </c:pt>
                <c:pt idx="6">
                  <c:v>-1152440</c:v>
                </c:pt>
                <c:pt idx="7">
                  <c:v>-1287127</c:v>
                </c:pt>
                <c:pt idx="8">
                  <c:v>-1410929</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20040230180922808"/>
          <c:y val="0.16606919109985624"/>
          <c:w val="0.79959769819077209"/>
          <c:h val="0.53840924541128476"/>
        </c:manualLayout>
      </c:layout>
      <c:lineChart>
        <c:grouping val="standard"/>
        <c:varyColors val="0"/>
        <c:ser>
          <c:idx val="0"/>
          <c:order val="0"/>
          <c:val>
            <c:numRef>
              <c:f>('Fund Cover Sheets'!$C$705:$D$705,'Fund Cover Sheets'!$E$705:$F$705,'Fund Cover Sheets'!$G$705,'Fund Cover Sheets'!$H$705:$K$705)</c:f>
              <c:numCache>
                <c:formatCode>_("$"* #,##0_);_("$"* \(#,##0\);_("$"* "-"??_);_(@_)</c:formatCode>
                <c:ptCount val="9"/>
                <c:pt idx="0">
                  <c:v>-1237549</c:v>
                </c:pt>
                <c:pt idx="1">
                  <c:v>-1448929</c:v>
                </c:pt>
                <c:pt idx="2">
                  <c:v>-1682954</c:v>
                </c:pt>
                <c:pt idx="3">
                  <c:v>-1638038</c:v>
                </c:pt>
                <c:pt idx="4">
                  <c:v>-1629650</c:v>
                </c:pt>
                <c:pt idx="5">
                  <c:v>-1618595</c:v>
                </c:pt>
                <c:pt idx="6">
                  <c:v>-1608057</c:v>
                </c:pt>
                <c:pt idx="7">
                  <c:v>-1598103</c:v>
                </c:pt>
                <c:pt idx="8">
                  <c:v>-1588806</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20888950551916602"/>
          <c:y val="0.17946974847050723"/>
          <c:w val="0.79111049448083404"/>
          <c:h val="0.53840924541128476"/>
        </c:manualLayout>
      </c:layout>
      <c:lineChart>
        <c:grouping val="standard"/>
        <c:varyColors val="0"/>
        <c:ser>
          <c:idx val="0"/>
          <c:order val="0"/>
          <c:val>
            <c:numRef>
              <c:f>('Fund Cover Sheets'!$C$358:$D$358,'Fund Cover Sheets'!$E$358:$F$358,'Fund Cover Sheets'!$G$358,'Fund Cover Sheets'!$H$358:$K$358)</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At val="0"/>
        <c:auto val="0"/>
        <c:lblAlgn val="ctr"/>
        <c:lblOffset val="100"/>
        <c:tickMarkSkip val="1"/>
        <c:noMultiLvlLbl val="0"/>
      </c:catAx>
      <c:valAx>
        <c:axId val="103282560"/>
        <c:scaling>
          <c:orientation val="minMax"/>
          <c:max val="100"/>
        </c:scaling>
        <c:delete val="0"/>
        <c:axPos val="l"/>
        <c:numFmt formatCode="&quot;$&quot;#,##0" sourceLinked="0"/>
        <c:majorTickMark val="out"/>
        <c:minorTickMark val="none"/>
        <c:tickLblPos val="nextTo"/>
        <c:spPr>
          <a:ln/>
        </c:spPr>
        <c:txPr>
          <a:bodyPr rot="0" vert="horz"/>
          <a:lstStyle/>
          <a:p>
            <a:pPr>
              <a:defRPr/>
            </a:pPr>
            <a:endParaRPr lang="en-US"/>
          </a:p>
        </c:txPr>
        <c:crossAx val="103281024"/>
        <c:crosses val="autoZero"/>
        <c:crossBetween val="between"/>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565016222824943"/>
          <c:y val="0.17947000279788144"/>
          <c:w val="0.81434983777175052"/>
          <c:h val="0.53840924541128476"/>
        </c:manualLayout>
      </c:layout>
      <c:lineChart>
        <c:grouping val="standard"/>
        <c:varyColors val="0"/>
        <c:ser>
          <c:idx val="0"/>
          <c:order val="0"/>
          <c:val>
            <c:numRef>
              <c:f>('Fund Cover Sheets'!$C$191:$D$191,'Fund Cover Sheets'!$E$191:$F$191,'Fund Cover Sheets'!$G$191,'Fund Cover Sheets'!$H$191:$K$191)</c:f>
              <c:numCache>
                <c:formatCode>_("$"* #,##0_);_("$"* \(#,##0\);_("$"* "-"??_);_(@_)</c:formatCode>
                <c:ptCount val="9"/>
                <c:pt idx="0">
                  <c:v>588155</c:v>
                </c:pt>
                <c:pt idx="1">
                  <c:v>119569</c:v>
                </c:pt>
                <c:pt idx="2">
                  <c:v>467802</c:v>
                </c:pt>
                <c:pt idx="3">
                  <c:v>1851069</c:v>
                </c:pt>
                <c:pt idx="4">
                  <c:v>254218</c:v>
                </c:pt>
                <c:pt idx="5">
                  <c:v>32580</c:v>
                </c:pt>
                <c:pt idx="6">
                  <c:v>32580</c:v>
                </c:pt>
                <c:pt idx="7">
                  <c:v>32580</c:v>
                </c:pt>
                <c:pt idx="8">
                  <c:v>32580</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71512332888213"/>
          <c:y val="0.11154855643044605"/>
          <c:w val="0.7802848766711179"/>
          <c:h val="0.79527559055120001"/>
        </c:manualLayout>
      </c:layout>
      <c:lineChart>
        <c:grouping val="standard"/>
        <c:varyColors val="0"/>
        <c:ser>
          <c:idx val="0"/>
          <c:order val="0"/>
          <c:val>
            <c:numRef>
              <c:f>('Gen Fd Cover Sheets'!$C$47:$D$47,'Gen Fd Cover Sheets'!$F$47:$G$47,'Gen Fd Cover Sheets'!$J$47,'Gen Fd Cover Sheets'!$L$47:$O$47)</c:f>
              <c:numCache>
                <c:formatCode>_("$"* #,##0_);_("$"* \(#,##0\);_("$"* "-"??_);_(@_)</c:formatCode>
                <c:ptCount val="9"/>
                <c:pt idx="0">
                  <c:v>499968</c:v>
                </c:pt>
                <c:pt idx="1">
                  <c:v>513066</c:v>
                </c:pt>
                <c:pt idx="2">
                  <c:v>557390</c:v>
                </c:pt>
                <c:pt idx="3">
                  <c:v>549577</c:v>
                </c:pt>
                <c:pt idx="4">
                  <c:v>599027</c:v>
                </c:pt>
                <c:pt idx="5">
                  <c:v>607234</c:v>
                </c:pt>
                <c:pt idx="6">
                  <c:v>627344</c:v>
                </c:pt>
                <c:pt idx="7">
                  <c:v>648392</c:v>
                </c:pt>
                <c:pt idx="8">
                  <c:v>670509</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412734519296199"/>
                <c:y val="0.20996082386253442"/>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20441817914222066"/>
          <c:y val="0.17946974847050684"/>
          <c:w val="0.79471598017112777"/>
          <c:h val="0.53840924541128476"/>
        </c:manualLayout>
      </c:layout>
      <c:lineChart>
        <c:grouping val="standard"/>
        <c:varyColors val="0"/>
        <c:ser>
          <c:idx val="0"/>
          <c:order val="0"/>
          <c:val>
            <c:numRef>
              <c:f>('Fund Cover Sheets'!$C$321:$D$321,'Fund Cover Sheets'!$E$321:$F$321,'Fund Cover Sheets'!$G$321,'Fund Cover Sheets'!$H$321:$K$321)</c:f>
              <c:numCache>
                <c:formatCode>_("$"* #,##0_);_("$"* \(#,##0\);_("$"* "-"??_);_(@_)</c:formatCode>
                <c:ptCount val="9"/>
                <c:pt idx="0">
                  <c:v>511692</c:v>
                </c:pt>
                <c:pt idx="1">
                  <c:v>1485791</c:v>
                </c:pt>
                <c:pt idx="2">
                  <c:v>273410</c:v>
                </c:pt>
                <c:pt idx="3">
                  <c:v>1488996</c:v>
                </c:pt>
                <c:pt idx="4">
                  <c:v>359643</c:v>
                </c:pt>
                <c:pt idx="5">
                  <c:v>320000</c:v>
                </c:pt>
                <c:pt idx="6">
                  <c:v>320000</c:v>
                </c:pt>
                <c:pt idx="7">
                  <c:v>320000</c:v>
                </c:pt>
                <c:pt idx="8">
                  <c:v>320000</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20191907177950749"/>
          <c:y val="0.17946974847050728"/>
          <c:w val="0.79808084457894002"/>
          <c:h val="0.53840924541128476"/>
        </c:manualLayout>
      </c:layout>
      <c:lineChart>
        <c:grouping val="standard"/>
        <c:varyColors val="0"/>
        <c:ser>
          <c:idx val="0"/>
          <c:order val="0"/>
          <c:val>
            <c:numRef>
              <c:f>('Fund Cover Sheets'!$C$407:$D$407,'Fund Cover Sheets'!$E$407:$F$407,'Fund Cover Sheets'!$G$407,'Fund Cover Sheets'!$H$407:$K$407)</c:f>
              <c:numCache>
                <c:formatCode>_("$"* #,##0_);_("$"* \(#,##0\);_("$"* "-"??_);_(@_)</c:formatCode>
                <c:ptCount val="9"/>
                <c:pt idx="0">
                  <c:v>3268245</c:v>
                </c:pt>
                <c:pt idx="1">
                  <c:v>3901358</c:v>
                </c:pt>
                <c:pt idx="2">
                  <c:v>2600578</c:v>
                </c:pt>
                <c:pt idx="3">
                  <c:v>3794969</c:v>
                </c:pt>
                <c:pt idx="4">
                  <c:v>1880869</c:v>
                </c:pt>
                <c:pt idx="5">
                  <c:v>903975</c:v>
                </c:pt>
                <c:pt idx="6">
                  <c:v>-347456</c:v>
                </c:pt>
                <c:pt idx="7">
                  <c:v>727366</c:v>
                </c:pt>
                <c:pt idx="8">
                  <c:v>2787099</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9278858709982766"/>
          <c:y val="0.22514661347785564"/>
          <c:w val="0.80462446985693625"/>
          <c:h val="0.53840924541128476"/>
        </c:manualLayout>
      </c:layout>
      <c:lineChart>
        <c:grouping val="standard"/>
        <c:varyColors val="0"/>
        <c:ser>
          <c:idx val="0"/>
          <c:order val="0"/>
          <c:val>
            <c:numRef>
              <c:f>('Fund Cover Sheets'!$C$799:$D$799,'Fund Cover Sheets'!$E$799:$F$799,'Fund Cover Sheets'!$G$799,'Fund Cover Sheets'!$H$799:$K$799)</c:f>
              <c:numCache>
                <c:formatCode>_("$"* #,##0_);_("$"* \(#,##0\);_("$"* "-"??_);_(@_)</c:formatCode>
                <c:ptCount val="9"/>
                <c:pt idx="0">
                  <c:v>12001733</c:v>
                </c:pt>
                <c:pt idx="1">
                  <c:v>14185514</c:v>
                </c:pt>
                <c:pt idx="2">
                  <c:v>8346470</c:v>
                </c:pt>
                <c:pt idx="3">
                  <c:v>25583086.269999996</c:v>
                </c:pt>
                <c:pt idx="4">
                  <c:v>11635324.269999996</c:v>
                </c:pt>
                <c:pt idx="5">
                  <c:v>20529326.269999996</c:v>
                </c:pt>
                <c:pt idx="6">
                  <c:v>6595584.2699999958</c:v>
                </c:pt>
                <c:pt idx="7">
                  <c:v>5915118.2699999958</c:v>
                </c:pt>
                <c:pt idx="8">
                  <c:v>7695050.2699999958</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9.1218658992237606E-2"/>
                <c:y val="0.15982965364623539"/>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19536455349681706"/>
          <c:y val="0.2062701961249819"/>
          <c:w val="0.80463544650318297"/>
          <c:h val="0.53840924541128476"/>
        </c:manualLayout>
      </c:layout>
      <c:lineChart>
        <c:grouping val="standard"/>
        <c:varyColors val="0"/>
        <c:ser>
          <c:idx val="0"/>
          <c:order val="0"/>
          <c:val>
            <c:numRef>
              <c:f>('Fund Cover Sheets'!$C$849:$D$849,'Fund Cover Sheets'!$E$849:$F$849,'Fund Cover Sheets'!$G$849,'Fund Cover Sheets'!$H$849:$K$849)</c:f>
              <c:numCache>
                <c:formatCode>_("$"* #,##0_);_("$"* \(#,##0\);_("$"* "-"??_);_(@_)</c:formatCode>
                <c:ptCount val="9"/>
                <c:pt idx="0">
                  <c:v>702190</c:v>
                </c:pt>
                <c:pt idx="1">
                  <c:v>807221</c:v>
                </c:pt>
                <c:pt idx="2">
                  <c:v>686609</c:v>
                </c:pt>
                <c:pt idx="3">
                  <c:v>856693</c:v>
                </c:pt>
                <c:pt idx="4">
                  <c:v>809496</c:v>
                </c:pt>
                <c:pt idx="5">
                  <c:v>762995</c:v>
                </c:pt>
                <c:pt idx="6">
                  <c:v>708767</c:v>
                </c:pt>
                <c:pt idx="7">
                  <c:v>651206</c:v>
                </c:pt>
                <c:pt idx="8">
                  <c:v>612998</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698570829972303"/>
          <c:y val="5.0741224191895813E-2"/>
        </c:manualLayout>
      </c:layout>
      <c:overlay val="0"/>
    </c:title>
    <c:autoTitleDeleted val="0"/>
    <c:plotArea>
      <c:layout>
        <c:manualLayout>
          <c:layoutTarget val="inner"/>
          <c:xMode val="edge"/>
          <c:yMode val="edge"/>
          <c:x val="0.19019358717116072"/>
          <c:y val="0.16606925309424453"/>
          <c:w val="0.79385660156827254"/>
          <c:h val="0.53840924541128476"/>
        </c:manualLayout>
      </c:layout>
      <c:lineChart>
        <c:grouping val="standard"/>
        <c:varyColors val="0"/>
        <c:ser>
          <c:idx val="0"/>
          <c:order val="0"/>
          <c:val>
            <c:numRef>
              <c:f>('Fund Cover Sheets'!$C$743:$D$743,'Fund Cover Sheets'!$E$743:$F$743,'Fund Cover Sheets'!$G$743,'Fund Cover Sheets'!$H$743:$K$743)</c:f>
              <c:numCache>
                <c:formatCode>_("$"* #,##0_);_("$"* \(#,##0\);_("$"* "-"??_);_(@_)</c:formatCode>
                <c:ptCount val="9"/>
                <c:pt idx="0">
                  <c:v>-73799</c:v>
                </c:pt>
                <c:pt idx="1">
                  <c:v>-47869</c:v>
                </c:pt>
                <c:pt idx="2">
                  <c:v>-31910</c:v>
                </c:pt>
                <c:pt idx="3">
                  <c:v>-6910</c:v>
                </c:pt>
                <c:pt idx="4">
                  <c:v>61943</c:v>
                </c:pt>
                <c:pt idx="5">
                  <c:v>150780</c:v>
                </c:pt>
                <c:pt idx="6">
                  <c:v>236163</c:v>
                </c:pt>
                <c:pt idx="7">
                  <c:v>325052</c:v>
                </c:pt>
                <c:pt idx="8">
                  <c:v>416092</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9877219021743689"/>
          <c:y val="0.17947000279788144"/>
          <c:w val="0.7969840591012386"/>
          <c:h val="0.53840924541128476"/>
        </c:manualLayout>
      </c:layout>
      <c:lineChart>
        <c:grouping val="standard"/>
        <c:varyColors val="0"/>
        <c:ser>
          <c:idx val="0"/>
          <c:order val="0"/>
          <c:val>
            <c:numRef>
              <c:f>('Fund Cover Sheets'!$C$241:$D$241,'Fund Cover Sheets'!$E$241:$F$241,'Fund Cover Sheets'!$G$241,'Fund Cover Sheets'!$H$241:$K$241)</c:f>
              <c:numCache>
                <c:formatCode>_("$"* #,##0_);_("$"* \(#,##0\);_("$"* "-"??_);_(@_)</c:formatCode>
                <c:ptCount val="9"/>
                <c:pt idx="0">
                  <c:v>0</c:v>
                </c:pt>
                <c:pt idx="1">
                  <c:v>0</c:v>
                </c:pt>
                <c:pt idx="2">
                  <c:v>0</c:v>
                </c:pt>
                <c:pt idx="3">
                  <c:v>10641399</c:v>
                </c:pt>
                <c:pt idx="4">
                  <c:v>777068</c:v>
                </c:pt>
                <c:pt idx="5">
                  <c:v>12041616</c:v>
                </c:pt>
                <c:pt idx="6">
                  <c:v>602671</c:v>
                </c:pt>
                <c:pt idx="7">
                  <c:v>0</c:v>
                </c:pt>
                <c:pt idx="8">
                  <c:v>0</c:v>
                </c:pt>
              </c:numCache>
            </c:numRef>
          </c:val>
          <c:smooth val="0"/>
          <c:extLst>
            <c:ext xmlns:c16="http://schemas.microsoft.com/office/drawing/2014/chart" uri="{C3380CC4-5D6E-409C-BE32-E72D297353CC}">
              <c16:uniqueId val="{00000000-3D70-4900-BF9C-9468F610D851}"/>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163592703716678"/>
          <c:y val="8.3758656673940224E-2"/>
          <c:w val="0.77801936266670735"/>
          <c:h val="0.8156606851549757"/>
        </c:manualLayout>
      </c:layout>
      <c:lineChart>
        <c:grouping val="stacked"/>
        <c:varyColors val="0"/>
        <c:ser>
          <c:idx val="0"/>
          <c:order val="0"/>
          <c:val>
            <c:numRef>
              <c:f>('Gen Fd Cover Sheets'!$C$75:$D$75,'Gen Fd Cover Sheets'!$F$75:$G$75,'Gen Fd Cover Sheets'!$J$75,'Gen Fd Cover Sheets'!$L$75:$O$75)</c:f>
              <c:numCache>
                <c:formatCode>_("$"* #,##0_);_("$"* \(#,##0\);_("$"* "-"??_);_(@_)</c:formatCode>
                <c:ptCount val="9"/>
                <c:pt idx="0">
                  <c:v>5813774</c:v>
                </c:pt>
                <c:pt idx="1">
                  <c:v>5686416</c:v>
                </c:pt>
                <c:pt idx="2">
                  <c:v>6158904</c:v>
                </c:pt>
                <c:pt idx="3">
                  <c:v>6109030</c:v>
                </c:pt>
                <c:pt idx="4">
                  <c:v>6435737</c:v>
                </c:pt>
                <c:pt idx="5">
                  <c:v>6940660</c:v>
                </c:pt>
                <c:pt idx="6">
                  <c:v>7292293</c:v>
                </c:pt>
                <c:pt idx="7">
                  <c:v>7663308</c:v>
                </c:pt>
                <c:pt idx="8">
                  <c:v>8083504</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0.14182803068378541"/>
                <c:y val="9.7930966176397766E-2"/>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51487948064464"/>
          <c:y val="0.1640419947506562"/>
          <c:w val="0.77248512051935547"/>
          <c:h val="0.79527559055120001"/>
        </c:manualLayout>
      </c:layout>
      <c:lineChart>
        <c:grouping val="standard"/>
        <c:varyColors val="0"/>
        <c:ser>
          <c:idx val="0"/>
          <c:order val="0"/>
          <c:val>
            <c:numRef>
              <c:f>('Gen Fd Cover Sheets'!$C$108:$D$108,'Gen Fd Cover Sheets'!$F$108:$G$108,'Gen Fd Cover Sheets'!$J$108,'Gen Fd Cover Sheets'!$L$108:$O$108)</c:f>
              <c:numCache>
                <c:formatCode>_("$"* #,##0_);_("$"* \(#,##0\);_("$"* "-"??_);_(@_)</c:formatCode>
                <c:ptCount val="9"/>
                <c:pt idx="0">
                  <c:v>816350</c:v>
                </c:pt>
                <c:pt idx="1">
                  <c:v>828098</c:v>
                </c:pt>
                <c:pt idx="2">
                  <c:v>990515</c:v>
                </c:pt>
                <c:pt idx="3">
                  <c:v>1153747</c:v>
                </c:pt>
                <c:pt idx="4">
                  <c:v>1240747</c:v>
                </c:pt>
                <c:pt idx="5">
                  <c:v>1199540</c:v>
                </c:pt>
                <c:pt idx="6">
                  <c:v>1242156</c:v>
                </c:pt>
                <c:pt idx="7">
                  <c:v>1290634</c:v>
                </c:pt>
                <c:pt idx="8">
                  <c:v>1327475</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4523407762435492"/>
                <c:y val="0.1705845390015903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228520073123156"/>
          <c:y val="9.2177413634106503E-2"/>
          <c:w val="0.76947802730884318"/>
          <c:h val="0.80607414494849161"/>
        </c:manualLayout>
      </c:layout>
      <c:lineChart>
        <c:grouping val="standard"/>
        <c:varyColors val="0"/>
        <c:ser>
          <c:idx val="0"/>
          <c:order val="0"/>
          <c:val>
            <c:numRef>
              <c:f>('Gen Fd Cover Sheets'!$C$136:$D$136,'Gen Fd Cover Sheets'!$F$136:$G$136,'Gen Fd Cover Sheets'!$J$136,'Gen Fd Cover Sheets'!$L$136:$O$136)</c:f>
              <c:numCache>
                <c:formatCode>_("$"* #,##0_);_("$"* \(#,##0\);_("$"* "-"??_);_(@_)</c:formatCode>
                <c:ptCount val="9"/>
                <c:pt idx="0">
                  <c:v>2216434</c:v>
                </c:pt>
                <c:pt idx="1">
                  <c:v>2871863</c:v>
                </c:pt>
                <c:pt idx="2">
                  <c:v>2649285</c:v>
                </c:pt>
                <c:pt idx="3">
                  <c:v>2644549</c:v>
                </c:pt>
                <c:pt idx="4">
                  <c:v>3322350</c:v>
                </c:pt>
                <c:pt idx="5">
                  <c:v>3262683</c:v>
                </c:pt>
                <c:pt idx="6">
                  <c:v>3454858</c:v>
                </c:pt>
                <c:pt idx="7">
                  <c:v>3630928</c:v>
                </c:pt>
                <c:pt idx="8">
                  <c:v>3802749</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3643453128670199"/>
                <c:y val="0.13160411198600175"/>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729047811797531"/>
          <c:y val="8.9162123965274245E-2"/>
          <c:w val="0.7727095218820248"/>
          <c:h val="0.82398155265190065"/>
        </c:manualLayout>
      </c:layout>
      <c:lineChart>
        <c:grouping val="standard"/>
        <c:varyColors val="0"/>
        <c:ser>
          <c:idx val="0"/>
          <c:order val="0"/>
          <c:val>
            <c:numRef>
              <c:f>('Gen Fd Cover Sheets'!$C$171:$D$171,'Gen Fd Cover Sheets'!$F$171:$G$171,'Gen Fd Cover Sheets'!$J$171,'Gen Fd Cover Sheets'!$L$171:$O$171)</c:f>
              <c:numCache>
                <c:formatCode>_("$"* #,##0_);_("$"* \(#,##0\);_("$"* "-"??_);_(@_)</c:formatCode>
                <c:ptCount val="9"/>
                <c:pt idx="0">
                  <c:v>5727719</c:v>
                </c:pt>
                <c:pt idx="1">
                  <c:v>7167074</c:v>
                </c:pt>
                <c:pt idx="2">
                  <c:v>6747733</c:v>
                </c:pt>
                <c:pt idx="3">
                  <c:v>10723191.73</c:v>
                </c:pt>
                <c:pt idx="4">
                  <c:v>9849509</c:v>
                </c:pt>
                <c:pt idx="5">
                  <c:v>9453471</c:v>
                </c:pt>
                <c:pt idx="6">
                  <c:v>8840076</c:v>
                </c:pt>
                <c:pt idx="7">
                  <c:v>9030187</c:v>
                </c:pt>
                <c:pt idx="8">
                  <c:v>8682002</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0.14130459686719568"/>
                <c:y val="0.17634175038465019"/>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922330504087085"/>
          <c:y val="0.22514661347785561"/>
          <c:w val="0.80776694959129169"/>
          <c:h val="0.53840924541128476"/>
        </c:manualLayout>
      </c:layout>
      <c:lineChart>
        <c:grouping val="standard"/>
        <c:varyColors val="0"/>
        <c:ser>
          <c:idx val="0"/>
          <c:order val="0"/>
          <c:val>
            <c:numRef>
              <c:f>('Fund Cover Sheets'!$C$37:$D$37,'Fund Cover Sheets'!$E$37:$F$37,'Fund Cover Sheets'!$G$37,'Fund Cover Sheets'!$H$37:$K$37)</c:f>
              <c:numCache>
                <c:formatCode>_("$"* #,##0_);_("$"* \(#,##0\);_("$"* "-"??_);_(@_)</c:formatCode>
                <c:ptCount val="9"/>
                <c:pt idx="0">
                  <c:v>7512060</c:v>
                </c:pt>
                <c:pt idx="1">
                  <c:v>9172354</c:v>
                </c:pt>
                <c:pt idx="2">
                  <c:v>7512060</c:v>
                </c:pt>
                <c:pt idx="3">
                  <c:v>9398466.2699999996</c:v>
                </c:pt>
                <c:pt idx="4">
                  <c:v>9398466.2699999996</c:v>
                </c:pt>
                <c:pt idx="5">
                  <c:v>8304545.2699999996</c:v>
                </c:pt>
                <c:pt idx="6">
                  <c:v>7680874.2699999996</c:v>
                </c:pt>
                <c:pt idx="7">
                  <c:v>6779286.2699999996</c:v>
                </c:pt>
                <c:pt idx="8">
                  <c:v>6145185.2699999996</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1126926386859043"/>
                <c:y val="0.16636560135865366"/>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19242849637420481"/>
          <c:y val="0.18616969361245544"/>
          <c:w val="0.80757150362579522"/>
          <c:h val="0.53840924541128476"/>
        </c:manualLayout>
      </c:layout>
      <c:lineChart>
        <c:grouping val="standard"/>
        <c:varyColors val="0"/>
        <c:ser>
          <c:idx val="0"/>
          <c:order val="0"/>
          <c:val>
            <c:numRef>
              <c:f>('Fund Cover Sheets'!$C$71:$D$71,'Fund Cover Sheets'!$E$71:$F$71,'Fund Cover Sheets'!$G$71,'Fund Cover Sheets'!$H$71:$K$71)</c:f>
              <c:numCache>
                <c:formatCode>_("$"* #,##0_);_("$"* \(#,##0\);_("$"* "-"??_);_(@_)</c:formatCode>
                <c:ptCount val="9"/>
                <c:pt idx="0">
                  <c:v>13492</c:v>
                </c:pt>
                <c:pt idx="1">
                  <c:v>10231</c:v>
                </c:pt>
                <c:pt idx="2">
                  <c:v>-32199</c:v>
                </c:pt>
                <c:pt idx="3">
                  <c:v>15065</c:v>
                </c:pt>
                <c:pt idx="4">
                  <c:v>-22635</c:v>
                </c:pt>
                <c:pt idx="5">
                  <c:v>-12275</c:v>
                </c:pt>
                <c:pt idx="6">
                  <c:v>585</c:v>
                </c:pt>
                <c:pt idx="7">
                  <c:v>13445</c:v>
                </c:pt>
                <c:pt idx="8">
                  <c:v>24577</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1904021635146074"/>
          <c:y val="0.17990508131504543"/>
          <c:w val="0.80487443052201313"/>
          <c:h val="0.53840924541128476"/>
        </c:manualLayout>
      </c:layout>
      <c:lineChart>
        <c:grouping val="standard"/>
        <c:varyColors val="0"/>
        <c:ser>
          <c:idx val="0"/>
          <c:order val="0"/>
          <c:val>
            <c:numRef>
              <c:f>('Fund Cover Sheets'!$C$106:$D$106,'Fund Cover Sheets'!$E$106:$F$106,'Fund Cover Sheets'!$G$106,'Fund Cover Sheets'!$H$106:$K$106)</c:f>
              <c:numCache>
                <c:formatCode>_("$"* #,##0_);_("$"* \(#,##0\);_("$"* "-"??_);_(@_)</c:formatCode>
                <c:ptCount val="9"/>
                <c:pt idx="0">
                  <c:v>-16200</c:v>
                </c:pt>
                <c:pt idx="1">
                  <c:v>-8409</c:v>
                </c:pt>
                <c:pt idx="2">
                  <c:v>-9237</c:v>
                </c:pt>
                <c:pt idx="3">
                  <c:v>-3046</c:v>
                </c:pt>
                <c:pt idx="4">
                  <c:v>754</c:v>
                </c:pt>
                <c:pt idx="5">
                  <c:v>4114</c:v>
                </c:pt>
                <c:pt idx="6">
                  <c:v>7474</c:v>
                </c:pt>
                <c:pt idx="7">
                  <c:v>10834</c:v>
                </c:pt>
                <c:pt idx="8">
                  <c:v>12466</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2242</xdr:colOff>
      <xdr:row>18</xdr:row>
      <xdr:rowOff>4929</xdr:rowOff>
    </xdr:from>
    <xdr:to>
      <xdr:col>14</xdr:col>
      <xdr:colOff>773767</xdr:colOff>
      <xdr:row>29</xdr:row>
      <xdr:rowOff>142314</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14</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14</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14</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180975</xdr:rowOff>
    </xdr:from>
    <xdr:to>
      <xdr:col>14</xdr:col>
      <xdr:colOff>838200</xdr:colOff>
      <xdr:row>150</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173</xdr:row>
      <xdr:rowOff>0</xdr:rowOff>
    </xdr:from>
    <xdr:to>
      <xdr:col>14</xdr:col>
      <xdr:colOff>819150</xdr:colOff>
      <xdr:row>186</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39</xdr:row>
      <xdr:rowOff>9525</xdr:rowOff>
    </xdr:from>
    <xdr:to>
      <xdr:col>10</xdr:col>
      <xdr:colOff>1219200</xdr:colOff>
      <xdr:row>49</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0</xdr:rowOff>
    </xdr:from>
    <xdr:to>
      <xdr:col>10</xdr:col>
      <xdr:colOff>1231900</xdr:colOff>
      <xdr:row>83</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108</xdr:row>
      <xdr:rowOff>123825</xdr:rowOff>
    </xdr:from>
    <xdr:to>
      <xdr:col>10</xdr:col>
      <xdr:colOff>1206500</xdr:colOff>
      <xdr:row>118</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50800</xdr:colOff>
      <xdr:row>144</xdr:row>
      <xdr:rowOff>38100</xdr:rowOff>
    </xdr:from>
    <xdr:to>
      <xdr:col>10</xdr:col>
      <xdr:colOff>1206500</xdr:colOff>
      <xdr:row>155</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460</xdr:row>
      <xdr:rowOff>66675</xdr:rowOff>
    </xdr:from>
    <xdr:to>
      <xdr:col>10</xdr:col>
      <xdr:colOff>1219199</xdr:colOff>
      <xdr:row>470</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500</xdr:row>
      <xdr:rowOff>152400</xdr:rowOff>
    </xdr:from>
    <xdr:to>
      <xdr:col>10</xdr:col>
      <xdr:colOff>1193800</xdr:colOff>
      <xdr:row>510</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547</xdr:row>
      <xdr:rowOff>22860</xdr:rowOff>
    </xdr:from>
    <xdr:to>
      <xdr:col>10</xdr:col>
      <xdr:colOff>1181100</xdr:colOff>
      <xdr:row>556</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594</xdr:row>
      <xdr:rowOff>85725</xdr:rowOff>
    </xdr:from>
    <xdr:to>
      <xdr:col>10</xdr:col>
      <xdr:colOff>1168399</xdr:colOff>
      <xdr:row>604</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634</xdr:row>
      <xdr:rowOff>152400</xdr:rowOff>
    </xdr:from>
    <xdr:to>
      <xdr:col>10</xdr:col>
      <xdr:colOff>1155700</xdr:colOff>
      <xdr:row>644</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671</xdr:row>
      <xdr:rowOff>9525</xdr:rowOff>
    </xdr:from>
    <xdr:to>
      <xdr:col>10</xdr:col>
      <xdr:colOff>1155700</xdr:colOff>
      <xdr:row>680</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9524</xdr:colOff>
      <xdr:row>707</xdr:row>
      <xdr:rowOff>28575</xdr:rowOff>
    </xdr:from>
    <xdr:to>
      <xdr:col>10</xdr:col>
      <xdr:colOff>1142999</xdr:colOff>
      <xdr:row>716</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359</xdr:row>
      <xdr:rowOff>95250</xdr:rowOff>
    </xdr:from>
    <xdr:to>
      <xdr:col>11</xdr:col>
      <xdr:colOff>0</xdr:colOff>
      <xdr:row>369</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30480</xdr:colOff>
      <xdr:row>192</xdr:row>
      <xdr:rowOff>114300</xdr:rowOff>
    </xdr:from>
    <xdr:to>
      <xdr:col>10</xdr:col>
      <xdr:colOff>1219200</xdr:colOff>
      <xdr:row>204</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322</xdr:row>
      <xdr:rowOff>0</xdr:rowOff>
    </xdr:from>
    <xdr:to>
      <xdr:col>11</xdr:col>
      <xdr:colOff>0</xdr:colOff>
      <xdr:row>331</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410</xdr:row>
      <xdr:rowOff>0</xdr:rowOff>
    </xdr:from>
    <xdr:to>
      <xdr:col>10</xdr:col>
      <xdr:colOff>1219200</xdr:colOff>
      <xdr:row>419</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803</xdr:row>
      <xdr:rowOff>9525</xdr:rowOff>
    </xdr:from>
    <xdr:to>
      <xdr:col>10</xdr:col>
      <xdr:colOff>1219200</xdr:colOff>
      <xdr:row>813</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9524</xdr:colOff>
      <xdr:row>852</xdr:row>
      <xdr:rowOff>85725</xdr:rowOff>
    </xdr:from>
    <xdr:to>
      <xdr:col>10</xdr:col>
      <xdr:colOff>1206499</xdr:colOff>
      <xdr:row>863</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9524</xdr:colOff>
      <xdr:row>745</xdr:row>
      <xdr:rowOff>28575</xdr:rowOff>
    </xdr:from>
    <xdr:to>
      <xdr:col>10</xdr:col>
      <xdr:colOff>1193799</xdr:colOff>
      <xdr:row>754</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242</xdr:row>
      <xdr:rowOff>114300</xdr:rowOff>
    </xdr:from>
    <xdr:to>
      <xdr:col>10</xdr:col>
      <xdr:colOff>1219200</xdr:colOff>
      <xdr:row>254</xdr:row>
      <xdr:rowOff>47625</xdr:rowOff>
    </xdr:to>
    <xdr:graphicFrame macro="">
      <xdr:nvGraphicFramePr>
        <xdr:cNvPr id="32" name="Chart 4">
          <a:extLst>
            <a:ext uri="{FF2B5EF4-FFF2-40B4-BE49-F238E27FC236}">
              <a16:creationId xmlns:a16="http://schemas.microsoft.com/office/drawing/2014/main" id="{2FF336BA-1272-44AE-9BFD-DA578D7BE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7"/>
  <sheetViews>
    <sheetView zoomScale="75" zoomScaleNormal="75" zoomScaleSheetLayoutView="85" workbookViewId="0">
      <selection activeCell="M9" sqref="M9"/>
    </sheetView>
  </sheetViews>
  <sheetFormatPr defaultColWidth="10.44140625" defaultRowHeight="13.8"/>
  <cols>
    <col min="1" max="1" width="5.5546875" style="1" customWidth="1"/>
    <col min="2" max="2" width="38.6640625" style="1" customWidth="1"/>
    <col min="3" max="11" width="14.6640625" style="1" customWidth="1"/>
    <col min="12" max="16384" width="10.44140625" style="1"/>
  </cols>
  <sheetData>
    <row r="1" spans="1:11" s="42" customFormat="1" ht="24" customHeight="1">
      <c r="A1" s="680" t="s">
        <v>638</v>
      </c>
      <c r="B1" s="680"/>
      <c r="C1" s="680"/>
      <c r="D1" s="680"/>
      <c r="E1" s="680"/>
      <c r="F1" s="680"/>
      <c r="G1" s="680"/>
      <c r="H1" s="680"/>
      <c r="I1" s="680"/>
      <c r="J1" s="680"/>
      <c r="K1" s="680"/>
    </row>
    <row r="2" spans="1:11" s="42" customFormat="1" ht="24" customHeight="1">
      <c r="A2" s="681" t="s">
        <v>1271</v>
      </c>
      <c r="B2" s="681"/>
      <c r="C2" s="681"/>
      <c r="D2" s="681"/>
      <c r="E2" s="681"/>
      <c r="F2" s="681"/>
      <c r="G2" s="681"/>
      <c r="H2" s="681"/>
      <c r="I2" s="681"/>
      <c r="J2" s="681"/>
      <c r="K2" s="681"/>
    </row>
    <row r="3" spans="1:11" s="42" customFormat="1" ht="24" customHeight="1">
      <c r="A3" s="680" t="s">
        <v>1373</v>
      </c>
      <c r="B3" s="680"/>
      <c r="C3" s="680"/>
      <c r="D3" s="680"/>
      <c r="E3" s="680"/>
      <c r="F3" s="680"/>
      <c r="G3" s="680"/>
      <c r="H3" s="680"/>
      <c r="I3" s="680"/>
      <c r="J3" s="680"/>
      <c r="K3" s="680"/>
    </row>
    <row r="4" spans="1:11" ht="15" customHeight="1"/>
    <row r="5" spans="1:11" ht="15" customHeight="1">
      <c r="C5" s="43"/>
      <c r="D5" s="573"/>
      <c r="E5" s="43" t="s">
        <v>815</v>
      </c>
      <c r="F5" s="573"/>
      <c r="G5" s="43" t="s">
        <v>816</v>
      </c>
      <c r="H5" s="573"/>
      <c r="I5" s="573"/>
      <c r="J5" s="573"/>
      <c r="K5" s="573"/>
    </row>
    <row r="6" spans="1:11" ht="15" customHeight="1">
      <c r="C6" s="43" t="s">
        <v>813</v>
      </c>
      <c r="D6" s="43" t="s">
        <v>814</v>
      </c>
      <c r="E6" s="43" t="s">
        <v>583</v>
      </c>
      <c r="F6" s="43" t="s">
        <v>815</v>
      </c>
      <c r="G6" s="156" t="str">
        <f>'Fund Cover Sheets'!$N$1</f>
        <v>Adopted</v>
      </c>
      <c r="H6" s="43" t="s">
        <v>817</v>
      </c>
      <c r="I6" s="43" t="s">
        <v>818</v>
      </c>
      <c r="J6" s="43" t="s">
        <v>819</v>
      </c>
      <c r="K6" s="43" t="s">
        <v>820</v>
      </c>
    </row>
    <row r="7" spans="1:11" ht="15" customHeight="1" thickBot="1">
      <c r="B7" s="44" t="s">
        <v>639</v>
      </c>
      <c r="C7" s="45" t="s">
        <v>1</v>
      </c>
      <c r="D7" s="45" t="s">
        <v>1</v>
      </c>
      <c r="E7" s="45" t="s">
        <v>553</v>
      </c>
      <c r="F7" s="45" t="s">
        <v>19</v>
      </c>
      <c r="G7" s="45" t="s">
        <v>553</v>
      </c>
      <c r="H7" s="45" t="s">
        <v>19</v>
      </c>
      <c r="I7" s="45" t="s">
        <v>19</v>
      </c>
      <c r="J7" s="45" t="s">
        <v>19</v>
      </c>
      <c r="K7" s="45" t="s">
        <v>19</v>
      </c>
    </row>
    <row r="8" spans="1:11" ht="15" customHeight="1">
      <c r="C8" s="43"/>
      <c r="D8" s="43"/>
      <c r="E8" s="43"/>
      <c r="F8" s="43"/>
      <c r="G8" s="43"/>
      <c r="H8" s="43"/>
      <c r="I8" s="43"/>
      <c r="J8" s="43"/>
    </row>
    <row r="9" spans="1:11" ht="24" customHeight="1">
      <c r="A9" s="46" t="s">
        <v>1426</v>
      </c>
      <c r="C9" s="49">
        <f>'Budget Detail FY 2020-27'!M61</f>
        <v>16637799</v>
      </c>
      <c r="D9" s="49">
        <f>'Budget Detail FY 2020-27'!N61</f>
        <v>19693430</v>
      </c>
      <c r="E9" s="49">
        <f>'Budget Detail FY 2020-27'!O61</f>
        <v>18100270</v>
      </c>
      <c r="F9" s="49">
        <f>'Budget Detail FY 2020-27'!P61</f>
        <v>22237918</v>
      </c>
      <c r="G9" s="49">
        <f>'Budget Detail FY 2020-27'!Q61</f>
        <v>22339736</v>
      </c>
      <c r="H9" s="49">
        <f>'Budget Detail FY 2020-27'!R61</f>
        <v>21314220</v>
      </c>
      <c r="I9" s="49">
        <f>'Budget Detail FY 2020-27'!S61</f>
        <v>21810141</v>
      </c>
      <c r="J9" s="49">
        <f>'Budget Detail FY 2020-27'!T61</f>
        <v>22372473</v>
      </c>
      <c r="K9" s="49">
        <f>'Budget Detail FY 2020-27'!U61</f>
        <v>22966639</v>
      </c>
    </row>
    <row r="10" spans="1:11" ht="15" customHeight="1">
      <c r="A10" s="46"/>
      <c r="C10" s="2"/>
      <c r="D10" s="2"/>
      <c r="E10" s="2"/>
      <c r="F10" s="2"/>
      <c r="G10" s="2"/>
      <c r="H10" s="2"/>
      <c r="I10" s="2"/>
      <c r="J10" s="2"/>
      <c r="K10" s="2"/>
    </row>
    <row r="11" spans="1:11" ht="24" customHeight="1">
      <c r="A11" s="46" t="s">
        <v>641</v>
      </c>
      <c r="C11" s="2"/>
      <c r="D11" s="2"/>
      <c r="E11" s="2"/>
      <c r="F11" s="2"/>
      <c r="G11" s="2"/>
      <c r="H11" s="2"/>
      <c r="I11" s="2"/>
      <c r="J11" s="2"/>
      <c r="K11" s="2"/>
    </row>
    <row r="12" spans="1:11" ht="24" customHeight="1">
      <c r="A12" s="52">
        <v>-15</v>
      </c>
      <c r="B12" s="1" t="s">
        <v>570</v>
      </c>
      <c r="C12" s="2">
        <f>'Budget Detail FY 2020-27'!M318</f>
        <v>785522</v>
      </c>
      <c r="D12" s="2">
        <f>'Budget Detail FY 2020-27'!N318</f>
        <v>1388742</v>
      </c>
      <c r="E12" s="2">
        <f>'Budget Detail FY 2020-27'!O318</f>
        <v>1260019</v>
      </c>
      <c r="F12" s="2">
        <f>'Budget Detail FY 2020-27'!P318</f>
        <v>1306915</v>
      </c>
      <c r="G12" s="2">
        <f>'Budget Detail FY 2020-27'!Q318</f>
        <v>1176560</v>
      </c>
      <c r="H12" s="2">
        <f>'Budget Detail FY 2020-27'!R318</f>
        <v>986367</v>
      </c>
      <c r="I12" s="2">
        <f>'Budget Detail FY 2020-27'!S318</f>
        <v>1005465</v>
      </c>
      <c r="J12" s="2">
        <f>'Budget Detail FY 2020-27'!T318</f>
        <v>1025925</v>
      </c>
      <c r="K12" s="2">
        <f>'Budget Detail FY 2020-27'!U318</f>
        <v>1047254</v>
      </c>
    </row>
    <row r="13" spans="1:11" ht="24" customHeight="1">
      <c r="A13" s="52">
        <v>-79</v>
      </c>
      <c r="B13" s="1" t="s">
        <v>642</v>
      </c>
      <c r="C13" s="2">
        <f>'Budget Detail FY 2020-27'!M882</f>
        <v>2177839</v>
      </c>
      <c r="D13" s="2">
        <f>'Budget Detail FY 2020-27'!N882</f>
        <v>1904501</v>
      </c>
      <c r="E13" s="2">
        <f>'Budget Detail FY 2020-27'!O882</f>
        <v>2643058</v>
      </c>
      <c r="F13" s="2">
        <f>'Budget Detail FY 2020-27'!P882</f>
        <v>2484308</v>
      </c>
      <c r="G13" s="2">
        <f>'Budget Detail FY 2020-27'!Q882</f>
        <v>3055472</v>
      </c>
      <c r="H13" s="2">
        <f>'Budget Detail FY 2020-27'!R882</f>
        <v>3114428</v>
      </c>
      <c r="I13" s="2">
        <f>'Budget Detail FY 2020-27'!S882</f>
        <v>3248602</v>
      </c>
      <c r="J13" s="2">
        <f>'Budget Detail FY 2020-27'!T882</f>
        <v>3329170</v>
      </c>
      <c r="K13" s="2">
        <f>'Budget Detail FY 2020-27'!U882</f>
        <v>3398413</v>
      </c>
    </row>
    <row r="14" spans="1:11" ht="24" customHeight="1">
      <c r="A14" s="52">
        <v>-72</v>
      </c>
      <c r="B14" s="1" t="s">
        <v>483</v>
      </c>
      <c r="C14" s="2">
        <f>'Budget Detail FY 2020-27'!M841</f>
        <v>41044</v>
      </c>
      <c r="D14" s="2">
        <f>'Budget Detail FY 2020-27'!N841</f>
        <v>18963</v>
      </c>
      <c r="E14" s="2">
        <f>'Budget Detail FY 2020-27'!O841</f>
        <v>25760</v>
      </c>
      <c r="F14" s="2">
        <f>'Budget Detail FY 2020-27'!P841</f>
        <v>1136</v>
      </c>
      <c r="G14" s="2">
        <f>'Budget Detail FY 2020-27'!Q841</f>
        <v>0</v>
      </c>
      <c r="H14" s="2">
        <f>'Budget Detail FY 2020-27'!R841</f>
        <v>0</v>
      </c>
      <c r="I14" s="2">
        <f>'Budget Detail FY 2020-27'!S841</f>
        <v>0</v>
      </c>
      <c r="J14" s="2">
        <f>'Budget Detail FY 2020-27'!T841</f>
        <v>0</v>
      </c>
      <c r="K14" s="2">
        <f>'Budget Detail FY 2020-27'!U841</f>
        <v>0</v>
      </c>
    </row>
    <row r="15" spans="1:11" ht="24" customHeight="1">
      <c r="A15" s="52">
        <v>-87</v>
      </c>
      <c r="B15" s="1" t="s">
        <v>418</v>
      </c>
      <c r="C15" s="2">
        <f>'Budget Detail FY 2020-27'!M1057</f>
        <v>203884</v>
      </c>
      <c r="D15" s="2">
        <f>'Budget Detail FY 2020-27'!N1057</f>
        <v>151422</v>
      </c>
      <c r="E15" s="2">
        <f>'Budget Detail FY 2020-27'!O1057</f>
        <v>260727</v>
      </c>
      <c r="F15" s="2">
        <f>'Budget Detail FY 2020-27'!P1057</f>
        <v>250366</v>
      </c>
      <c r="G15" s="2">
        <f>'Budget Detail FY 2020-27'!Q1057</f>
        <v>232133</v>
      </c>
      <c r="H15" s="2">
        <f>'Budget Detail FY 2020-27'!R1057</f>
        <v>237936</v>
      </c>
      <c r="I15" s="2">
        <f>'Budget Detail FY 2020-27'!S1057</f>
        <v>243884</v>
      </c>
      <c r="J15" s="2">
        <f>'Budget Detail FY 2020-27'!T1057</f>
        <v>249981</v>
      </c>
      <c r="K15" s="2">
        <f>'Budget Detail FY 2020-27'!U1057</f>
        <v>256231</v>
      </c>
    </row>
    <row r="16" spans="1:11" ht="24" customHeight="1">
      <c r="A16" s="52">
        <v>-88</v>
      </c>
      <c r="B16" s="1" t="s">
        <v>420</v>
      </c>
      <c r="C16" s="2">
        <f>'Budget Detail FY 2020-27'!M1080</f>
        <v>75759</v>
      </c>
      <c r="D16" s="2">
        <f>'Budget Detail FY 2020-27'!N1080</f>
        <v>70677</v>
      </c>
      <c r="E16" s="2">
        <f>'Budget Detail FY 2020-27'!O1080</f>
        <v>70000</v>
      </c>
      <c r="F16" s="2">
        <f>'Budget Detail FY 2020-27'!P1080</f>
        <v>96795</v>
      </c>
      <c r="G16" s="2">
        <f>'Budget Detail FY 2020-27'!Q1080</f>
        <v>96000</v>
      </c>
      <c r="H16" s="2">
        <f>'Budget Detail FY 2020-27'!R1080</f>
        <v>98400</v>
      </c>
      <c r="I16" s="2">
        <f>'Budget Detail FY 2020-27'!S1080</f>
        <v>100860</v>
      </c>
      <c r="J16" s="2">
        <f>'Budget Detail FY 2020-27'!T1080</f>
        <v>103382</v>
      </c>
      <c r="K16" s="2">
        <f>'Budget Detail FY 2020-27'!U1080</f>
        <v>105967</v>
      </c>
    </row>
    <row r="17" spans="1:11" ht="24" customHeight="1">
      <c r="A17" s="52">
        <v>-89</v>
      </c>
      <c r="B17" s="1" t="s">
        <v>1031</v>
      </c>
      <c r="C17" s="2">
        <f>'Fund Cover Sheets'!C735</f>
        <v>25171</v>
      </c>
      <c r="D17" s="2">
        <f>'Fund Cover Sheets'!D735</f>
        <v>48103</v>
      </c>
      <c r="E17" s="2">
        <f>'Fund Cover Sheets'!E735</f>
        <v>48526</v>
      </c>
      <c r="F17" s="2">
        <f>'Fund Cover Sheets'!F735</f>
        <v>78764</v>
      </c>
      <c r="G17" s="2">
        <f>'Fund Cover Sheets'!G735</f>
        <v>99353</v>
      </c>
      <c r="H17" s="2">
        <f>'Fund Cover Sheets'!H735</f>
        <v>101837</v>
      </c>
      <c r="I17" s="2">
        <f>'Fund Cover Sheets'!I735</f>
        <v>104383</v>
      </c>
      <c r="J17" s="2">
        <f>'Fund Cover Sheets'!J735</f>
        <v>106993</v>
      </c>
      <c r="K17" s="2">
        <f>'Fund Cover Sheets'!K735</f>
        <v>109668</v>
      </c>
    </row>
    <row r="18" spans="1:11" ht="24" customHeight="1">
      <c r="A18" s="52">
        <v>-11</v>
      </c>
      <c r="B18" s="1" t="s">
        <v>643</v>
      </c>
      <c r="C18" s="2">
        <f>'Budget Detail FY 2020-27'!M279</f>
        <v>13382</v>
      </c>
      <c r="D18" s="2">
        <f>'Budget Detail FY 2020-27'!N279</f>
        <v>16034</v>
      </c>
      <c r="E18" s="2">
        <f>'Budget Detail FY 2020-27'!O279</f>
        <v>19000</v>
      </c>
      <c r="F18" s="2">
        <f>'Budget Detail FY 2020-27'!P279</f>
        <v>16034</v>
      </c>
      <c r="G18" s="2">
        <f>'Budget Detail FY 2020-27'!Q279</f>
        <v>21500</v>
      </c>
      <c r="H18" s="2">
        <f>'Budget Detail FY 2020-27'!R279</f>
        <v>24000</v>
      </c>
      <c r="I18" s="2">
        <f>'Budget Detail FY 2020-27'!S279</f>
        <v>26500</v>
      </c>
      <c r="J18" s="2">
        <f>'Budget Detail FY 2020-27'!T279</f>
        <v>26500</v>
      </c>
      <c r="K18" s="2">
        <f>'Budget Detail FY 2020-27'!U279</f>
        <v>26500</v>
      </c>
    </row>
    <row r="19" spans="1:11" ht="24" customHeight="1">
      <c r="A19" s="52">
        <v>-12</v>
      </c>
      <c r="B19" s="1" t="s">
        <v>644</v>
      </c>
      <c r="C19" s="2">
        <f>'Budget Detail FY 2020-27'!M296</f>
        <v>18140</v>
      </c>
      <c r="D19" s="2">
        <f>'Budget Detail FY 2020-27'!N296</f>
        <v>20363</v>
      </c>
      <c r="E19" s="2">
        <f>'Budget Detail FY 2020-27'!O296</f>
        <v>21000</v>
      </c>
      <c r="F19" s="2">
        <f>'Budget Detail FY 2020-27'!P296</f>
        <v>20363</v>
      </c>
      <c r="G19" s="2">
        <f>'Budget Detail FY 2020-27'!Q296</f>
        <v>21000</v>
      </c>
      <c r="H19" s="2">
        <f>'Budget Detail FY 2020-27'!R296</f>
        <v>22000</v>
      </c>
      <c r="I19" s="2">
        <f>'Budget Detail FY 2020-27'!S296</f>
        <v>22000</v>
      </c>
      <c r="J19" s="2">
        <f>'Budget Detail FY 2020-27'!T296</f>
        <v>22000</v>
      </c>
      <c r="K19" s="2">
        <f>'Budget Detail FY 2020-27'!U296</f>
        <v>22000</v>
      </c>
    </row>
    <row r="20" spans="1:11" ht="15" customHeight="1">
      <c r="C20" s="2"/>
      <c r="D20" s="2"/>
      <c r="E20" s="2"/>
      <c r="F20" s="2"/>
      <c r="G20" s="2"/>
      <c r="H20" s="2"/>
      <c r="I20" s="2"/>
      <c r="J20" s="2"/>
      <c r="K20" s="2"/>
    </row>
    <row r="21" spans="1:11" ht="24" customHeight="1">
      <c r="A21" s="46" t="s">
        <v>1427</v>
      </c>
      <c r="C21" s="2">
        <f>'Budget Detail FY 2020-27'!M601</f>
        <v>324025</v>
      </c>
      <c r="D21" s="2">
        <f>'Budget Detail FY 2020-27'!N601</f>
        <v>323225</v>
      </c>
      <c r="E21" s="2">
        <f>'Budget Detail FY 2020-27'!O601</f>
        <v>329375</v>
      </c>
      <c r="F21" s="2">
        <f>'Budget Detail FY 2020-27'!P601</f>
        <v>329375</v>
      </c>
      <c r="G21" s="2">
        <f>'Budget Detail FY 2020-27'!Q601</f>
        <v>330075</v>
      </c>
      <c r="H21" s="2">
        <f>'Budget Detail FY 2020-27'!R601</f>
        <v>0</v>
      </c>
      <c r="I21" s="2">
        <f>'Budget Detail FY 2020-27'!S601</f>
        <v>0</v>
      </c>
      <c r="J21" s="2">
        <f>'Budget Detail FY 2020-27'!T601</f>
        <v>0</v>
      </c>
      <c r="K21" s="2">
        <f>'Budget Detail FY 2020-27'!U601</f>
        <v>0</v>
      </c>
    </row>
    <row r="22" spans="1:11" ht="15" customHeight="1">
      <c r="A22" s="46"/>
      <c r="C22" s="2"/>
      <c r="D22" s="2"/>
      <c r="E22" s="2"/>
      <c r="F22" s="2"/>
      <c r="G22" s="2"/>
      <c r="H22" s="2"/>
      <c r="I22" s="2"/>
      <c r="J22" s="2"/>
      <c r="K22" s="2"/>
    </row>
    <row r="23" spans="1:11" ht="24" customHeight="1">
      <c r="A23" s="46" t="s">
        <v>646</v>
      </c>
      <c r="C23" s="2"/>
      <c r="D23" s="2"/>
      <c r="E23" s="2"/>
      <c r="F23" s="2"/>
      <c r="G23" s="2"/>
      <c r="H23" s="2"/>
      <c r="I23" s="2"/>
      <c r="J23" s="2"/>
      <c r="K23" s="2"/>
    </row>
    <row r="24" spans="1:11" ht="24" customHeight="1">
      <c r="A24" s="52">
        <v>-25</v>
      </c>
      <c r="B24" s="1" t="s">
        <v>745</v>
      </c>
      <c r="C24" s="2">
        <f>'Budget Detail FY 2020-27'!M530</f>
        <v>1074179</v>
      </c>
      <c r="D24" s="2">
        <f>'Budget Detail FY 2020-27'!N530</f>
        <v>1538720</v>
      </c>
      <c r="E24" s="2">
        <f>'Budget Detail FY 2020-27'!O530</f>
        <v>547226</v>
      </c>
      <c r="F24" s="2">
        <f>'Budget Detail FY 2020-27'!P530</f>
        <v>653344</v>
      </c>
      <c r="G24" s="2">
        <f>'Budget Detail FY 2020-27'!Q530</f>
        <v>1105870</v>
      </c>
      <c r="H24" s="2">
        <f>'Budget Detail FY 2020-27'!R530</f>
        <v>1079745</v>
      </c>
      <c r="I24" s="2">
        <f>'Budget Detail FY 2020-27'!S530</f>
        <v>1067898</v>
      </c>
      <c r="J24" s="2">
        <f>'Budget Detail FY 2020-27'!T530</f>
        <v>1127353</v>
      </c>
      <c r="K24" s="2">
        <f>'Budget Detail FY 2020-27'!U530</f>
        <v>1070106</v>
      </c>
    </row>
    <row r="25" spans="1:11" ht="24" customHeight="1">
      <c r="A25" s="52">
        <v>-23</v>
      </c>
      <c r="B25" s="1" t="s">
        <v>648</v>
      </c>
      <c r="C25" s="2">
        <f>'Budget Detail FY 2020-27'!M361</f>
        <v>1319856</v>
      </c>
      <c r="D25" s="2">
        <f>'Budget Detail FY 2020-27'!N361</f>
        <v>2890605</v>
      </c>
      <c r="E25" s="2">
        <f>'Budget Detail FY 2020-27'!O361</f>
        <v>5808072</v>
      </c>
      <c r="F25" s="2">
        <f>'Budget Detail FY 2020-27'!P361</f>
        <v>6226409</v>
      </c>
      <c r="G25" s="2">
        <f>'Budget Detail FY 2020-27'!Q361</f>
        <v>3995222</v>
      </c>
      <c r="H25" s="2">
        <f>'Budget Detail FY 2020-27'!R361</f>
        <v>5120574</v>
      </c>
      <c r="I25" s="2">
        <f>'Budget Detail FY 2020-27'!S361</f>
        <v>3693941</v>
      </c>
      <c r="J25" s="2">
        <f>'Budget Detail FY 2020-27'!T361</f>
        <v>2090589</v>
      </c>
      <c r="K25" s="2">
        <f>'Budget Detail FY 2020-27'!U361</f>
        <v>2145093</v>
      </c>
    </row>
    <row r="26" spans="1:11" s="527" customFormat="1" ht="24" customHeight="1">
      <c r="A26" s="52">
        <v>-24</v>
      </c>
      <c r="B26" s="535" t="s">
        <v>1328</v>
      </c>
      <c r="C26" s="2">
        <f>'Budget Detail FY 2020-27'!M446</f>
        <v>0</v>
      </c>
      <c r="D26" s="2">
        <f>'Budget Detail FY 2020-27'!N446</f>
        <v>0</v>
      </c>
      <c r="E26" s="2">
        <f>'Budget Detail FY 2020-27'!O446</f>
        <v>9584249</v>
      </c>
      <c r="F26" s="2">
        <f>'Budget Detail FY 2020-27'!P446</f>
        <v>13646527</v>
      </c>
      <c r="G26" s="2">
        <f>'Budget Detail FY 2020-27'!Q446</f>
        <v>1007229</v>
      </c>
      <c r="H26" s="2">
        <f>'Budget Detail FY 2020-27'!R446</f>
        <v>22585379</v>
      </c>
      <c r="I26" s="2">
        <f>'Budget Detail FY 2020-27'!S446</f>
        <v>1347327</v>
      </c>
      <c r="J26" s="2">
        <f>'Budget Detail FY 2020-27'!T446</f>
        <v>1690534</v>
      </c>
      <c r="K26" s="2">
        <f>'Budget Detail FY 2020-27'!U446</f>
        <v>2040411</v>
      </c>
    </row>
    <row r="27" spans="1:11" ht="15" customHeight="1">
      <c r="C27" s="2"/>
      <c r="D27" s="2"/>
      <c r="E27" s="2"/>
      <c r="F27" s="2"/>
      <c r="G27" s="2"/>
      <c r="H27" s="2"/>
      <c r="I27" s="2"/>
      <c r="J27" s="2"/>
      <c r="K27" s="2"/>
    </row>
    <row r="28" spans="1:11" ht="24" customHeight="1">
      <c r="A28" s="46" t="s">
        <v>649</v>
      </c>
      <c r="C28" s="2"/>
      <c r="D28" s="2"/>
      <c r="E28" s="2"/>
      <c r="F28" s="2"/>
      <c r="G28" s="2"/>
      <c r="H28" s="2"/>
      <c r="I28" s="2"/>
      <c r="J28" s="2"/>
      <c r="K28" s="2"/>
    </row>
    <row r="29" spans="1:11" ht="24" customHeight="1">
      <c r="A29" s="52">
        <v>-51</v>
      </c>
      <c r="B29" s="1" t="s">
        <v>481</v>
      </c>
      <c r="C29" s="2">
        <f>'Budget Detail FY 2020-27'!M635</f>
        <v>4759975</v>
      </c>
      <c r="D29" s="2">
        <f>'Budget Detail FY 2020-27'!N635</f>
        <v>5345960</v>
      </c>
      <c r="E29" s="2">
        <f>'Budget Detail FY 2020-27'!O635</f>
        <v>5061271</v>
      </c>
      <c r="F29" s="2">
        <f>'Budget Detail FY 2020-27'!P635</f>
        <v>5378758</v>
      </c>
      <c r="G29" s="2">
        <f>'Budget Detail FY 2020-27'!Q635</f>
        <v>5779003</v>
      </c>
      <c r="H29" s="2">
        <f>'Budget Detail FY 2020-27'!R635</f>
        <v>5918580</v>
      </c>
      <c r="I29" s="2">
        <f>'Budget Detail FY 2020-27'!S635</f>
        <v>6109641</v>
      </c>
      <c r="J29" s="2">
        <f>'Budget Detail FY 2020-27'!T635</f>
        <v>6241820</v>
      </c>
      <c r="K29" s="2">
        <f>'Budget Detail FY 2020-27'!U635</f>
        <v>6503222</v>
      </c>
    </row>
    <row r="30" spans="1:11" ht="24" customHeight="1">
      <c r="A30" s="52">
        <v>-52</v>
      </c>
      <c r="B30" s="1" t="s">
        <v>482</v>
      </c>
      <c r="C30" s="2">
        <f>'Budget Detail FY 2020-27'!M744</f>
        <v>2217258</v>
      </c>
      <c r="D30" s="2">
        <f>'Budget Detail FY 2020-27'!N744</f>
        <v>1911814</v>
      </c>
      <c r="E30" s="2">
        <f>'Budget Detail FY 2020-27'!O744</f>
        <v>2275602</v>
      </c>
      <c r="F30" s="2">
        <f>'Budget Detail FY 2020-27'!P744</f>
        <v>6413606</v>
      </c>
      <c r="G30" s="2">
        <f>'Budget Detail FY 2020-27'!Q744</f>
        <v>6604721</v>
      </c>
      <c r="H30" s="2">
        <f>'Budget Detail FY 2020-27'!R744</f>
        <v>2919123</v>
      </c>
      <c r="I30" s="2">
        <f>'Budget Detail FY 2020-27'!S744</f>
        <v>2704136</v>
      </c>
      <c r="J30" s="2">
        <f>'Budget Detail FY 2020-27'!T744</f>
        <v>2589727</v>
      </c>
      <c r="K30" s="2">
        <f>'Budget Detail FY 2020-27'!U744</f>
        <v>2112403</v>
      </c>
    </row>
    <row r="31" spans="1:11" ht="15" customHeight="1">
      <c r="C31" s="2"/>
      <c r="D31" s="2"/>
      <c r="E31" s="2"/>
      <c r="F31" s="2"/>
      <c r="G31" s="2"/>
      <c r="H31" s="2"/>
      <c r="I31" s="2"/>
      <c r="J31" s="2"/>
      <c r="K31" s="2"/>
    </row>
    <row r="32" spans="1:11" ht="24" customHeight="1">
      <c r="A32" s="46" t="s">
        <v>650</v>
      </c>
      <c r="C32" s="2"/>
      <c r="D32" s="2"/>
      <c r="E32" s="2"/>
      <c r="F32" s="2"/>
      <c r="G32" s="2"/>
      <c r="H32" s="2"/>
      <c r="I32" s="2"/>
      <c r="J32" s="2"/>
      <c r="K32" s="2"/>
    </row>
    <row r="33" spans="1:11" ht="24" customHeight="1">
      <c r="A33" s="52">
        <v>-82</v>
      </c>
      <c r="B33" s="1" t="s">
        <v>475</v>
      </c>
      <c r="C33" s="2">
        <f>'Budget Detail FY 2020-27'!M976</f>
        <v>1588431</v>
      </c>
      <c r="D33" s="2">
        <f>'Budget Detail FY 2020-27'!N976</f>
        <v>1628293</v>
      </c>
      <c r="E33" s="2">
        <f>'Budget Detail FY 2020-27'!O976</f>
        <v>1692702</v>
      </c>
      <c r="F33" s="2">
        <f>'Budget Detail FY 2020-27'!P976</f>
        <v>1697615</v>
      </c>
      <c r="G33" s="2">
        <f>'Budget Detail FY 2020-27'!Q976</f>
        <v>1736773</v>
      </c>
      <c r="H33" s="2">
        <f>'Budget Detail FY 2020-27'!R976</f>
        <v>1800383</v>
      </c>
      <c r="I33" s="2">
        <f>'Budget Detail FY 2020-27'!S976</f>
        <v>1825989</v>
      </c>
      <c r="J33" s="2">
        <f>'Budget Detail FY 2020-27'!T976</f>
        <v>993292</v>
      </c>
      <c r="K33" s="2">
        <f>'Budget Detail FY 2020-27'!U976</f>
        <v>1022895</v>
      </c>
    </row>
    <row r="34" spans="1:11" ht="24" customHeight="1">
      <c r="A34" s="52">
        <v>-84</v>
      </c>
      <c r="B34" s="1" t="s">
        <v>651</v>
      </c>
      <c r="C34" s="2">
        <f>'Budget Detail FY 2020-27'!M1037</f>
        <v>109653</v>
      </c>
      <c r="D34" s="2">
        <f>'Budget Detail FY 2020-27'!N1037</f>
        <v>104813</v>
      </c>
      <c r="E34" s="2">
        <f>'Budget Detail FY 2020-27'!O1037</f>
        <v>50200</v>
      </c>
      <c r="F34" s="2">
        <f>'Budget Detail FY 2020-27'!P1037</f>
        <v>110190</v>
      </c>
      <c r="G34" s="2">
        <f>'Budget Detail FY 2020-27'!Q1037</f>
        <v>50350</v>
      </c>
      <c r="H34" s="2">
        <f>'Budget Detail FY 2020-27'!R1037</f>
        <v>50500</v>
      </c>
      <c r="I34" s="2">
        <f>'Budget Detail FY 2020-27'!S1037</f>
        <v>50750</v>
      </c>
      <c r="J34" s="2">
        <f>'Budget Detail FY 2020-27'!T1037</f>
        <v>51000</v>
      </c>
      <c r="K34" s="2">
        <f>'Budget Detail FY 2020-27'!U1037</f>
        <v>51500</v>
      </c>
    </row>
    <row r="35" spans="1:11" ht="15" customHeight="1">
      <c r="C35" s="2"/>
      <c r="D35" s="2"/>
      <c r="E35" s="2"/>
      <c r="F35" s="2"/>
      <c r="G35" s="2"/>
      <c r="H35" s="2"/>
      <c r="I35" s="2"/>
      <c r="J35" s="2"/>
      <c r="K35" s="2"/>
    </row>
    <row r="36" spans="1:11" ht="24" customHeight="1" thickBot="1">
      <c r="A36" s="6"/>
      <c r="B36" s="47" t="s">
        <v>1257</v>
      </c>
      <c r="C36" s="431">
        <f t="shared" ref="C36:K36" si="0">SUM(C9:C35)</f>
        <v>31371917</v>
      </c>
      <c r="D36" s="431">
        <f t="shared" si="0"/>
        <v>37055665</v>
      </c>
      <c r="E36" s="431">
        <f t="shared" si="0"/>
        <v>47797057</v>
      </c>
      <c r="F36" s="431">
        <f t="shared" si="0"/>
        <v>60948423</v>
      </c>
      <c r="G36" s="431">
        <f t="shared" si="0"/>
        <v>47650997</v>
      </c>
      <c r="H36" s="431">
        <f t="shared" si="0"/>
        <v>65373472</v>
      </c>
      <c r="I36" s="431">
        <f t="shared" si="0"/>
        <v>43361517</v>
      </c>
      <c r="J36" s="431">
        <f t="shared" si="0"/>
        <v>42020739</v>
      </c>
      <c r="K36" s="431">
        <f t="shared" si="0"/>
        <v>42878302</v>
      </c>
    </row>
    <row r="37" spans="1:11" ht="15" customHeight="1" thickTop="1"/>
    <row r="38" spans="1:11" ht="15" customHeight="1"/>
    <row r="39" spans="1:11" ht="24" customHeight="1">
      <c r="A39" s="680" t="s">
        <v>638</v>
      </c>
      <c r="B39" s="680"/>
      <c r="C39" s="680"/>
      <c r="D39" s="680"/>
      <c r="E39" s="680"/>
      <c r="F39" s="680"/>
      <c r="G39" s="680"/>
      <c r="H39" s="680"/>
      <c r="I39" s="680"/>
      <c r="J39" s="680"/>
      <c r="K39" s="680"/>
    </row>
    <row r="40" spans="1:11" ht="24" customHeight="1">
      <c r="A40" s="681" t="s">
        <v>1272</v>
      </c>
      <c r="B40" s="681"/>
      <c r="C40" s="681"/>
      <c r="D40" s="681"/>
      <c r="E40" s="681"/>
      <c r="F40" s="681"/>
      <c r="G40" s="681"/>
      <c r="H40" s="681"/>
      <c r="I40" s="681"/>
      <c r="J40" s="681"/>
      <c r="K40" s="681"/>
    </row>
    <row r="41" spans="1:11" ht="24" customHeight="1">
      <c r="A41" s="680" t="s">
        <v>1373</v>
      </c>
      <c r="B41" s="680"/>
      <c r="C41" s="680"/>
      <c r="D41" s="680"/>
      <c r="E41" s="680"/>
      <c r="F41" s="680"/>
      <c r="G41" s="680"/>
      <c r="H41" s="680"/>
      <c r="I41" s="680"/>
      <c r="J41" s="680"/>
      <c r="K41" s="680"/>
    </row>
    <row r="42" spans="1:11" ht="15" customHeight="1"/>
    <row r="43" spans="1:11" ht="15" customHeight="1">
      <c r="C43" s="43"/>
      <c r="D43" s="644"/>
      <c r="E43" s="43" t="s">
        <v>815</v>
      </c>
      <c r="F43" s="644"/>
      <c r="G43" s="43" t="s">
        <v>816</v>
      </c>
      <c r="H43" s="644"/>
      <c r="I43" s="644"/>
      <c r="J43" s="644"/>
      <c r="K43" s="644"/>
    </row>
    <row r="44" spans="1:11" ht="15" customHeight="1">
      <c r="C44" s="43" t="s">
        <v>813</v>
      </c>
      <c r="D44" s="43" t="s">
        <v>814</v>
      </c>
      <c r="E44" s="43" t="s">
        <v>583</v>
      </c>
      <c r="F44" s="43" t="s">
        <v>815</v>
      </c>
      <c r="G44" s="156" t="str">
        <f>'Fund Cover Sheets'!$N$1</f>
        <v>Adopted</v>
      </c>
      <c r="H44" s="43" t="s">
        <v>817</v>
      </c>
      <c r="I44" s="43" t="s">
        <v>818</v>
      </c>
      <c r="J44" s="43" t="s">
        <v>819</v>
      </c>
      <c r="K44" s="43" t="s">
        <v>820</v>
      </c>
    </row>
    <row r="45" spans="1:11" ht="15" customHeight="1" thickBot="1">
      <c r="B45" s="44" t="s">
        <v>639</v>
      </c>
      <c r="C45" s="45" t="s">
        <v>1</v>
      </c>
      <c r="D45" s="45" t="s">
        <v>1</v>
      </c>
      <c r="E45" s="45" t="s">
        <v>553</v>
      </c>
      <c r="F45" s="45" t="s">
        <v>19</v>
      </c>
      <c r="G45" s="45" t="s">
        <v>553</v>
      </c>
      <c r="H45" s="45" t="s">
        <v>19</v>
      </c>
      <c r="I45" s="45" t="s">
        <v>19</v>
      </c>
      <c r="J45" s="45" t="s">
        <v>19</v>
      </c>
      <c r="K45" s="45" t="s">
        <v>19</v>
      </c>
    </row>
    <row r="46" spans="1:11" ht="15" customHeight="1">
      <c r="C46" s="43"/>
      <c r="D46" s="43"/>
      <c r="E46" s="43"/>
      <c r="F46" s="43"/>
      <c r="G46" s="43"/>
      <c r="H46" s="43"/>
      <c r="I46" s="43"/>
      <c r="J46" s="43"/>
    </row>
    <row r="47" spans="1:11" ht="24" customHeight="1">
      <c r="A47" s="46" t="s">
        <v>1426</v>
      </c>
      <c r="C47" s="49">
        <f>'Budget Detail FY 2020-27'!M263+'Budget Detail FY 2020-27'!M261</f>
        <v>16005561</v>
      </c>
      <c r="D47" s="49">
        <f>'Budget Detail FY 2020-27'!N263+'Budget Detail FY 2020-27'!N261</f>
        <v>18033136</v>
      </c>
      <c r="E47" s="49">
        <f>'Budget Detail FY 2020-27'!O263+'Budget Detail FY 2020-27'!O261</f>
        <v>18100270</v>
      </c>
      <c r="F47" s="49">
        <f>'Budget Detail FY 2020-27'!P263+'Budget Detail FY 2020-27'!P261</f>
        <v>22011805.73</v>
      </c>
      <c r="G47" s="49">
        <f>'Budget Detail FY 2020-27'!Q263+'Budget Detail FY 2020-27'!Q261</f>
        <v>22339736</v>
      </c>
      <c r="H47" s="49">
        <f>'Budget Detail FY 2020-27'!R263+'Budget Detail FY 2020-27'!R261</f>
        <v>22408141</v>
      </c>
      <c r="I47" s="49">
        <f>'Budget Detail FY 2020-27'!S263+'Budget Detail FY 2020-27'!S261</f>
        <v>22433812</v>
      </c>
      <c r="J47" s="49">
        <f>'Budget Detail FY 2020-27'!T263+'Budget Detail FY 2020-27'!T261</f>
        <v>23274061</v>
      </c>
      <c r="K47" s="49">
        <f>'Budget Detail FY 2020-27'!U263+'Budget Detail FY 2020-27'!U261</f>
        <v>23600740</v>
      </c>
    </row>
    <row r="48" spans="1:11" ht="15" customHeight="1">
      <c r="A48" s="46"/>
      <c r="C48" s="2"/>
      <c r="D48" s="2"/>
      <c r="E48" s="2"/>
      <c r="F48" s="2"/>
      <c r="G48" s="2"/>
      <c r="H48" s="2"/>
      <c r="I48" s="2"/>
      <c r="J48" s="2"/>
      <c r="K48" s="2"/>
    </row>
    <row r="49" spans="1:11" ht="24" customHeight="1">
      <c r="A49" s="46" t="s">
        <v>641</v>
      </c>
      <c r="C49" s="2"/>
      <c r="D49" s="2"/>
      <c r="E49" s="2"/>
      <c r="F49" s="2"/>
      <c r="G49" s="2"/>
      <c r="H49" s="2"/>
      <c r="I49" s="2"/>
      <c r="J49" s="2"/>
      <c r="K49" s="2"/>
    </row>
    <row r="50" spans="1:11" ht="24" customHeight="1">
      <c r="A50" s="52">
        <v>-15</v>
      </c>
      <c r="B50" s="1" t="s">
        <v>570</v>
      </c>
      <c r="C50" s="2">
        <f>'Budget Detail FY 2020-27'!M326</f>
        <v>725197</v>
      </c>
      <c r="D50" s="2">
        <f>'Budget Detail FY 2020-27'!N326</f>
        <v>840628</v>
      </c>
      <c r="E50" s="2">
        <f>'Budget Detail FY 2020-27'!O326</f>
        <v>2435413</v>
      </c>
      <c r="F50" s="2">
        <f>'Budget Detail FY 2020-27'!P326</f>
        <v>2280413</v>
      </c>
      <c r="G50" s="2">
        <f>'Budget Detail FY 2020-27'!Q326</f>
        <v>1277045</v>
      </c>
      <c r="H50" s="2">
        <f>'Budget Detail FY 2020-27'!R326</f>
        <v>1090000</v>
      </c>
      <c r="I50" s="2">
        <f>'Budget Detail FY 2020-27'!S326</f>
        <v>1040000</v>
      </c>
      <c r="J50" s="2">
        <f>'Budget Detail FY 2020-27'!T326</f>
        <v>1040000</v>
      </c>
      <c r="K50" s="2">
        <f>'Budget Detail FY 2020-27'!U326</f>
        <v>1040000</v>
      </c>
    </row>
    <row r="51" spans="1:11" ht="24" customHeight="1">
      <c r="A51" s="52">
        <v>-79</v>
      </c>
      <c r="B51" s="1" t="s">
        <v>642</v>
      </c>
      <c r="C51" s="2">
        <f>'Budget Detail FY 2020-27'!M945</f>
        <v>2219270</v>
      </c>
      <c r="D51" s="2">
        <f>'Budget Detail FY 2020-27'!N945</f>
        <v>2242984</v>
      </c>
      <c r="E51" s="2">
        <f>'Budget Detail FY 2020-27'!O945</f>
        <v>2801058</v>
      </c>
      <c r="F51" s="2">
        <f>'Budget Detail FY 2020-27'!P945</f>
        <v>2557308</v>
      </c>
      <c r="G51" s="2">
        <f>'Budget Detail FY 2020-27'!Q945</f>
        <v>3055472</v>
      </c>
      <c r="H51" s="2">
        <f>'Budget Detail FY 2020-27'!R945</f>
        <v>3114428</v>
      </c>
      <c r="I51" s="2">
        <f>'Budget Detail FY 2020-27'!S945</f>
        <v>3248602</v>
      </c>
      <c r="J51" s="2">
        <f>'Budget Detail FY 2020-27'!T945</f>
        <v>3329170</v>
      </c>
      <c r="K51" s="2">
        <f>'Budget Detail FY 2020-27'!U945</f>
        <v>3398413</v>
      </c>
    </row>
    <row r="52" spans="1:11" ht="24" customHeight="1">
      <c r="A52" s="52">
        <v>-72</v>
      </c>
      <c r="B52" s="1" t="s">
        <v>483</v>
      </c>
      <c r="C52" s="2">
        <f>'Fund Cover Sheets'!C495</f>
        <v>5035</v>
      </c>
      <c r="D52" s="2">
        <f>'Fund Cover Sheets'!D495</f>
        <v>235673</v>
      </c>
      <c r="E52" s="2">
        <f>'Fund Cover Sheets'!E495</f>
        <v>5000</v>
      </c>
      <c r="F52" s="2">
        <f>'Fund Cover Sheets'!F495</f>
        <v>32267</v>
      </c>
      <c r="G52" s="2">
        <f>'Fund Cover Sheets'!G495</f>
        <v>0</v>
      </c>
      <c r="H52" s="2">
        <f>'Fund Cover Sheets'!H495</f>
        <v>0</v>
      </c>
      <c r="I52" s="2">
        <f>'Fund Cover Sheets'!I495</f>
        <v>0</v>
      </c>
      <c r="J52" s="2">
        <f>'Fund Cover Sheets'!J495</f>
        <v>0</v>
      </c>
      <c r="K52" s="2">
        <f>'Fund Cover Sheets'!K495</f>
        <v>0</v>
      </c>
    </row>
    <row r="53" spans="1:11" ht="24" customHeight="1">
      <c r="A53" s="52">
        <v>-87</v>
      </c>
      <c r="B53" s="1" t="s">
        <v>418</v>
      </c>
      <c r="C53" s="2">
        <f>'Budget Detail FY 2020-27'!M1070</f>
        <v>923209</v>
      </c>
      <c r="D53" s="2">
        <f>'Budget Detail FY 2020-27'!N1070</f>
        <v>220861</v>
      </c>
      <c r="E53" s="2">
        <f>'Budget Detail FY 2020-27'!O1070</f>
        <v>223397</v>
      </c>
      <c r="F53" s="2">
        <f>'Budget Detail FY 2020-27'!P1070</f>
        <v>221858</v>
      </c>
      <c r="G53" s="2">
        <f>'Budget Detail FY 2020-27'!Q1070</f>
        <v>227291</v>
      </c>
      <c r="H53" s="2">
        <f>'Budget Detail FY 2020-27'!R1070</f>
        <v>228400</v>
      </c>
      <c r="I53" s="2">
        <f>'Budget Detail FY 2020-27'!S1070</f>
        <v>227988</v>
      </c>
      <c r="J53" s="2">
        <f>'Budget Detail FY 2020-27'!T1070</f>
        <v>384668</v>
      </c>
      <c r="K53" s="2">
        <f>'Budget Detail FY 2020-27'!U1070</f>
        <v>380033</v>
      </c>
    </row>
    <row r="54" spans="1:11" ht="24" customHeight="1">
      <c r="A54" s="52">
        <v>-88</v>
      </c>
      <c r="B54" s="1" t="s">
        <v>420</v>
      </c>
      <c r="C54" s="2">
        <f>'Budget Detail FY 2020-27'!M1091</f>
        <v>288791</v>
      </c>
      <c r="D54" s="2">
        <f>'Budget Detail FY 2020-27'!N1091</f>
        <v>282057</v>
      </c>
      <c r="E54" s="2">
        <f>'Budget Detail FY 2020-27'!O1091</f>
        <v>291412</v>
      </c>
      <c r="F54" s="2">
        <f>'Budget Detail FY 2020-27'!P1091</f>
        <v>285904</v>
      </c>
      <c r="G54" s="2">
        <f>'Budget Detail FY 2020-27'!Q1091</f>
        <v>87612</v>
      </c>
      <c r="H54" s="2">
        <f>'Budget Detail FY 2020-27'!R1091</f>
        <v>87345</v>
      </c>
      <c r="I54" s="2">
        <f>'Budget Detail FY 2020-27'!S1091</f>
        <v>90322</v>
      </c>
      <c r="J54" s="2">
        <f>'Budget Detail FY 2020-27'!T1091</f>
        <v>93428</v>
      </c>
      <c r="K54" s="2">
        <f>'Budget Detail FY 2020-27'!U1091</f>
        <v>96670</v>
      </c>
    </row>
    <row r="55" spans="1:11" ht="24" customHeight="1">
      <c r="A55" s="52">
        <v>-89</v>
      </c>
      <c r="B55" s="1" t="s">
        <v>1031</v>
      </c>
      <c r="C55" s="2">
        <f>'Fund Cover Sheets'!C739</f>
        <v>96235</v>
      </c>
      <c r="D55" s="2">
        <f>'Fund Cover Sheets'!D739</f>
        <v>22173</v>
      </c>
      <c r="E55" s="2">
        <f>'Fund Cover Sheets'!E739</f>
        <v>30500</v>
      </c>
      <c r="F55" s="2">
        <f>'Fund Cover Sheets'!F739</f>
        <v>37805</v>
      </c>
      <c r="G55" s="2">
        <f>'Fund Cover Sheets'!G739</f>
        <v>30500</v>
      </c>
      <c r="H55" s="2">
        <f>'Fund Cover Sheets'!H739</f>
        <v>13000</v>
      </c>
      <c r="I55" s="2">
        <f>'Fund Cover Sheets'!I739</f>
        <v>19000</v>
      </c>
      <c r="J55" s="2">
        <f>'Fund Cover Sheets'!J739</f>
        <v>18104</v>
      </c>
      <c r="K55" s="2">
        <f>'Fund Cover Sheets'!K739</f>
        <v>18628</v>
      </c>
    </row>
    <row r="56" spans="1:11" ht="24" customHeight="1">
      <c r="A56" s="52">
        <v>-11</v>
      </c>
      <c r="B56" s="1" t="s">
        <v>643</v>
      </c>
      <c r="C56" s="2">
        <f>'Budget Detail FY 2020-27'!M284</f>
        <v>10374</v>
      </c>
      <c r="D56" s="2">
        <f>'Budget Detail FY 2020-27'!N284</f>
        <v>19295</v>
      </c>
      <c r="E56" s="2">
        <f>'Budget Detail FY 2020-27'!O284</f>
        <v>59200</v>
      </c>
      <c r="F56" s="2">
        <f>'Budget Detail FY 2020-27'!P284</f>
        <v>11200</v>
      </c>
      <c r="G56" s="2">
        <f>'Budget Detail FY 2020-27'!Q284</f>
        <v>59200</v>
      </c>
      <c r="H56" s="2">
        <f>'Budget Detail FY 2020-27'!R284</f>
        <v>13640</v>
      </c>
      <c r="I56" s="2">
        <f>'Budget Detail FY 2020-27'!S284</f>
        <v>13640</v>
      </c>
      <c r="J56" s="2">
        <f>'Budget Detail FY 2020-27'!T284</f>
        <v>13640</v>
      </c>
      <c r="K56" s="2">
        <f>'Budget Detail FY 2020-27'!U284</f>
        <v>15368</v>
      </c>
    </row>
    <row r="57" spans="1:11" ht="24" customHeight="1">
      <c r="A57" s="52">
        <v>-12</v>
      </c>
      <c r="B57" s="1" t="s">
        <v>644</v>
      </c>
      <c r="C57" s="2">
        <f>'Budget Detail FY 2020-27'!M302</f>
        <v>11713</v>
      </c>
      <c r="D57" s="2">
        <f>'Budget Detail FY 2020-27'!N302</f>
        <v>12572</v>
      </c>
      <c r="E57" s="2">
        <f>'Budget Detail FY 2020-27'!O302</f>
        <v>17200</v>
      </c>
      <c r="F57" s="2">
        <f>'Budget Detail FY 2020-27'!P302</f>
        <v>15000</v>
      </c>
      <c r="G57" s="2">
        <f>'Budget Detail FY 2020-27'!Q302</f>
        <v>17200</v>
      </c>
      <c r="H57" s="2">
        <f>'Budget Detail FY 2020-27'!R302</f>
        <v>18640</v>
      </c>
      <c r="I57" s="2">
        <f>'Budget Detail FY 2020-27'!S302</f>
        <v>18640</v>
      </c>
      <c r="J57" s="2">
        <f>'Budget Detail FY 2020-27'!T302</f>
        <v>18640</v>
      </c>
      <c r="K57" s="2">
        <f>'Budget Detail FY 2020-27'!U302</f>
        <v>20368</v>
      </c>
    </row>
    <row r="58" spans="1:11">
      <c r="A58" s="622"/>
      <c r="C58" s="2"/>
      <c r="D58" s="2"/>
      <c r="E58" s="2"/>
      <c r="F58" s="2"/>
      <c r="G58" s="2"/>
      <c r="H58" s="2"/>
      <c r="I58" s="2"/>
      <c r="J58" s="2"/>
      <c r="K58" s="2"/>
    </row>
    <row r="59" spans="1:11" ht="24" customHeight="1">
      <c r="A59" s="46" t="s">
        <v>1427</v>
      </c>
      <c r="C59" s="2">
        <f>'Budget Detail FY 2020-27'!M608</f>
        <v>324025</v>
      </c>
      <c r="D59" s="2">
        <f>'Budget Detail FY 2020-27'!N608</f>
        <v>323225</v>
      </c>
      <c r="E59" s="2">
        <f>'Budget Detail FY 2020-27'!O608</f>
        <v>329375</v>
      </c>
      <c r="F59" s="2">
        <f>'Budget Detail FY 2020-27'!P608</f>
        <v>329375</v>
      </c>
      <c r="G59" s="2">
        <f>'Budget Detail FY 2020-27'!Q608</f>
        <v>330075</v>
      </c>
      <c r="H59" s="2">
        <f>'Budget Detail FY 2020-27'!R608</f>
        <v>0</v>
      </c>
      <c r="I59" s="2">
        <f>'Budget Detail FY 2020-27'!S608</f>
        <v>0</v>
      </c>
      <c r="J59" s="2">
        <f>'Budget Detail FY 2020-27'!T608</f>
        <v>0</v>
      </c>
      <c r="K59" s="2">
        <f>'Budget Detail FY 2020-27'!U608</f>
        <v>0</v>
      </c>
    </row>
    <row r="60" spans="1:11">
      <c r="A60" s="46"/>
      <c r="C60" s="2"/>
      <c r="D60" s="2"/>
      <c r="E60" s="2"/>
      <c r="F60" s="2"/>
      <c r="G60" s="2"/>
      <c r="H60" s="2"/>
      <c r="I60" s="2"/>
      <c r="J60" s="2"/>
      <c r="K60" s="2"/>
    </row>
    <row r="61" spans="1:11" ht="24" customHeight="1">
      <c r="A61" s="46" t="s">
        <v>646</v>
      </c>
      <c r="C61" s="2"/>
      <c r="D61" s="2"/>
      <c r="E61" s="2"/>
      <c r="F61" s="2"/>
      <c r="G61" s="2"/>
      <c r="H61" s="2"/>
      <c r="I61" s="2"/>
      <c r="J61" s="2"/>
      <c r="K61" s="2"/>
    </row>
    <row r="62" spans="1:11" ht="24" customHeight="1">
      <c r="A62" s="52">
        <v>-25</v>
      </c>
      <c r="B62" s="1" t="s">
        <v>745</v>
      </c>
      <c r="C62" s="2">
        <f>'Budget Detail FY 2020-27'!M574+'Budget Detail FY 2020-27'!M570+'Budget Detail FY 2020-27'!M554</f>
        <v>1058525</v>
      </c>
      <c r="D62" s="2">
        <f>'Budget Detail FY 2020-27'!N574+'Budget Detail FY 2020-27'!N570+'Budget Detail FY 2020-27'!N554</f>
        <v>564621</v>
      </c>
      <c r="E62" s="2">
        <f>'Budget Detail FY 2020-27'!O574+'Budget Detail FY 2020-27'!O570+'Budget Detail FY 2020-27'!O554</f>
        <v>1877998</v>
      </c>
      <c r="F62" s="2">
        <f>'Budget Detail FY 2020-27'!P574+'Budget Detail FY 2020-27'!P570+'Budget Detail FY 2020-27'!P554</f>
        <v>650139</v>
      </c>
      <c r="G62" s="2">
        <f>'Budget Detail FY 2020-27'!Q574+'Budget Detail FY 2020-27'!Q570+'Budget Detail FY 2020-27'!Q554</f>
        <v>2235223</v>
      </c>
      <c r="H62" s="2">
        <f>'Budget Detail FY 2020-27'!R574+'Budget Detail FY 2020-27'!R570+'Budget Detail FY 2020-27'!R554</f>
        <v>1119388</v>
      </c>
      <c r="I62" s="2">
        <f>'Budget Detail FY 2020-27'!S574+'Budget Detail FY 2020-27'!S570+'Budget Detail FY 2020-27'!S554</f>
        <v>1067898</v>
      </c>
      <c r="J62" s="2">
        <f>'Budget Detail FY 2020-27'!T574+'Budget Detail FY 2020-27'!T570+'Budget Detail FY 2020-27'!T554</f>
        <v>1127353</v>
      </c>
      <c r="K62" s="2">
        <f>'Budget Detail FY 2020-27'!U574+'Budget Detail FY 2020-27'!U570+'Budget Detail FY 2020-27'!U554</f>
        <v>1070106</v>
      </c>
    </row>
    <row r="63" spans="1:11" ht="24" customHeight="1">
      <c r="A63" s="52">
        <v>-23</v>
      </c>
      <c r="B63" s="1" t="s">
        <v>648</v>
      </c>
      <c r="C63" s="2">
        <f>'Budget Detail FY 2020-27'!M420+'Budget Detail FY 2020-27'!M416+'Budget Detail FY 2020-27'!M372</f>
        <v>1361129</v>
      </c>
      <c r="D63" s="2">
        <f>'Budget Detail FY 2020-27'!N420+'Budget Detail FY 2020-27'!N416+'Budget Detail FY 2020-27'!N372</f>
        <v>3359194</v>
      </c>
      <c r="E63" s="2">
        <f>'Budget Detail FY 2020-27'!O420+'Budget Detail FY 2020-27'!O416+'Budget Detail FY 2020-27'!O372</f>
        <v>5545285</v>
      </c>
      <c r="F63" s="2">
        <f>'Budget Detail FY 2020-27'!P420+'Budget Detail FY 2020-27'!P416+'Budget Detail FY 2020-27'!P372</f>
        <v>4494909</v>
      </c>
      <c r="G63" s="2">
        <f>'Budget Detail FY 2020-27'!Q420+'Budget Detail FY 2020-27'!Q416+'Budget Detail FY 2020-27'!Q372</f>
        <v>5592073</v>
      </c>
      <c r="H63" s="2">
        <f>'Budget Detail FY 2020-27'!R420+'Budget Detail FY 2020-27'!R416+'Budget Detail FY 2020-27'!R372</f>
        <v>5342212</v>
      </c>
      <c r="I63" s="2">
        <f>'Budget Detail FY 2020-27'!S420+'Budget Detail FY 2020-27'!S416+'Budget Detail FY 2020-27'!S372</f>
        <v>3693941</v>
      </c>
      <c r="J63" s="2">
        <f>'Budget Detail FY 2020-27'!T420+'Budget Detail FY 2020-27'!T416+'Budget Detail FY 2020-27'!T372</f>
        <v>2090589</v>
      </c>
      <c r="K63" s="2">
        <f>'Budget Detail FY 2020-27'!U420+'Budget Detail FY 2020-27'!U416+'Budget Detail FY 2020-27'!U372</f>
        <v>2145093</v>
      </c>
    </row>
    <row r="64" spans="1:11" s="527" customFormat="1" ht="24" customHeight="1">
      <c r="A64" s="52">
        <v>-24</v>
      </c>
      <c r="B64" s="527" t="s">
        <v>1328</v>
      </c>
      <c r="C64" s="2">
        <f>'Budget Detail FY 2020-27'!M485+'Budget Detail FY 2020-27'!M481</f>
        <v>0</v>
      </c>
      <c r="D64" s="2">
        <f>'Budget Detail FY 2020-27'!N485+'Budget Detail FY 2020-27'!N481</f>
        <v>0</v>
      </c>
      <c r="E64" s="2">
        <f>'Budget Detail FY 2020-27'!O485+'Budget Detail FY 2020-27'!O481</f>
        <v>9584249</v>
      </c>
      <c r="F64" s="2">
        <f>'Budget Detail FY 2020-27'!P485+'Budget Detail FY 2020-27'!P481</f>
        <v>3005128</v>
      </c>
      <c r="G64" s="2">
        <f>'Budget Detail FY 2020-27'!Q485+'Budget Detail FY 2020-27'!Q481</f>
        <v>10871560</v>
      </c>
      <c r="H64" s="2">
        <f>'Budget Detail FY 2020-27'!R485+'Budget Detail FY 2020-27'!R481</f>
        <v>11320831</v>
      </c>
      <c r="I64" s="2">
        <f>'Budget Detail FY 2020-27'!S485+'Budget Detail FY 2020-27'!S481</f>
        <v>12786272</v>
      </c>
      <c r="J64" s="2">
        <f>'Budget Detail FY 2020-27'!T485+'Budget Detail FY 2020-27'!T481</f>
        <v>2293205</v>
      </c>
      <c r="K64" s="2">
        <f>'Budget Detail FY 2020-27'!U485+'Budget Detail FY 2020-27'!U481</f>
        <v>2040411</v>
      </c>
    </row>
    <row r="65" spans="1:11">
      <c r="A65" s="622"/>
      <c r="C65" s="2"/>
      <c r="D65" s="2"/>
      <c r="E65" s="2"/>
      <c r="F65" s="2"/>
      <c r="G65" s="2"/>
      <c r="H65" s="2"/>
      <c r="I65" s="2"/>
      <c r="J65" s="2"/>
      <c r="K65" s="2"/>
    </row>
    <row r="66" spans="1:11" ht="24" customHeight="1">
      <c r="A66" s="46" t="s">
        <v>649</v>
      </c>
      <c r="C66" s="2"/>
      <c r="D66" s="2"/>
      <c r="E66" s="2"/>
      <c r="F66" s="2"/>
      <c r="G66" s="2"/>
      <c r="H66" s="2"/>
      <c r="I66" s="2"/>
      <c r="J66" s="2"/>
      <c r="K66" s="2"/>
    </row>
    <row r="67" spans="1:11" ht="24" customHeight="1">
      <c r="A67" s="52">
        <v>-51</v>
      </c>
      <c r="B67" s="1" t="s">
        <v>481</v>
      </c>
      <c r="C67" s="2">
        <f>'Budget Detail FY 2020-27'!M711+'Budget Detail FY 2020-27'!M713</f>
        <v>5024758</v>
      </c>
      <c r="D67" s="2">
        <f>'Budget Detail FY 2020-27'!N711+'Budget Detail FY 2020-27'!N713</f>
        <v>4712847</v>
      </c>
      <c r="E67" s="2">
        <f>'Budget Detail FY 2020-27'!O711+'Budget Detail FY 2020-27'!O713</f>
        <v>6081733</v>
      </c>
      <c r="F67" s="2">
        <f>'Budget Detail FY 2020-27'!P711+'Budget Detail FY 2020-27'!P713</f>
        <v>5485147</v>
      </c>
      <c r="G67" s="2">
        <f>'Budget Detail FY 2020-27'!Q711+'Budget Detail FY 2020-27'!Q713</f>
        <v>7693103</v>
      </c>
      <c r="H67" s="2">
        <f>'Budget Detail FY 2020-27'!R711+'Budget Detail FY 2020-27'!R713</f>
        <v>6895474</v>
      </c>
      <c r="I67" s="2">
        <f>'Budget Detail FY 2020-27'!S711+'Budget Detail FY 2020-27'!S713</f>
        <v>7361072</v>
      </c>
      <c r="J67" s="2">
        <f>'Budget Detail FY 2020-27'!T711+'Budget Detail FY 2020-27'!T713</f>
        <v>5166998</v>
      </c>
      <c r="K67" s="2">
        <f>'Budget Detail FY 2020-27'!U711+'Budget Detail FY 2020-27'!U713</f>
        <v>4443489</v>
      </c>
    </row>
    <row r="68" spans="1:11" ht="24" customHeight="1">
      <c r="A68" s="52">
        <v>-52</v>
      </c>
      <c r="B68" s="1" t="s">
        <v>482</v>
      </c>
      <c r="C68" s="2">
        <f>'Budget Detail FY 2020-27'!M817+'Budget Detail FY 2020-27'!M815</f>
        <v>2105121</v>
      </c>
      <c r="D68" s="2">
        <f>'Budget Detail FY 2020-27'!N817+'Budget Detail FY 2020-27'!N815</f>
        <v>2269514</v>
      </c>
      <c r="E68" s="2">
        <f>'Budget Detail FY 2020-27'!O817+'Budget Detail FY 2020-27'!O815</f>
        <v>2428579</v>
      </c>
      <c r="F68" s="2">
        <f>'Budget Detail FY 2020-27'!P817+'Budget Detail FY 2020-27'!P815</f>
        <v>6324787</v>
      </c>
      <c r="G68" s="2">
        <f>'Budget Detail FY 2020-27'!Q817+'Budget Detail FY 2020-27'!Q815</f>
        <v>5995546</v>
      </c>
      <c r="H68" s="2">
        <f>'Budget Detail FY 2020-27'!R817+'Budget Detail FY 2020-27'!R815</f>
        <v>2977088</v>
      </c>
      <c r="I68" s="2">
        <f>'Budget Detail FY 2020-27'!S817+'Budget Detail FY 2020-27'!S815</f>
        <v>3417333</v>
      </c>
      <c r="J68" s="2">
        <f>'Budget Detail FY 2020-27'!T817+'Budget Detail FY 2020-27'!T815</f>
        <v>2807057</v>
      </c>
      <c r="K68" s="2">
        <f>'Budget Detail FY 2020-27'!U817+'Budget Detail FY 2020-27'!U815</f>
        <v>1754656</v>
      </c>
    </row>
    <row r="69" spans="1:11">
      <c r="A69" s="622"/>
      <c r="C69" s="2"/>
      <c r="D69" s="2"/>
      <c r="E69" s="2"/>
      <c r="F69" s="2"/>
      <c r="G69" s="2"/>
      <c r="H69" s="2"/>
      <c r="I69" s="2"/>
      <c r="J69" s="2"/>
      <c r="K69" s="2"/>
    </row>
    <row r="70" spans="1:11" ht="24" customHeight="1">
      <c r="A70" s="46" t="s">
        <v>650</v>
      </c>
      <c r="C70" s="2"/>
      <c r="D70" s="2"/>
      <c r="E70" s="2"/>
      <c r="F70" s="2"/>
      <c r="G70" s="2"/>
      <c r="H70" s="2"/>
      <c r="I70" s="2"/>
      <c r="J70" s="2"/>
      <c r="K70" s="2"/>
    </row>
    <row r="71" spans="1:11" ht="24" customHeight="1">
      <c r="A71" s="52">
        <v>-82</v>
      </c>
      <c r="B71" s="1" t="s">
        <v>475</v>
      </c>
      <c r="C71" s="2">
        <f>'Budget Detail FY 2020-27'!M1017</f>
        <v>1564096</v>
      </c>
      <c r="D71" s="2">
        <f>'Budget Detail FY 2020-27'!N1017</f>
        <v>1568867</v>
      </c>
      <c r="E71" s="2">
        <f>'Budget Detail FY 2020-27'!O1017</f>
        <v>1709443</v>
      </c>
      <c r="F71" s="2">
        <f>'Budget Detail FY 2020-27'!P1017</f>
        <v>1659817</v>
      </c>
      <c r="G71" s="2">
        <f>'Budget Detail FY 2020-27'!Q1017</f>
        <v>1748820</v>
      </c>
      <c r="H71" s="2">
        <f>'Budget Detail FY 2020-27'!R1017</f>
        <v>1811884</v>
      </c>
      <c r="I71" s="2">
        <f>'Budget Detail FY 2020-27'!S1017</f>
        <v>1845467</v>
      </c>
      <c r="J71" s="2">
        <f>'Budget Detail FY 2020-27'!T1017</f>
        <v>1016353</v>
      </c>
      <c r="K71" s="2">
        <f>'Budget Detail FY 2020-27'!U1017</f>
        <v>1051193</v>
      </c>
    </row>
    <row r="72" spans="1:11" ht="24" customHeight="1">
      <c r="A72" s="52">
        <v>-84</v>
      </c>
      <c r="B72" s="1" t="s">
        <v>651</v>
      </c>
      <c r="C72" s="2">
        <f>'Budget Detail FY 2020-27'!M1047</f>
        <v>69330</v>
      </c>
      <c r="D72" s="2">
        <f>'Budget Detail FY 2020-27'!N1047</f>
        <v>59209</v>
      </c>
      <c r="E72" s="2">
        <f>'Budget Detail FY 2020-27'!O1047</f>
        <v>95500</v>
      </c>
      <c r="F72" s="2">
        <f>'Budget Detail FY 2020-27'!P1047</f>
        <v>98516</v>
      </c>
      <c r="G72" s="2">
        <f>'Budget Detail FY 2020-27'!Q1047</f>
        <v>85500</v>
      </c>
      <c r="H72" s="2">
        <f>'Budget Detail FY 2020-27'!R1047</f>
        <v>85500</v>
      </c>
      <c r="I72" s="2">
        <f>'Budget Detail FY 2020-27'!S1047</f>
        <v>85500</v>
      </c>
      <c r="J72" s="2">
        <f>'Budget Detail FY 2020-27'!T1047</f>
        <v>85500</v>
      </c>
      <c r="K72" s="2">
        <f>'Budget Detail FY 2020-27'!U1047</f>
        <v>61410</v>
      </c>
    </row>
    <row r="73" spans="1:11">
      <c r="C73" s="2"/>
      <c r="D73" s="2"/>
      <c r="E73" s="2"/>
      <c r="F73" s="2"/>
      <c r="G73" s="2"/>
      <c r="H73" s="2"/>
      <c r="I73" s="2"/>
      <c r="J73" s="2"/>
      <c r="K73" s="2"/>
    </row>
    <row r="74" spans="1:11" ht="24" customHeight="1" thickBot="1">
      <c r="A74" s="6"/>
      <c r="B74" s="47" t="s">
        <v>1258</v>
      </c>
      <c r="C74" s="431">
        <f>SUM(C47:C73)</f>
        <v>31792369</v>
      </c>
      <c r="D74" s="431">
        <f t="shared" ref="D74:K74" si="1">SUM(D47:D73)</f>
        <v>34766856</v>
      </c>
      <c r="E74" s="431">
        <f t="shared" si="1"/>
        <v>51615612</v>
      </c>
      <c r="F74" s="431">
        <f t="shared" si="1"/>
        <v>49501378.730000004</v>
      </c>
      <c r="G74" s="431">
        <f t="shared" si="1"/>
        <v>61645956</v>
      </c>
      <c r="H74" s="431">
        <f t="shared" si="1"/>
        <v>56525971</v>
      </c>
      <c r="I74" s="431">
        <f t="shared" si="1"/>
        <v>57349487</v>
      </c>
      <c r="J74" s="431">
        <f t="shared" si="1"/>
        <v>42758766</v>
      </c>
      <c r="K74" s="431">
        <f t="shared" si="1"/>
        <v>41136578</v>
      </c>
    </row>
    <row r="75" spans="1:11" ht="14.4" thickTop="1"/>
    <row r="405" spans="14:19">
      <c r="N405" s="1">
        <v>6000</v>
      </c>
      <c r="O405" s="341">
        <v>6000</v>
      </c>
      <c r="P405" s="341">
        <v>6000</v>
      </c>
      <c r="Q405" s="341">
        <v>6000</v>
      </c>
      <c r="R405" s="341">
        <v>6000</v>
      </c>
    </row>
    <row r="407" spans="14:19">
      <c r="S407" s="1" t="s">
        <v>1157</v>
      </c>
    </row>
  </sheetData>
  <mergeCells count="6">
    <mergeCell ref="A41:K41"/>
    <mergeCell ref="A1:K1"/>
    <mergeCell ref="A2:K2"/>
    <mergeCell ref="A3:K3"/>
    <mergeCell ref="A39:K39"/>
    <mergeCell ref="A40:K40"/>
  </mergeCells>
  <phoneticPr fontId="55" type="noConversion"/>
  <printOptions horizontalCentered="1"/>
  <pageMargins left="0" right="0" top="0.25" bottom="0.25" header="0" footer="0"/>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9"/>
  <sheetViews>
    <sheetView zoomScale="75" zoomScaleNormal="75" workbookViewId="0">
      <selection activeCell="A2" sqref="A2:L2"/>
    </sheetView>
  </sheetViews>
  <sheetFormatPr defaultColWidth="10.44140625" defaultRowHeight="13.8"/>
  <cols>
    <col min="1" max="1" width="6" style="1" customWidth="1"/>
    <col min="2" max="2" width="25.88671875" style="1" customWidth="1"/>
    <col min="3" max="3" width="14.6640625" style="1" customWidth="1"/>
    <col min="4" max="4" width="14.33203125" style="1" bestFit="1" customWidth="1"/>
    <col min="5" max="6" width="13.6640625" style="1" customWidth="1"/>
    <col min="7" max="7" width="14.33203125" style="1" bestFit="1" customWidth="1"/>
    <col min="8" max="10" width="13.6640625" style="1" customWidth="1"/>
    <col min="11" max="11" width="17.33203125" style="1" bestFit="1" customWidth="1"/>
    <col min="12" max="12" width="14.33203125" style="1" bestFit="1" customWidth="1"/>
    <col min="13" max="13" width="14.6640625" style="1" customWidth="1"/>
    <col min="14" max="16384" width="10.44140625" style="1"/>
  </cols>
  <sheetData>
    <row r="1" spans="1:13" ht="24" customHeight="1">
      <c r="A1" s="680" t="s">
        <v>638</v>
      </c>
      <c r="B1" s="680"/>
      <c r="C1" s="680"/>
      <c r="D1" s="680"/>
      <c r="E1" s="680"/>
      <c r="F1" s="680"/>
      <c r="G1" s="680"/>
      <c r="H1" s="680"/>
      <c r="I1" s="680"/>
      <c r="J1" s="680"/>
      <c r="K1" s="680"/>
      <c r="L1" s="680"/>
      <c r="M1" s="655"/>
    </row>
    <row r="2" spans="1:13" ht="24" customHeight="1">
      <c r="A2" s="681" t="s">
        <v>1265</v>
      </c>
      <c r="B2" s="681"/>
      <c r="C2" s="681"/>
      <c r="D2" s="681"/>
      <c r="E2" s="681"/>
      <c r="F2" s="681"/>
      <c r="G2" s="681"/>
      <c r="H2" s="681"/>
      <c r="I2" s="681"/>
      <c r="J2" s="681"/>
      <c r="K2" s="681"/>
      <c r="L2" s="681"/>
      <c r="M2" s="656"/>
    </row>
    <row r="3" spans="1:13" ht="24" customHeight="1">
      <c r="A3" s="680" t="s">
        <v>1374</v>
      </c>
      <c r="B3" s="680"/>
      <c r="C3" s="680"/>
      <c r="D3" s="680"/>
      <c r="E3" s="680"/>
      <c r="F3" s="680"/>
      <c r="G3" s="680"/>
      <c r="H3" s="680"/>
      <c r="I3" s="680"/>
      <c r="J3" s="680"/>
      <c r="K3" s="680"/>
      <c r="L3" s="680"/>
      <c r="M3" s="655"/>
    </row>
    <row r="4" spans="1:13" ht="15" customHeight="1"/>
    <row r="5" spans="1:13" ht="15" customHeight="1">
      <c r="K5" s="43" t="s">
        <v>652</v>
      </c>
    </row>
    <row r="6" spans="1:13" ht="15" customHeight="1">
      <c r="D6" s="43" t="s">
        <v>653</v>
      </c>
      <c r="E6" s="43" t="s">
        <v>654</v>
      </c>
      <c r="F6" s="43" t="s">
        <v>655</v>
      </c>
      <c r="G6" s="43" t="s">
        <v>656</v>
      </c>
      <c r="H6" s="43" t="s">
        <v>657</v>
      </c>
      <c r="I6" s="43" t="s">
        <v>658</v>
      </c>
      <c r="J6" s="43" t="s">
        <v>659</v>
      </c>
      <c r="K6" s="43" t="s">
        <v>660</v>
      </c>
      <c r="L6" s="43" t="s">
        <v>661</v>
      </c>
    </row>
    <row r="7" spans="1:13" ht="15" customHeight="1" thickBot="1">
      <c r="A7" s="44"/>
      <c r="B7" s="44" t="s">
        <v>639</v>
      </c>
      <c r="C7" s="50" t="s">
        <v>584</v>
      </c>
      <c r="D7" s="50" t="s">
        <v>662</v>
      </c>
      <c r="E7" s="45" t="s">
        <v>663</v>
      </c>
      <c r="F7" s="45" t="s">
        <v>664</v>
      </c>
      <c r="G7" s="45" t="s">
        <v>665</v>
      </c>
      <c r="H7" s="45" t="s">
        <v>666</v>
      </c>
      <c r="I7" s="45" t="s">
        <v>667</v>
      </c>
      <c r="J7" s="45" t="s">
        <v>668</v>
      </c>
      <c r="K7" s="45" t="s">
        <v>669</v>
      </c>
      <c r="L7" s="45" t="s">
        <v>670</v>
      </c>
    </row>
    <row r="8" spans="1:13" ht="15" customHeight="1">
      <c r="C8" s="51"/>
      <c r="D8" s="51"/>
      <c r="E8" s="43"/>
      <c r="F8" s="43"/>
      <c r="G8" s="43"/>
      <c r="H8" s="43"/>
      <c r="I8" s="43"/>
      <c r="J8" s="43"/>
      <c r="K8" s="43"/>
      <c r="L8" s="43"/>
    </row>
    <row r="9" spans="1:13" ht="15" customHeight="1"/>
    <row r="10" spans="1:13" ht="24" customHeight="1">
      <c r="A10" s="46" t="s">
        <v>1426</v>
      </c>
      <c r="C10" s="49">
        <f>'Fund Cover Sheets'!G11</f>
        <v>14316507</v>
      </c>
      <c r="D10" s="49">
        <f>'Fund Cover Sheets'!G12</f>
        <v>5282917</v>
      </c>
      <c r="E10" s="49">
        <f>'Fund Cover Sheets'!G13</f>
        <v>574500</v>
      </c>
      <c r="F10" s="49">
        <f>'Fund Cover Sheets'!G14</f>
        <v>115350</v>
      </c>
      <c r="G10" s="49">
        <f>'Fund Cover Sheets'!G15</f>
        <v>1950962</v>
      </c>
      <c r="H10" s="49">
        <f>'Fund Cover Sheets'!G16</f>
        <v>7500</v>
      </c>
      <c r="I10" s="49">
        <f>'Fund Cover Sheets'!G17</f>
        <v>30000</v>
      </c>
      <c r="J10" s="49">
        <f>'Fund Cover Sheets'!G18</f>
        <v>62000</v>
      </c>
      <c r="K10" s="49">
        <f>'Fund Cover Sheets'!G21</f>
        <v>0</v>
      </c>
      <c r="L10" s="49">
        <f>SUM(C10:K10)</f>
        <v>22339736</v>
      </c>
    </row>
    <row r="11" spans="1:13" ht="15" customHeight="1">
      <c r="A11" s="46"/>
      <c r="C11" s="2"/>
      <c r="D11" s="2"/>
      <c r="E11" s="2"/>
      <c r="F11" s="2"/>
      <c r="G11" s="2"/>
      <c r="H11" s="2"/>
      <c r="I11" s="2"/>
      <c r="J11" s="2"/>
      <c r="K11" s="2"/>
      <c r="L11" s="2"/>
    </row>
    <row r="12" spans="1:13" ht="24" customHeight="1">
      <c r="A12" s="46" t="s">
        <v>641</v>
      </c>
      <c r="C12" s="2"/>
      <c r="D12" s="2"/>
      <c r="E12" s="2"/>
      <c r="F12" s="2"/>
      <c r="G12" s="2"/>
      <c r="H12" s="2"/>
      <c r="I12" s="2"/>
      <c r="J12" s="2"/>
      <c r="K12" s="2"/>
      <c r="L12" s="2"/>
    </row>
    <row r="13" spans="1:13" ht="24" customHeight="1">
      <c r="A13" s="52">
        <v>-15</v>
      </c>
      <c r="B13" s="1" t="s">
        <v>570</v>
      </c>
      <c r="C13" s="2">
        <v>0</v>
      </c>
      <c r="D13" s="2">
        <f>'Fund Cover Sheets'!G131</f>
        <v>1175560</v>
      </c>
      <c r="E13" s="2">
        <v>0</v>
      </c>
      <c r="F13" s="2">
        <v>0</v>
      </c>
      <c r="G13" s="2">
        <v>0</v>
      </c>
      <c r="H13" s="2">
        <f>'Fund Cover Sheets'!G132</f>
        <v>1000</v>
      </c>
      <c r="I13" s="2">
        <v>0</v>
      </c>
      <c r="J13" s="2">
        <v>0</v>
      </c>
      <c r="K13" s="2">
        <v>0</v>
      </c>
      <c r="L13" s="2">
        <f t="shared" ref="L13:L20" si="0">SUM(C13:K13)</f>
        <v>1176560</v>
      </c>
    </row>
    <row r="14" spans="1:13" ht="24" customHeight="1">
      <c r="A14" s="52">
        <v>-79</v>
      </c>
      <c r="B14" s="1" t="s">
        <v>642</v>
      </c>
      <c r="C14" s="2">
        <v>0</v>
      </c>
      <c r="D14" s="2">
        <f>'Fund Cover Sheets'!G526</f>
        <v>0</v>
      </c>
      <c r="E14" s="2">
        <v>0</v>
      </c>
      <c r="F14" s="2">
        <v>0</v>
      </c>
      <c r="G14" s="2">
        <f>'Fund Cover Sheets'!G527</f>
        <v>650000</v>
      </c>
      <c r="H14" s="2">
        <f>'Fund Cover Sheets'!G528</f>
        <v>150</v>
      </c>
      <c r="I14" s="2">
        <f>'Fund Cover Sheets'!G529</f>
        <v>0</v>
      </c>
      <c r="J14" s="2">
        <f>'Fund Cover Sheets'!G530</f>
        <v>225781</v>
      </c>
      <c r="K14" s="2">
        <f>'Fund Cover Sheets'!G533</f>
        <v>2179541</v>
      </c>
      <c r="L14" s="2">
        <f t="shared" si="0"/>
        <v>3055472</v>
      </c>
    </row>
    <row r="15" spans="1:13" ht="24" customHeight="1">
      <c r="A15" s="52">
        <v>-72</v>
      </c>
      <c r="B15" s="1" t="s">
        <v>483</v>
      </c>
      <c r="C15" s="2">
        <v>0</v>
      </c>
      <c r="D15" s="2">
        <v>0</v>
      </c>
      <c r="E15" s="2">
        <v>0</v>
      </c>
      <c r="F15" s="2">
        <v>0</v>
      </c>
      <c r="G15" s="2">
        <v>0</v>
      </c>
      <c r="H15" s="2">
        <v>0</v>
      </c>
      <c r="I15" s="2">
        <v>0</v>
      </c>
      <c r="J15" s="2">
        <v>0</v>
      </c>
      <c r="K15" s="2">
        <v>0</v>
      </c>
      <c r="L15" s="2">
        <f t="shared" si="0"/>
        <v>0</v>
      </c>
    </row>
    <row r="16" spans="1:13" ht="24" customHeight="1">
      <c r="A16" s="52">
        <v>-87</v>
      </c>
      <c r="B16" s="1" t="s">
        <v>418</v>
      </c>
      <c r="C16" s="2">
        <f>'Fund Cover Sheets'!G659</f>
        <v>232133</v>
      </c>
      <c r="D16" s="2">
        <v>0</v>
      </c>
      <c r="E16" s="2">
        <v>0</v>
      </c>
      <c r="F16" s="2">
        <v>0</v>
      </c>
      <c r="G16" s="2">
        <v>0</v>
      </c>
      <c r="H16" s="2">
        <v>0</v>
      </c>
      <c r="I16" s="2">
        <v>0</v>
      </c>
      <c r="J16" s="2">
        <v>0</v>
      </c>
      <c r="K16" s="2">
        <v>0</v>
      </c>
      <c r="L16" s="2">
        <f t="shared" si="0"/>
        <v>232133</v>
      </c>
    </row>
    <row r="17" spans="1:12" ht="24" customHeight="1">
      <c r="A17" s="52">
        <v>-88</v>
      </c>
      <c r="B17" s="1" t="s">
        <v>420</v>
      </c>
      <c r="C17" s="2">
        <f>'Fund Cover Sheets'!G694</f>
        <v>96000</v>
      </c>
      <c r="D17" s="2">
        <v>0</v>
      </c>
      <c r="E17" s="2">
        <v>0</v>
      </c>
      <c r="F17" s="2">
        <v>0</v>
      </c>
      <c r="G17" s="2">
        <v>0</v>
      </c>
      <c r="H17" s="2">
        <v>0</v>
      </c>
      <c r="I17" s="2">
        <v>0</v>
      </c>
      <c r="J17" s="2">
        <v>0</v>
      </c>
      <c r="K17" s="2">
        <v>0</v>
      </c>
      <c r="L17" s="2">
        <f t="shared" si="0"/>
        <v>96000</v>
      </c>
    </row>
    <row r="18" spans="1:12" ht="24" customHeight="1">
      <c r="A18" s="52">
        <v>-89</v>
      </c>
      <c r="B18" s="1" t="s">
        <v>1031</v>
      </c>
      <c r="C18" s="2">
        <f>'Fund Cover Sheets'!G730</f>
        <v>99353</v>
      </c>
      <c r="D18" s="2">
        <v>0</v>
      </c>
      <c r="E18" s="2">
        <v>0</v>
      </c>
      <c r="F18" s="2">
        <v>0</v>
      </c>
      <c r="G18" s="2">
        <v>0</v>
      </c>
      <c r="H18" s="2">
        <v>0</v>
      </c>
      <c r="I18" s="2">
        <v>0</v>
      </c>
      <c r="J18" s="2">
        <v>0</v>
      </c>
      <c r="K18" s="2">
        <v>0</v>
      </c>
      <c r="L18" s="2">
        <f t="shared" si="0"/>
        <v>99353</v>
      </c>
    </row>
    <row r="19" spans="1:12" ht="24" customHeight="1">
      <c r="A19" s="52">
        <v>-11</v>
      </c>
      <c r="B19" s="1" t="s">
        <v>643</v>
      </c>
      <c r="C19" s="2">
        <f>'Fund Cover Sheets'!G62</f>
        <v>21500</v>
      </c>
      <c r="D19" s="2">
        <v>0</v>
      </c>
      <c r="E19" s="2">
        <v>0</v>
      </c>
      <c r="F19" s="2">
        <v>0</v>
      </c>
      <c r="G19" s="2">
        <v>0</v>
      </c>
      <c r="H19" s="2">
        <v>0</v>
      </c>
      <c r="I19" s="2">
        <v>0</v>
      </c>
      <c r="J19" s="2">
        <v>0</v>
      </c>
      <c r="K19" s="2">
        <v>0</v>
      </c>
      <c r="L19" s="2">
        <f t="shared" si="0"/>
        <v>21500</v>
      </c>
    </row>
    <row r="20" spans="1:12" ht="24" customHeight="1">
      <c r="A20" s="52">
        <v>-12</v>
      </c>
      <c r="B20" s="1" t="s">
        <v>644</v>
      </c>
      <c r="C20" s="2">
        <f>'Fund Cover Sheets'!G97</f>
        <v>21000</v>
      </c>
      <c r="D20" s="2">
        <v>0</v>
      </c>
      <c r="E20" s="2">
        <v>0</v>
      </c>
      <c r="F20" s="2">
        <v>0</v>
      </c>
      <c r="G20" s="2">
        <v>0</v>
      </c>
      <c r="H20" s="2">
        <v>0</v>
      </c>
      <c r="I20" s="2">
        <v>0</v>
      </c>
      <c r="J20" s="2">
        <v>0</v>
      </c>
      <c r="K20" s="2">
        <v>0</v>
      </c>
      <c r="L20" s="2">
        <f t="shared" si="0"/>
        <v>21000</v>
      </c>
    </row>
    <row r="21" spans="1:12">
      <c r="A21" s="622"/>
      <c r="C21" s="2"/>
      <c r="D21" s="2"/>
      <c r="E21" s="2"/>
      <c r="F21" s="2"/>
      <c r="G21" s="2"/>
      <c r="H21" s="2"/>
      <c r="I21" s="2"/>
      <c r="J21" s="2"/>
      <c r="K21" s="2"/>
      <c r="L21" s="2"/>
    </row>
    <row r="22" spans="1:12" ht="24" customHeight="1">
      <c r="A22" s="46" t="s">
        <v>1427</v>
      </c>
      <c r="C22" s="2">
        <v>0</v>
      </c>
      <c r="D22" s="2">
        <v>0</v>
      </c>
      <c r="E22" s="2">
        <f>'Fund Cover Sheets'!G345</f>
        <v>8000</v>
      </c>
      <c r="F22" s="2">
        <v>0</v>
      </c>
      <c r="G22" s="2">
        <v>0</v>
      </c>
      <c r="H22" s="2">
        <v>0</v>
      </c>
      <c r="I22" s="2">
        <v>0</v>
      </c>
      <c r="J22" s="2">
        <v>0</v>
      </c>
      <c r="K22" s="2">
        <f>'Fund Cover Sheets'!G348</f>
        <v>322075</v>
      </c>
      <c r="L22" s="2">
        <f>SUM(C22:K22)</f>
        <v>330075</v>
      </c>
    </row>
    <row r="23" spans="1:12" ht="15" customHeight="1">
      <c r="A23" s="46"/>
      <c r="C23" s="2"/>
      <c r="D23" s="2"/>
      <c r="E23" s="2"/>
      <c r="F23" s="2"/>
      <c r="G23" s="2"/>
      <c r="H23" s="2"/>
      <c r="I23" s="2"/>
      <c r="J23" s="2"/>
      <c r="K23" s="2"/>
      <c r="L23" s="2"/>
    </row>
    <row r="24" spans="1:12" ht="24" customHeight="1">
      <c r="A24" s="46" t="s">
        <v>646</v>
      </c>
      <c r="C24" s="2"/>
      <c r="D24" s="2"/>
      <c r="E24" s="2"/>
      <c r="F24" s="2"/>
      <c r="G24" s="2"/>
      <c r="H24" s="2"/>
      <c r="I24" s="2"/>
      <c r="J24" s="2"/>
      <c r="K24" s="2"/>
      <c r="L24" s="2"/>
    </row>
    <row r="25" spans="1:12" ht="24" customHeight="1">
      <c r="A25" s="52">
        <v>-25</v>
      </c>
      <c r="B25" s="1" t="s">
        <v>745</v>
      </c>
      <c r="C25" s="2">
        <v>0</v>
      </c>
      <c r="D25" s="2">
        <v>0</v>
      </c>
      <c r="E25" s="2">
        <f>'Fund Cover Sheets'!G270</f>
        <v>110500</v>
      </c>
      <c r="F25" s="2">
        <f>'Fund Cover Sheets'!G271</f>
        <v>6800</v>
      </c>
      <c r="G25" s="2">
        <f>'Fund Cover Sheets'!G272</f>
        <v>896070</v>
      </c>
      <c r="H25" s="2">
        <f>'Fund Cover Sheets'!G273</f>
        <v>0</v>
      </c>
      <c r="I25" s="2">
        <f>'Fund Cover Sheets'!G274</f>
        <v>40000</v>
      </c>
      <c r="J25" s="2">
        <f>'Fund Cover Sheets'!G275</f>
        <v>500</v>
      </c>
      <c r="K25" s="2">
        <f>'Fund Cover Sheets'!G278</f>
        <v>52000</v>
      </c>
      <c r="L25" s="2">
        <f>SUM(C25:K25)</f>
        <v>1105870</v>
      </c>
    </row>
    <row r="26" spans="1:12" ht="24" customHeight="1">
      <c r="A26" s="52">
        <v>-23</v>
      </c>
      <c r="B26" s="1" t="s">
        <v>648</v>
      </c>
      <c r="C26" s="2">
        <v>0</v>
      </c>
      <c r="D26" s="2">
        <f>'Fund Cover Sheets'!G168</f>
        <v>1174620</v>
      </c>
      <c r="E26" s="5">
        <f>'Fund Cover Sheets'!G169</f>
        <v>52500</v>
      </c>
      <c r="F26" s="2">
        <v>0</v>
      </c>
      <c r="G26" s="2">
        <f>'Fund Cover Sheets'!G170</f>
        <v>846600</v>
      </c>
      <c r="H26" s="2">
        <f>'Fund Cover Sheets'!G171</f>
        <v>150</v>
      </c>
      <c r="I26" s="2">
        <f>'Fund Cover Sheets'!G172</f>
        <v>1117000</v>
      </c>
      <c r="J26" s="2">
        <f>'Fund Cover Sheets'!G173</f>
        <v>0</v>
      </c>
      <c r="K26" s="2">
        <f>'Fund Cover Sheets'!G176</f>
        <v>804352</v>
      </c>
      <c r="L26" s="2">
        <f>SUM(C26:K26)</f>
        <v>3995222</v>
      </c>
    </row>
    <row r="27" spans="1:12" s="535" customFormat="1" ht="24" customHeight="1">
      <c r="A27" s="52">
        <v>-24</v>
      </c>
      <c r="B27" s="535" t="s">
        <v>1328</v>
      </c>
      <c r="C27" s="2">
        <v>0</v>
      </c>
      <c r="D27" s="2">
        <v>0</v>
      </c>
      <c r="E27" s="5">
        <f>'Fund Cover Sheets'!G218</f>
        <v>30000</v>
      </c>
      <c r="F27" s="2">
        <v>0</v>
      </c>
      <c r="G27" s="2">
        <f>'Fund Cover Sheets'!G219</f>
        <v>199586</v>
      </c>
      <c r="H27" s="2">
        <f>'Fund Cover Sheets'!G220</f>
        <v>1200</v>
      </c>
      <c r="I27" s="2">
        <v>0</v>
      </c>
      <c r="J27" s="2">
        <f>'Fund Cover Sheets'!G221</f>
        <v>0</v>
      </c>
      <c r="K27" s="2">
        <f>'Fund Cover Sheets'!G224</f>
        <v>776443</v>
      </c>
      <c r="L27" s="2">
        <f>SUM(C27:K27)</f>
        <v>1007229</v>
      </c>
    </row>
    <row r="28" spans="1:12">
      <c r="A28" s="622"/>
      <c r="C28" s="2"/>
      <c r="D28" s="2"/>
      <c r="E28" s="5"/>
      <c r="F28" s="2"/>
      <c r="G28" s="2"/>
      <c r="H28" s="2"/>
      <c r="I28" s="2"/>
      <c r="J28" s="2"/>
      <c r="K28" s="2"/>
      <c r="L28" s="2"/>
    </row>
    <row r="29" spans="1:12" ht="24" customHeight="1">
      <c r="A29" s="46" t="s">
        <v>649</v>
      </c>
      <c r="C29" s="2"/>
      <c r="D29" s="2"/>
      <c r="E29" s="2"/>
      <c r="F29" s="2"/>
      <c r="G29" s="2"/>
      <c r="H29" s="2"/>
      <c r="I29" s="2"/>
      <c r="J29" s="2"/>
      <c r="K29" s="2"/>
      <c r="L29" s="2"/>
    </row>
    <row r="30" spans="1:12" ht="24" customHeight="1">
      <c r="A30" s="52">
        <v>-51</v>
      </c>
      <c r="B30" s="1" t="s">
        <v>481</v>
      </c>
      <c r="C30" s="2">
        <v>0</v>
      </c>
      <c r="D30" s="2">
        <f>'Fund Cover Sheets'!G382</f>
        <v>100000</v>
      </c>
      <c r="E30" s="2">
        <v>0</v>
      </c>
      <c r="F30" s="2">
        <v>0</v>
      </c>
      <c r="G30" s="2">
        <f>'Fund Cover Sheets'!G383</f>
        <v>5393543</v>
      </c>
      <c r="H30" s="2">
        <f>'Fund Cover Sheets'!G384</f>
        <v>2000</v>
      </c>
      <c r="I30" s="2">
        <f>'Fund Cover Sheets'!G385</f>
        <v>0</v>
      </c>
      <c r="J30" s="2">
        <f>'Fund Cover Sheets'!G386</f>
        <v>105601</v>
      </c>
      <c r="K30" s="2">
        <f>'Fund Cover Sheets'!G389</f>
        <v>177859</v>
      </c>
      <c r="L30" s="2">
        <f>SUM(C30:K30)</f>
        <v>5779003</v>
      </c>
    </row>
    <row r="31" spans="1:12" ht="24" customHeight="1">
      <c r="A31" s="52">
        <v>-52</v>
      </c>
      <c r="B31" s="1" t="s">
        <v>482</v>
      </c>
      <c r="C31" s="2">
        <v>0</v>
      </c>
      <c r="D31" s="2">
        <f>'Fund Cover Sheets'!G433</f>
        <v>1000000</v>
      </c>
      <c r="E31" s="2">
        <v>0</v>
      </c>
      <c r="F31" s="2">
        <v>0</v>
      </c>
      <c r="G31" s="2">
        <f>'Fund Cover Sheets'!G434</f>
        <v>1776200</v>
      </c>
      <c r="H31" s="2">
        <f>'Fund Cover Sheets'!G435</f>
        <v>750</v>
      </c>
      <c r="I31" s="2">
        <f>'Fund Cover Sheets'!G436</f>
        <v>2227415</v>
      </c>
      <c r="J31" s="2">
        <v>0</v>
      </c>
      <c r="K31" s="2">
        <f>'Fund Cover Sheets'!G439</f>
        <v>1600356</v>
      </c>
      <c r="L31" s="2">
        <f>SUM(C31:K31)</f>
        <v>6604721</v>
      </c>
    </row>
    <row r="32" spans="1:12" ht="15" customHeight="1">
      <c r="A32" s="622"/>
      <c r="C32" s="2"/>
      <c r="D32" s="2"/>
      <c r="E32" s="2"/>
      <c r="F32" s="2"/>
      <c r="G32" s="2"/>
      <c r="H32" s="2"/>
      <c r="I32" s="2"/>
      <c r="J32" s="2"/>
      <c r="K32" s="2"/>
      <c r="L32" s="2"/>
    </row>
    <row r="33" spans="1:13" ht="24" customHeight="1">
      <c r="A33" s="46" t="s">
        <v>650</v>
      </c>
      <c r="C33" s="2"/>
      <c r="D33" s="2"/>
      <c r="E33" s="2"/>
      <c r="F33" s="2"/>
      <c r="G33" s="2"/>
      <c r="H33" s="2"/>
      <c r="I33" s="2"/>
      <c r="J33" s="2"/>
      <c r="K33" s="2"/>
      <c r="L33" s="2"/>
    </row>
    <row r="34" spans="1:13" ht="24" customHeight="1">
      <c r="A34" s="52">
        <v>-82</v>
      </c>
      <c r="B34" s="1" t="s">
        <v>475</v>
      </c>
      <c r="C34" s="2">
        <f>'Fund Cover Sheets'!G570</f>
        <v>1667234</v>
      </c>
      <c r="D34" s="2">
        <f>'Fund Cover Sheets'!G571</f>
        <v>29151</v>
      </c>
      <c r="E34" s="2">
        <v>0</v>
      </c>
      <c r="F34" s="2">
        <f>'Fund Cover Sheets'!G572</f>
        <v>1000</v>
      </c>
      <c r="G34" s="2">
        <f>'Fund Cover Sheets'!G573</f>
        <v>11500</v>
      </c>
      <c r="H34" s="2">
        <f>'Fund Cover Sheets'!G574</f>
        <v>1000</v>
      </c>
      <c r="I34" s="2">
        <v>0</v>
      </c>
      <c r="J34" s="2">
        <f>'Fund Cover Sheets'!G575</f>
        <v>3250</v>
      </c>
      <c r="K34" s="2">
        <f>'Fund Cover Sheets'!G578</f>
        <v>23638</v>
      </c>
      <c r="L34" s="2">
        <f>SUM(C34:K34)</f>
        <v>1736773</v>
      </c>
    </row>
    <row r="35" spans="1:13" ht="24" customHeight="1">
      <c r="A35" s="52">
        <v>-84</v>
      </c>
      <c r="B35" s="1" t="s">
        <v>651</v>
      </c>
      <c r="C35" s="2">
        <v>0</v>
      </c>
      <c r="D35" s="2">
        <v>0</v>
      </c>
      <c r="E35" s="2">
        <f>'Fund Cover Sheets'!G619</f>
        <v>50000</v>
      </c>
      <c r="F35" s="2">
        <v>0</v>
      </c>
      <c r="G35" s="2">
        <v>0</v>
      </c>
      <c r="H35" s="2">
        <f>'Fund Cover Sheets'!G620</f>
        <v>350</v>
      </c>
      <c r="I35" s="2">
        <v>0</v>
      </c>
      <c r="J35" s="2">
        <v>0</v>
      </c>
      <c r="K35" s="2">
        <v>0</v>
      </c>
      <c r="L35" s="2">
        <f>SUM(C35:K35)</f>
        <v>50350</v>
      </c>
    </row>
    <row r="36" spans="1:13" ht="15" customHeight="1">
      <c r="A36" s="46"/>
      <c r="C36" s="2"/>
      <c r="D36" s="2"/>
      <c r="E36" s="2"/>
      <c r="F36" s="2"/>
      <c r="G36" s="2"/>
      <c r="H36" s="2"/>
      <c r="I36" s="2"/>
      <c r="J36" s="2"/>
      <c r="K36" s="2"/>
      <c r="L36" s="2"/>
    </row>
    <row r="37" spans="1:13" ht="24" customHeight="1" thickBot="1">
      <c r="A37" s="6"/>
      <c r="B37" s="47" t="s">
        <v>695</v>
      </c>
      <c r="C37" s="431">
        <f t="shared" ref="C37:J37" si="1">SUM(C10:C36)</f>
        <v>16453727</v>
      </c>
      <c r="D37" s="431">
        <f t="shared" si="1"/>
        <v>8762248</v>
      </c>
      <c r="E37" s="431">
        <f t="shared" si="1"/>
        <v>825500</v>
      </c>
      <c r="F37" s="431">
        <f t="shared" si="1"/>
        <v>123150</v>
      </c>
      <c r="G37" s="431">
        <f t="shared" si="1"/>
        <v>11724461</v>
      </c>
      <c r="H37" s="431">
        <f t="shared" si="1"/>
        <v>14100</v>
      </c>
      <c r="I37" s="431">
        <f t="shared" si="1"/>
        <v>3414415</v>
      </c>
      <c r="J37" s="431">
        <f t="shared" si="1"/>
        <v>397132</v>
      </c>
      <c r="K37" s="431">
        <f>SUM(K10:K36)</f>
        <v>5936264</v>
      </c>
      <c r="L37" s="431">
        <f>SUM(L10:L36)</f>
        <v>47650997</v>
      </c>
    </row>
    <row r="38" spans="1:13" ht="15" customHeight="1" thickTop="1">
      <c r="C38" s="2"/>
      <c r="D38" s="2"/>
      <c r="E38" s="2"/>
      <c r="F38" s="2"/>
      <c r="G38" s="2"/>
      <c r="H38" s="2"/>
      <c r="I38" s="2"/>
      <c r="J38" s="2"/>
      <c r="K38" s="2"/>
      <c r="L38" s="2"/>
    </row>
    <row r="39" spans="1:13" ht="15" customHeight="1">
      <c r="C39" s="53"/>
      <c r="D39" s="53"/>
      <c r="E39" s="53"/>
      <c r="F39" s="53"/>
      <c r="G39" s="53"/>
      <c r="H39" s="53"/>
      <c r="I39" s="53"/>
      <c r="J39" s="53"/>
      <c r="K39" s="53"/>
      <c r="L39" s="53"/>
      <c r="M39" s="53"/>
    </row>
    <row r="40" spans="1:13" ht="24" customHeight="1">
      <c r="A40" s="680" t="s">
        <v>638</v>
      </c>
      <c r="B40" s="680"/>
      <c r="C40" s="680"/>
      <c r="D40" s="680"/>
      <c r="E40" s="680"/>
      <c r="F40" s="680"/>
      <c r="G40" s="680"/>
      <c r="H40" s="680"/>
      <c r="I40" s="680"/>
      <c r="J40" s="680"/>
      <c r="K40" s="680"/>
      <c r="L40" s="680"/>
      <c r="M40" s="2"/>
    </row>
    <row r="41" spans="1:13" ht="24" customHeight="1">
      <c r="A41" s="681" t="s">
        <v>1266</v>
      </c>
      <c r="B41" s="681"/>
      <c r="C41" s="681"/>
      <c r="D41" s="681"/>
      <c r="E41" s="681"/>
      <c r="F41" s="681"/>
      <c r="G41" s="681"/>
      <c r="H41" s="681"/>
      <c r="I41" s="681"/>
      <c r="J41" s="681"/>
      <c r="K41" s="681"/>
      <c r="L41" s="681"/>
    </row>
    <row r="42" spans="1:13" ht="24" customHeight="1">
      <c r="A42" s="680" t="s">
        <v>1374</v>
      </c>
      <c r="B42" s="680"/>
      <c r="C42" s="680"/>
      <c r="D42" s="680"/>
      <c r="E42" s="680"/>
      <c r="F42" s="680"/>
      <c r="G42" s="680"/>
      <c r="H42" s="680"/>
      <c r="I42" s="680"/>
      <c r="J42" s="680"/>
      <c r="K42" s="680"/>
      <c r="L42" s="680"/>
      <c r="M42" s="2"/>
    </row>
    <row r="43" spans="1:13" ht="15" customHeight="1">
      <c r="M43" s="2"/>
    </row>
    <row r="44" spans="1:13" ht="15" customHeight="1">
      <c r="K44" s="43" t="s">
        <v>652</v>
      </c>
      <c r="M44" s="2"/>
    </row>
    <row r="45" spans="1:13" ht="15" customHeight="1">
      <c r="C45" s="43"/>
      <c r="D45" s="43"/>
      <c r="E45" s="43" t="s">
        <v>671</v>
      </c>
      <c r="F45" s="43"/>
      <c r="G45" s="43" t="s">
        <v>672</v>
      </c>
      <c r="I45" s="43" t="s">
        <v>1451</v>
      </c>
      <c r="J45" s="43" t="s">
        <v>673</v>
      </c>
      <c r="K45" s="43" t="s">
        <v>674</v>
      </c>
      <c r="L45" s="43" t="s">
        <v>661</v>
      </c>
      <c r="M45" s="2"/>
    </row>
    <row r="46" spans="1:13" ht="15" customHeight="1" thickBot="1">
      <c r="A46" s="44"/>
      <c r="B46" s="44" t="s">
        <v>639</v>
      </c>
      <c r="C46" s="50" t="s">
        <v>594</v>
      </c>
      <c r="D46" s="50" t="s">
        <v>595</v>
      </c>
      <c r="E46" s="45" t="s">
        <v>675</v>
      </c>
      <c r="F46" s="45" t="s">
        <v>597</v>
      </c>
      <c r="G46" s="45" t="s">
        <v>676</v>
      </c>
      <c r="H46" s="45" t="s">
        <v>1165</v>
      </c>
      <c r="I46" s="45" t="s">
        <v>1452</v>
      </c>
      <c r="J46" s="45" t="s">
        <v>677</v>
      </c>
      <c r="K46" s="45" t="s">
        <v>678</v>
      </c>
      <c r="L46" s="45" t="s">
        <v>670</v>
      </c>
      <c r="M46" s="2"/>
    </row>
    <row r="47" spans="1:13" ht="15" customHeight="1">
      <c r="C47" s="51"/>
      <c r="D47" s="51"/>
      <c r="E47" s="43"/>
      <c r="F47" s="43"/>
      <c r="G47" s="43"/>
      <c r="J47" s="43"/>
      <c r="K47" s="43"/>
      <c r="L47" s="43"/>
      <c r="M47" s="2"/>
    </row>
    <row r="48" spans="1:13" ht="15" customHeight="1">
      <c r="M48" s="2"/>
    </row>
    <row r="49" spans="1:13" ht="24" customHeight="1">
      <c r="A49" s="46" t="s">
        <v>1426</v>
      </c>
      <c r="C49" s="49">
        <f>'Fund Cover Sheets'!G25</f>
        <v>5880082</v>
      </c>
      <c r="D49" s="49">
        <f>'Fund Cover Sheets'!G26</f>
        <v>3601680</v>
      </c>
      <c r="E49" s="49">
        <f>'Fund Cover Sheets'!G27</f>
        <v>6762794</v>
      </c>
      <c r="F49" s="49">
        <f>'Fund Cover Sheets'!G28</f>
        <v>313775</v>
      </c>
      <c r="G49" s="49">
        <v>0</v>
      </c>
      <c r="H49" s="49">
        <f>'Fund Cover Sheets'!G29</f>
        <v>75000</v>
      </c>
      <c r="I49" s="49">
        <v>0</v>
      </c>
      <c r="J49" s="49">
        <v>0</v>
      </c>
      <c r="K49" s="49">
        <f>'Fund Cover Sheets'!G32</f>
        <v>5706405</v>
      </c>
      <c r="L49" s="49">
        <f>SUM(C49:K49)</f>
        <v>22339736</v>
      </c>
      <c r="M49" s="2"/>
    </row>
    <row r="50" spans="1:13" ht="15" customHeight="1">
      <c r="A50" s="46"/>
      <c r="C50" s="2"/>
      <c r="D50" s="2"/>
      <c r="E50" s="2"/>
      <c r="F50" s="2"/>
      <c r="G50" s="2"/>
      <c r="I50" s="2"/>
      <c r="J50" s="2"/>
      <c r="K50" s="2"/>
      <c r="L50" s="2"/>
      <c r="M50" s="2"/>
    </row>
    <row r="51" spans="1:13" ht="24" customHeight="1">
      <c r="A51" s="46" t="s">
        <v>641</v>
      </c>
      <c r="C51" s="2"/>
      <c r="D51" s="2"/>
      <c r="E51" s="2"/>
      <c r="F51" s="2"/>
      <c r="G51" s="2"/>
      <c r="I51" s="2"/>
      <c r="J51" s="2"/>
      <c r="K51" s="2"/>
      <c r="L51" s="2"/>
      <c r="M51" s="5"/>
    </row>
    <row r="52" spans="1:13" ht="24" customHeight="1">
      <c r="A52" s="52">
        <v>-15</v>
      </c>
      <c r="B52" s="1" t="s">
        <v>570</v>
      </c>
      <c r="C52" s="2">
        <v>0</v>
      </c>
      <c r="D52" s="2">
        <v>0</v>
      </c>
      <c r="E52" s="2">
        <v>0</v>
      </c>
      <c r="F52" s="2">
        <f>'Fund Cover Sheets'!G137</f>
        <v>190000</v>
      </c>
      <c r="G52" s="2">
        <f>'Fund Cover Sheets'!G138</f>
        <v>1087045</v>
      </c>
      <c r="H52" s="353">
        <v>0</v>
      </c>
      <c r="I52" s="2">
        <v>0</v>
      </c>
      <c r="J52" s="2">
        <v>0</v>
      </c>
      <c r="K52" s="2">
        <v>0</v>
      </c>
      <c r="L52" s="2">
        <f t="shared" ref="L52:L59" si="2">SUM(C52:K52)</f>
        <v>1277045</v>
      </c>
      <c r="M52" s="5"/>
    </row>
    <row r="53" spans="1:13" ht="24" customHeight="1">
      <c r="A53" s="52">
        <v>-79</v>
      </c>
      <c r="B53" s="1" t="s">
        <v>642</v>
      </c>
      <c r="C53" s="2">
        <f>'Fund Cover Sheets'!G537</f>
        <v>1330068</v>
      </c>
      <c r="D53" s="2">
        <f>'Fund Cover Sheets'!G538</f>
        <v>510664</v>
      </c>
      <c r="E53" s="2">
        <f>'Fund Cover Sheets'!G539</f>
        <v>590720</v>
      </c>
      <c r="F53" s="2">
        <f>'Fund Cover Sheets'!G540</f>
        <v>624020</v>
      </c>
      <c r="G53" s="2">
        <v>0</v>
      </c>
      <c r="H53" s="353">
        <v>0</v>
      </c>
      <c r="I53" s="2">
        <v>0</v>
      </c>
      <c r="J53" s="2">
        <v>0</v>
      </c>
      <c r="K53" s="2">
        <v>0</v>
      </c>
      <c r="L53" s="2">
        <f t="shared" si="2"/>
        <v>3055472</v>
      </c>
      <c r="M53" s="5"/>
    </row>
    <row r="54" spans="1:13" ht="24" customHeight="1">
      <c r="A54" s="52">
        <v>-72</v>
      </c>
      <c r="B54" s="1" t="s">
        <v>483</v>
      </c>
      <c r="C54" s="2">
        <v>0</v>
      </c>
      <c r="D54" s="2">
        <v>0</v>
      </c>
      <c r="E54" s="2">
        <f>'Fund Cover Sheets'!G490</f>
        <v>0</v>
      </c>
      <c r="F54" s="2">
        <v>0</v>
      </c>
      <c r="G54" s="2">
        <f>'Fund Cover Sheets'!G491</f>
        <v>0</v>
      </c>
      <c r="H54" s="353">
        <v>0</v>
      </c>
      <c r="I54" s="2">
        <v>0</v>
      </c>
      <c r="J54" s="2">
        <v>0</v>
      </c>
      <c r="K54" s="2">
        <v>0</v>
      </c>
      <c r="L54" s="2">
        <f t="shared" si="2"/>
        <v>0</v>
      </c>
      <c r="M54" s="5"/>
    </row>
    <row r="55" spans="1:13" ht="24" customHeight="1">
      <c r="A55" s="52">
        <v>-87</v>
      </c>
      <c r="B55" s="1" t="s">
        <v>418</v>
      </c>
      <c r="C55" s="2">
        <v>0</v>
      </c>
      <c r="D55" s="2">
        <v>0</v>
      </c>
      <c r="E55" s="2">
        <f>'Fund Cover Sheets'!G663</f>
        <v>18504</v>
      </c>
      <c r="F55" s="2">
        <v>0</v>
      </c>
      <c r="G55" s="2">
        <v>0</v>
      </c>
      <c r="H55" s="353">
        <v>0</v>
      </c>
      <c r="I55" s="2">
        <v>0</v>
      </c>
      <c r="J55" s="2">
        <f>'Fund Cover Sheets'!G664</f>
        <v>208787</v>
      </c>
      <c r="K55" s="2">
        <v>0</v>
      </c>
      <c r="L55" s="2">
        <f t="shared" si="2"/>
        <v>227291</v>
      </c>
      <c r="M55" s="5"/>
    </row>
    <row r="56" spans="1:13" ht="24" customHeight="1">
      <c r="A56" s="52">
        <v>-88</v>
      </c>
      <c r="B56" s="1" t="s">
        <v>420</v>
      </c>
      <c r="C56" s="2">
        <v>0</v>
      </c>
      <c r="D56" s="2">
        <v>0</v>
      </c>
      <c r="E56" s="2">
        <f>'Fund Cover Sheets'!G698</f>
        <v>74492</v>
      </c>
      <c r="F56" s="2">
        <v>0</v>
      </c>
      <c r="G56" s="2">
        <f>'Fund Cover Sheets'!G699</f>
        <v>13120</v>
      </c>
      <c r="H56" s="353">
        <v>0</v>
      </c>
      <c r="I56" s="2">
        <v>0</v>
      </c>
      <c r="J56" s="2">
        <f>'Fund Cover Sheets'!G700</f>
        <v>0</v>
      </c>
      <c r="K56" s="2">
        <v>0</v>
      </c>
      <c r="L56" s="2">
        <f t="shared" si="2"/>
        <v>87612</v>
      </c>
      <c r="M56" s="5"/>
    </row>
    <row r="57" spans="1:13" ht="24" customHeight="1">
      <c r="A57" s="52">
        <v>-89</v>
      </c>
      <c r="B57" s="1" t="s">
        <v>1031</v>
      </c>
      <c r="C57" s="2">
        <v>0</v>
      </c>
      <c r="D57" s="2">
        <v>0</v>
      </c>
      <c r="E57" s="2">
        <f>'Fund Cover Sheets'!G738</f>
        <v>30500</v>
      </c>
      <c r="F57" s="2">
        <v>0</v>
      </c>
      <c r="G57" s="2">
        <v>0</v>
      </c>
      <c r="H57" s="353">
        <v>0</v>
      </c>
      <c r="I57" s="2">
        <v>0</v>
      </c>
      <c r="J57" s="2">
        <v>0</v>
      </c>
      <c r="K57" s="2">
        <v>0</v>
      </c>
      <c r="L57" s="2">
        <f t="shared" si="2"/>
        <v>30500</v>
      </c>
      <c r="M57" s="5"/>
    </row>
    <row r="58" spans="1:13" ht="24" customHeight="1">
      <c r="A58" s="52">
        <v>-11</v>
      </c>
      <c r="B58" s="1" t="s">
        <v>643</v>
      </c>
      <c r="C58" s="2">
        <v>0</v>
      </c>
      <c r="D58" s="2">
        <v>0</v>
      </c>
      <c r="E58" s="2">
        <f>'Fund Cover Sheets'!G66</f>
        <v>59200</v>
      </c>
      <c r="F58" s="2">
        <v>0</v>
      </c>
      <c r="G58" s="2">
        <v>0</v>
      </c>
      <c r="H58" s="353">
        <v>0</v>
      </c>
      <c r="I58" s="2">
        <v>0</v>
      </c>
      <c r="J58" s="2">
        <v>0</v>
      </c>
      <c r="K58" s="2">
        <v>0</v>
      </c>
      <c r="L58" s="2">
        <f t="shared" si="2"/>
        <v>59200</v>
      </c>
      <c r="M58" s="5"/>
    </row>
    <row r="59" spans="1:13" ht="24" customHeight="1">
      <c r="A59" s="52">
        <v>-12</v>
      </c>
      <c r="B59" s="1" t="s">
        <v>644</v>
      </c>
      <c r="C59" s="2">
        <v>0</v>
      </c>
      <c r="D59" s="2">
        <v>0</v>
      </c>
      <c r="E59" s="2">
        <f>'Fund Cover Sheets'!G101</f>
        <v>17200</v>
      </c>
      <c r="F59" s="2">
        <v>0</v>
      </c>
      <c r="G59" s="2">
        <v>0</v>
      </c>
      <c r="H59" s="353">
        <v>0</v>
      </c>
      <c r="I59" s="2">
        <v>0</v>
      </c>
      <c r="J59" s="2">
        <v>0</v>
      </c>
      <c r="K59" s="2">
        <v>0</v>
      </c>
      <c r="L59" s="2">
        <f t="shared" si="2"/>
        <v>17200</v>
      </c>
      <c r="M59" s="5"/>
    </row>
    <row r="60" spans="1:13">
      <c r="A60" s="622"/>
      <c r="C60" s="2"/>
      <c r="D60" s="2"/>
      <c r="E60" s="2"/>
      <c r="F60" s="2"/>
      <c r="G60" s="2"/>
      <c r="H60" s="353"/>
      <c r="I60" s="2"/>
      <c r="J60" s="2"/>
      <c r="K60" s="2"/>
      <c r="L60" s="2"/>
      <c r="M60" s="5"/>
    </row>
    <row r="61" spans="1:13" ht="24" customHeight="1">
      <c r="A61" s="46" t="s">
        <v>1427</v>
      </c>
      <c r="C61" s="2">
        <v>0</v>
      </c>
      <c r="D61" s="2">
        <v>0</v>
      </c>
      <c r="E61" s="2">
        <f>'Fund Cover Sheets'!G352</f>
        <v>475</v>
      </c>
      <c r="F61" s="2">
        <v>0</v>
      </c>
      <c r="G61" s="2">
        <v>0</v>
      </c>
      <c r="H61" s="353">
        <v>0</v>
      </c>
      <c r="I61" s="2">
        <v>0</v>
      </c>
      <c r="J61" s="2">
        <f>'Fund Cover Sheets'!G353</f>
        <v>329600</v>
      </c>
      <c r="K61" s="2">
        <v>0</v>
      </c>
      <c r="L61" s="2">
        <f>SUM(C61:K61)</f>
        <v>330075</v>
      </c>
      <c r="M61" s="5"/>
    </row>
    <row r="62" spans="1:13">
      <c r="A62" s="46"/>
      <c r="C62" s="2"/>
      <c r="D62" s="2"/>
      <c r="E62" s="2"/>
      <c r="F62" s="2"/>
      <c r="G62" s="2"/>
      <c r="H62" s="353"/>
      <c r="I62" s="2"/>
      <c r="J62" s="2"/>
      <c r="K62" s="2"/>
      <c r="L62" s="2"/>
    </row>
    <row r="63" spans="1:13" ht="24" customHeight="1">
      <c r="A63" s="46" t="s">
        <v>646</v>
      </c>
      <c r="C63" s="2"/>
      <c r="D63" s="2"/>
      <c r="E63" s="2"/>
      <c r="F63" s="2"/>
      <c r="G63" s="2"/>
      <c r="H63" s="353"/>
      <c r="I63" s="2"/>
      <c r="J63" s="2"/>
      <c r="K63" s="2"/>
      <c r="L63" s="2"/>
    </row>
    <row r="64" spans="1:13" ht="24" customHeight="1">
      <c r="A64" s="52">
        <v>-25</v>
      </c>
      <c r="B64" s="1" t="s">
        <v>745</v>
      </c>
      <c r="C64" s="2">
        <v>0</v>
      </c>
      <c r="D64" s="2">
        <v>0</v>
      </c>
      <c r="E64" s="2">
        <f>'Fund Cover Sheets'!G282+'Fund Cover Sheets'!G292+'Fund Cover Sheets'!G302</f>
        <v>56100</v>
      </c>
      <c r="F64" s="2">
        <f>'Fund Cover Sheets'!G293+'Fund Cover Sheets'!G287</f>
        <v>87483</v>
      </c>
      <c r="G64" s="2">
        <f>'Fund Cover Sheets'!G283+'Fund Cover Sheets'!G294+'Fund Cover Sheets'!G303+'Fund Cover Sheets'!G288</f>
        <v>2020070</v>
      </c>
      <c r="H64" s="353">
        <v>0</v>
      </c>
      <c r="I64" s="2">
        <v>0</v>
      </c>
      <c r="J64" s="2">
        <f>'Fund Cover Sheets'!G295+'Fund Cover Sheets'!G304</f>
        <v>71570</v>
      </c>
      <c r="K64" s="2">
        <v>0</v>
      </c>
      <c r="L64" s="2">
        <f>SUM(C64:K64)</f>
        <v>2235223</v>
      </c>
    </row>
    <row r="65" spans="1:12" ht="24" customHeight="1">
      <c r="A65" s="52">
        <v>-23</v>
      </c>
      <c r="B65" s="1" t="s">
        <v>648</v>
      </c>
      <c r="C65" s="2">
        <v>0</v>
      </c>
      <c r="D65" s="2">
        <v>0</v>
      </c>
      <c r="E65" s="2">
        <f>'Fund Cover Sheets'!G180</f>
        <v>145302</v>
      </c>
      <c r="F65" s="2">
        <f>'Fund Cover Sheets'!G181</f>
        <v>105000</v>
      </c>
      <c r="G65" s="2">
        <f>'Fund Cover Sheets'!G182</f>
        <v>4918224</v>
      </c>
      <c r="H65" s="353">
        <v>0</v>
      </c>
      <c r="I65" s="2">
        <v>0</v>
      </c>
      <c r="J65" s="2">
        <f>'Fund Cover Sheets'!G183</f>
        <v>319338</v>
      </c>
      <c r="K65" s="2">
        <f>'Fund Cover Sheets'!G186</f>
        <v>104209</v>
      </c>
      <c r="L65" s="2">
        <f>SUM(C65:K65)</f>
        <v>5592073</v>
      </c>
    </row>
    <row r="66" spans="1:12" s="535" customFormat="1" ht="24" customHeight="1">
      <c r="A66" s="52">
        <v>-24</v>
      </c>
      <c r="B66" s="535" t="s">
        <v>1328</v>
      </c>
      <c r="C66" s="2">
        <f>'Fund Cover Sheets'!G228</f>
        <v>54720</v>
      </c>
      <c r="D66" s="2">
        <f>'Fund Cover Sheets'!G229</f>
        <v>12135</v>
      </c>
      <c r="E66" s="2">
        <f>'Fund Cover Sheets'!G230</f>
        <v>275303</v>
      </c>
      <c r="F66" s="2">
        <f>'Fund Cover Sheets'!G231</f>
        <v>26000</v>
      </c>
      <c r="G66" s="2">
        <f>'Fund Cover Sheets'!G232</f>
        <v>9700000</v>
      </c>
      <c r="H66" s="353">
        <v>0</v>
      </c>
      <c r="I66" s="2">
        <v>0</v>
      </c>
      <c r="J66" s="2">
        <f>'Fund Cover Sheets'!G233</f>
        <v>803402</v>
      </c>
      <c r="K66" s="2">
        <f>'Fund Cover Sheets'!G236</f>
        <v>0</v>
      </c>
      <c r="L66" s="2">
        <f>SUM(C66:K66)</f>
        <v>10871560</v>
      </c>
    </row>
    <row r="67" spans="1:12">
      <c r="A67" s="622"/>
      <c r="C67" s="2"/>
      <c r="D67" s="2"/>
      <c r="E67" s="2"/>
      <c r="F67" s="2"/>
      <c r="G67" s="2"/>
      <c r="H67" s="353"/>
      <c r="I67" s="2"/>
      <c r="J67" s="2"/>
      <c r="K67" s="2"/>
      <c r="L67" s="2"/>
    </row>
    <row r="68" spans="1:12" ht="24" customHeight="1">
      <c r="A68" s="46" t="s">
        <v>649</v>
      </c>
      <c r="C68" s="2"/>
      <c r="D68" s="2"/>
      <c r="E68" s="2"/>
      <c r="F68" s="2"/>
      <c r="G68" s="2"/>
      <c r="H68" s="353"/>
      <c r="I68" s="2"/>
      <c r="J68" s="2"/>
      <c r="K68" s="2"/>
      <c r="L68" s="2"/>
    </row>
    <row r="69" spans="1:12" ht="24" customHeight="1">
      <c r="A69" s="52">
        <v>-51</v>
      </c>
      <c r="B69" s="1" t="s">
        <v>481</v>
      </c>
      <c r="C69" s="2">
        <f>'Fund Cover Sheets'!G393</f>
        <v>562785</v>
      </c>
      <c r="D69" s="2">
        <f>'Fund Cover Sheets'!G394</f>
        <v>270666</v>
      </c>
      <c r="E69" s="2">
        <f>'Fund Cover Sheets'!G395</f>
        <v>1421529</v>
      </c>
      <c r="F69" s="2">
        <f>'Fund Cover Sheets'!G396</f>
        <v>470418</v>
      </c>
      <c r="G69" s="2">
        <f>'Fund Cover Sheets'!G397</f>
        <v>3183316</v>
      </c>
      <c r="H69" s="353">
        <v>0</v>
      </c>
      <c r="I69" s="2">
        <f>'Fund Cover Sheets'!G398</f>
        <v>130281</v>
      </c>
      <c r="J69" s="2">
        <f>'Fund Cover Sheets'!G399</f>
        <v>1654108</v>
      </c>
      <c r="K69" s="2">
        <v>0</v>
      </c>
      <c r="L69" s="2">
        <f>SUM(C69:K69)</f>
        <v>7693103</v>
      </c>
    </row>
    <row r="70" spans="1:12" ht="24" customHeight="1">
      <c r="A70" s="52">
        <v>-52</v>
      </c>
      <c r="B70" s="1" t="s">
        <v>482</v>
      </c>
      <c r="C70" s="2">
        <f>'Fund Cover Sheets'!G443</f>
        <v>292011</v>
      </c>
      <c r="D70" s="2">
        <f>'Fund Cover Sheets'!G444</f>
        <v>161122</v>
      </c>
      <c r="E70" s="2">
        <f>'Fund Cover Sheets'!G445</f>
        <v>261972</v>
      </c>
      <c r="F70" s="2">
        <f>'Fund Cover Sheets'!G446</f>
        <v>63363</v>
      </c>
      <c r="G70" s="2">
        <f>'Fund Cover Sheets'!G447</f>
        <v>3791554</v>
      </c>
      <c r="H70" s="353">
        <v>0</v>
      </c>
      <c r="I70" s="2">
        <f>'Fund Cover Sheets'!G448</f>
        <v>120259</v>
      </c>
      <c r="J70" s="2">
        <f>'Fund Cover Sheets'!G449</f>
        <v>1231615</v>
      </c>
      <c r="K70" s="2">
        <f>'Fund Cover Sheets'!G452</f>
        <v>73650</v>
      </c>
      <c r="L70" s="2">
        <f>SUM(C70:K70)</f>
        <v>5995546</v>
      </c>
    </row>
    <row r="71" spans="1:12">
      <c r="A71" s="622"/>
      <c r="C71" s="2"/>
      <c r="D71" s="2"/>
      <c r="E71" s="2"/>
      <c r="F71" s="2"/>
      <c r="G71" s="2"/>
      <c r="H71" s="353"/>
      <c r="I71" s="2"/>
      <c r="J71" s="2"/>
      <c r="K71" s="2"/>
      <c r="L71" s="2"/>
    </row>
    <row r="72" spans="1:12" ht="24" customHeight="1">
      <c r="A72" s="46" t="s">
        <v>650</v>
      </c>
      <c r="C72" s="2"/>
      <c r="D72" s="2"/>
      <c r="E72" s="2"/>
      <c r="F72" s="2"/>
      <c r="G72" s="2"/>
      <c r="H72" s="353"/>
      <c r="I72" s="2"/>
      <c r="J72" s="2"/>
      <c r="K72" s="2"/>
      <c r="L72" s="2"/>
    </row>
    <row r="73" spans="1:12" ht="24" customHeight="1">
      <c r="A73" s="52">
        <v>-82</v>
      </c>
      <c r="B73" s="1" t="s">
        <v>475</v>
      </c>
      <c r="C73" s="2">
        <f>'Fund Cover Sheets'!G582</f>
        <v>504111</v>
      </c>
      <c r="D73" s="2">
        <f>'Fund Cover Sheets'!G583</f>
        <v>198898</v>
      </c>
      <c r="E73" s="2">
        <f>'Fund Cover Sheets'!G584</f>
        <v>172198</v>
      </c>
      <c r="F73" s="2">
        <f>'Fund Cover Sheets'!G585</f>
        <v>26300</v>
      </c>
      <c r="G73" s="2">
        <v>0</v>
      </c>
      <c r="H73" s="353">
        <v>0</v>
      </c>
      <c r="I73" s="2">
        <v>0</v>
      </c>
      <c r="J73" s="2">
        <f>'Fund Cover Sheets'!G586</f>
        <v>847313</v>
      </c>
      <c r="K73" s="2">
        <v>0</v>
      </c>
      <c r="L73" s="2">
        <f>SUM(C73:K73)</f>
        <v>1748820</v>
      </c>
    </row>
    <row r="74" spans="1:12" ht="24" customHeight="1">
      <c r="A74" s="52">
        <v>-84</v>
      </c>
      <c r="B74" s="1" t="s">
        <v>651</v>
      </c>
      <c r="C74" s="2">
        <v>0</v>
      </c>
      <c r="D74" s="2">
        <v>0</v>
      </c>
      <c r="E74" s="2">
        <f>'Fund Cover Sheets'!G625</f>
        <v>3500</v>
      </c>
      <c r="F74" s="2">
        <f>'Fund Cover Sheets'!G626</f>
        <v>82000</v>
      </c>
      <c r="G74" s="2">
        <f>'Fund Cover Sheets'!G627</f>
        <v>0</v>
      </c>
      <c r="H74" s="353">
        <v>0</v>
      </c>
      <c r="I74" s="2">
        <v>0</v>
      </c>
      <c r="J74" s="2">
        <v>0</v>
      </c>
      <c r="K74" s="2">
        <v>0</v>
      </c>
      <c r="L74" s="2">
        <f>SUM(C74:K74)</f>
        <v>85500</v>
      </c>
    </row>
    <row r="75" spans="1:12">
      <c r="C75" s="2"/>
      <c r="D75" s="2"/>
      <c r="E75" s="2"/>
      <c r="F75" s="2"/>
      <c r="G75" s="2"/>
      <c r="H75" s="353"/>
      <c r="I75" s="2"/>
      <c r="J75" s="2"/>
      <c r="K75" s="2"/>
      <c r="L75" s="2"/>
    </row>
    <row r="76" spans="1:12" ht="24" customHeight="1" thickBot="1">
      <c r="A76" s="6"/>
      <c r="B76" s="47" t="s">
        <v>696</v>
      </c>
      <c r="C76" s="431">
        <f t="shared" ref="C76:I76" si="3">SUM(C49:C75)</f>
        <v>8623777</v>
      </c>
      <c r="D76" s="431">
        <f t="shared" si="3"/>
        <v>4755165</v>
      </c>
      <c r="E76" s="431">
        <f t="shared" si="3"/>
        <v>9889789</v>
      </c>
      <c r="F76" s="431">
        <f t="shared" si="3"/>
        <v>1988359</v>
      </c>
      <c r="G76" s="431">
        <f t="shared" si="3"/>
        <v>24713329</v>
      </c>
      <c r="H76" s="431">
        <f t="shared" si="3"/>
        <v>75000</v>
      </c>
      <c r="I76" s="431">
        <f t="shared" si="3"/>
        <v>250540</v>
      </c>
      <c r="J76" s="431">
        <f>SUM(J49:J75)</f>
        <v>5465733</v>
      </c>
      <c r="K76" s="431">
        <f>SUM(K49:K75)</f>
        <v>5884264</v>
      </c>
      <c r="L76" s="431">
        <f>SUM(L49:L75)</f>
        <v>61645956</v>
      </c>
    </row>
    <row r="77" spans="1:12" ht="14.4" thickTop="1">
      <c r="C77" s="48"/>
      <c r="D77" s="48"/>
      <c r="E77" s="48"/>
      <c r="F77" s="48"/>
      <c r="G77" s="48"/>
      <c r="H77" s="353"/>
      <c r="I77" s="48"/>
    </row>
    <row r="78" spans="1:12">
      <c r="C78" s="48"/>
      <c r="D78" s="48"/>
      <c r="E78" s="48"/>
      <c r="F78" s="48"/>
      <c r="G78" s="48"/>
      <c r="H78" s="353"/>
      <c r="I78" s="48"/>
    </row>
    <row r="79" spans="1:12">
      <c r="C79" s="48"/>
      <c r="D79" s="48"/>
      <c r="E79" s="48"/>
      <c r="F79" s="48"/>
      <c r="G79" s="48"/>
      <c r="H79" s="353"/>
      <c r="I79" s="48"/>
    </row>
    <row r="80" spans="1:12">
      <c r="C80" s="48"/>
      <c r="D80" s="48"/>
      <c r="E80" s="48"/>
      <c r="F80" s="48"/>
      <c r="G80" s="48"/>
      <c r="H80" s="2"/>
      <c r="I80" s="48"/>
    </row>
    <row r="81" spans="3:9">
      <c r="C81" s="48"/>
      <c r="D81" s="48"/>
      <c r="E81" s="48"/>
      <c r="F81" s="48"/>
      <c r="G81" s="48"/>
      <c r="H81" s="2"/>
      <c r="I81" s="48"/>
    </row>
    <row r="82" spans="3:9">
      <c r="C82" s="48"/>
      <c r="D82" s="48"/>
      <c r="E82" s="48"/>
      <c r="F82" s="48"/>
      <c r="G82" s="48"/>
      <c r="H82" s="2"/>
      <c r="I82" s="48"/>
    </row>
    <row r="83" spans="3:9">
      <c r="C83" s="48"/>
      <c r="D83" s="48"/>
      <c r="E83" s="48"/>
      <c r="F83" s="48"/>
      <c r="G83" s="48"/>
      <c r="H83" s="2"/>
      <c r="I83" s="48"/>
    </row>
    <row r="84" spans="3:9">
      <c r="C84" s="48"/>
      <c r="D84" s="48"/>
      <c r="E84" s="48"/>
      <c r="F84" s="48"/>
      <c r="G84" s="48"/>
      <c r="H84" s="2"/>
      <c r="I84" s="48"/>
    </row>
    <row r="85" spans="3:9">
      <c r="C85" s="48"/>
      <c r="D85" s="48"/>
      <c r="E85" s="48"/>
      <c r="F85" s="48"/>
      <c r="G85" s="48"/>
      <c r="H85" s="2"/>
      <c r="I85" s="48"/>
    </row>
    <row r="86" spans="3:9">
      <c r="C86" s="48"/>
      <c r="D86" s="48"/>
      <c r="E86" s="48"/>
      <c r="F86" s="48"/>
      <c r="G86" s="48"/>
      <c r="H86" s="2"/>
      <c r="I86" s="48"/>
    </row>
    <row r="87" spans="3:9">
      <c r="C87" s="48"/>
      <c r="D87" s="48"/>
      <c r="E87" s="48"/>
      <c r="F87" s="48"/>
      <c r="G87" s="48"/>
      <c r="H87" s="2"/>
      <c r="I87" s="48"/>
    </row>
    <row r="88" spans="3:9">
      <c r="C88" s="48"/>
      <c r="D88" s="48"/>
      <c r="E88" s="48"/>
      <c r="F88" s="48"/>
      <c r="G88" s="48"/>
      <c r="H88" s="48"/>
      <c r="I88" s="48"/>
    </row>
    <row r="89" spans="3:9">
      <c r="C89" s="48"/>
      <c r="D89" s="48"/>
      <c r="E89" s="48"/>
      <c r="F89" s="48"/>
      <c r="G89" s="48"/>
      <c r="H89" s="48"/>
      <c r="I89" s="48"/>
    </row>
    <row r="90" spans="3:9">
      <c r="C90" s="48"/>
      <c r="D90" s="48"/>
      <c r="E90" s="48"/>
      <c r="F90" s="48"/>
      <c r="G90" s="48"/>
      <c r="H90" s="48"/>
      <c r="I90" s="48"/>
    </row>
    <row r="91" spans="3:9">
      <c r="C91" s="48"/>
      <c r="D91" s="48"/>
      <c r="E91" s="48"/>
      <c r="F91" s="48"/>
      <c r="G91" s="48"/>
      <c r="H91" s="48"/>
      <c r="I91" s="48"/>
    </row>
    <row r="92" spans="3:9">
      <c r="C92" s="48"/>
      <c r="D92" s="48"/>
      <c r="E92" s="48"/>
      <c r="F92" s="48"/>
      <c r="G92" s="48"/>
      <c r="H92" s="48"/>
      <c r="I92" s="48"/>
    </row>
    <row r="93" spans="3:9">
      <c r="C93" s="48"/>
      <c r="D93" s="48"/>
      <c r="E93" s="48"/>
      <c r="F93" s="48"/>
      <c r="G93" s="48"/>
      <c r="H93" s="48"/>
      <c r="I93" s="48"/>
    </row>
    <row r="94" spans="3:9">
      <c r="C94" s="48"/>
      <c r="D94" s="48"/>
      <c r="E94" s="48"/>
      <c r="F94" s="48"/>
      <c r="G94" s="48"/>
      <c r="H94" s="48"/>
      <c r="I94" s="48"/>
    </row>
    <row r="95" spans="3:9">
      <c r="C95" s="48"/>
      <c r="D95" s="48"/>
      <c r="E95" s="48"/>
      <c r="F95" s="48"/>
      <c r="G95" s="48"/>
      <c r="H95" s="48"/>
      <c r="I95" s="48"/>
    </row>
    <row r="96" spans="3:9">
      <c r="C96" s="48"/>
      <c r="D96" s="48"/>
      <c r="E96" s="48"/>
      <c r="F96" s="48"/>
      <c r="G96" s="48"/>
      <c r="H96" s="48"/>
      <c r="I96" s="48"/>
    </row>
    <row r="97" spans="3:9">
      <c r="C97" s="48"/>
      <c r="D97" s="48"/>
      <c r="E97" s="48"/>
      <c r="F97" s="48"/>
      <c r="G97" s="48"/>
      <c r="H97" s="48"/>
      <c r="I97" s="48"/>
    </row>
    <row r="98" spans="3:9">
      <c r="C98" s="48"/>
      <c r="D98" s="48"/>
      <c r="E98" s="48"/>
      <c r="F98" s="48"/>
      <c r="G98" s="48"/>
      <c r="H98" s="48"/>
      <c r="I98" s="48"/>
    </row>
    <row r="99" spans="3:9">
      <c r="C99" s="48"/>
      <c r="D99" s="48"/>
      <c r="E99" s="48"/>
      <c r="F99" s="48"/>
      <c r="G99" s="48"/>
      <c r="H99" s="48"/>
      <c r="I99" s="48"/>
    </row>
    <row r="100" spans="3:9">
      <c r="C100" s="48"/>
      <c r="D100" s="48"/>
      <c r="E100" s="48"/>
      <c r="F100" s="48"/>
      <c r="G100" s="48"/>
      <c r="H100" s="48"/>
      <c r="I100" s="48"/>
    </row>
    <row r="101" spans="3:9">
      <c r="C101" s="48"/>
      <c r="D101" s="48"/>
      <c r="E101" s="48"/>
      <c r="F101" s="48"/>
      <c r="G101" s="48"/>
      <c r="H101" s="48"/>
      <c r="I101" s="48"/>
    </row>
    <row r="102" spans="3:9">
      <c r="C102" s="48"/>
      <c r="D102" s="48"/>
      <c r="E102" s="48"/>
      <c r="F102" s="48"/>
      <c r="G102" s="48"/>
      <c r="H102" s="48"/>
      <c r="I102" s="48"/>
    </row>
    <row r="103" spans="3:9">
      <c r="C103" s="48"/>
      <c r="D103" s="48"/>
      <c r="E103" s="48"/>
      <c r="F103" s="48"/>
      <c r="G103" s="48"/>
      <c r="H103" s="48"/>
      <c r="I103" s="48"/>
    </row>
    <row r="104" spans="3:9">
      <c r="C104" s="48"/>
      <c r="D104" s="48"/>
      <c r="E104" s="48"/>
      <c r="F104" s="48"/>
      <c r="G104" s="48"/>
      <c r="H104" s="48"/>
      <c r="I104" s="48"/>
    </row>
    <row r="105" spans="3:9">
      <c r="C105" s="48"/>
      <c r="D105" s="48"/>
      <c r="E105" s="48"/>
      <c r="F105" s="48"/>
      <c r="G105" s="48"/>
      <c r="H105" s="48"/>
      <c r="I105" s="48"/>
    </row>
    <row r="106" spans="3:9">
      <c r="C106" s="48"/>
      <c r="D106" s="48"/>
      <c r="E106" s="48"/>
      <c r="F106" s="48"/>
      <c r="G106" s="48"/>
      <c r="H106" s="48"/>
      <c r="I106" s="48"/>
    </row>
    <row r="107" spans="3:9">
      <c r="C107" s="48"/>
      <c r="D107" s="48"/>
      <c r="E107" s="48"/>
      <c r="F107" s="48"/>
      <c r="G107" s="48"/>
      <c r="H107" s="48"/>
      <c r="I107" s="48"/>
    </row>
    <row r="108" spans="3:9">
      <c r="C108" s="48"/>
      <c r="D108" s="48"/>
      <c r="E108" s="48"/>
      <c r="F108" s="48"/>
      <c r="G108" s="48"/>
      <c r="H108" s="48"/>
      <c r="I108" s="48"/>
    </row>
    <row r="109" spans="3:9">
      <c r="C109" s="48"/>
      <c r="D109" s="48"/>
      <c r="E109" s="48"/>
      <c r="F109" s="48"/>
      <c r="G109" s="48"/>
      <c r="H109" s="48"/>
      <c r="I109" s="48"/>
    </row>
    <row r="110" spans="3:9">
      <c r="C110" s="48"/>
      <c r="D110" s="48"/>
      <c r="E110" s="48"/>
      <c r="F110" s="48"/>
      <c r="G110" s="48"/>
      <c r="H110" s="48"/>
      <c r="I110" s="48"/>
    </row>
    <row r="409" spans="14:14">
      <c r="N409" s="1" t="s">
        <v>1157</v>
      </c>
    </row>
  </sheetData>
  <mergeCells count="6">
    <mergeCell ref="A40:L40"/>
    <mergeCell ref="A41:L41"/>
    <mergeCell ref="A42:L42"/>
    <mergeCell ref="A1:L1"/>
    <mergeCell ref="A2:L2"/>
    <mergeCell ref="A3:L3"/>
  </mergeCells>
  <printOptions horizontalCentered="1"/>
  <pageMargins left="0" right="0" top="0.25" bottom="0.25" header="0" footer="0"/>
  <pageSetup scale="75" orientation="landscape"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6"/>
  <sheetViews>
    <sheetView zoomScale="75" zoomScaleNormal="75" workbookViewId="0">
      <selection activeCell="G6" sqref="G6"/>
    </sheetView>
  </sheetViews>
  <sheetFormatPr defaultColWidth="10.44140625" defaultRowHeight="13.8"/>
  <cols>
    <col min="1" max="1" width="5.88671875" style="9" customWidth="1"/>
    <col min="2" max="2" width="25.6640625" style="9" customWidth="1"/>
    <col min="3" max="4" width="14.6640625" style="9" customWidth="1"/>
    <col min="5" max="11" width="14.6640625" style="61" customWidth="1"/>
    <col min="12" max="13" width="10.44140625" style="61"/>
    <col min="14" max="14" width="29" style="61" customWidth="1"/>
    <col min="15" max="16384" width="10.44140625" style="61"/>
  </cols>
  <sheetData>
    <row r="1" spans="1:16" ht="24" customHeight="1">
      <c r="A1" s="680" t="s">
        <v>638</v>
      </c>
      <c r="B1" s="680"/>
      <c r="C1" s="680"/>
      <c r="D1" s="680"/>
      <c r="E1" s="680"/>
      <c r="F1" s="680"/>
      <c r="G1" s="680"/>
      <c r="H1" s="680"/>
      <c r="I1" s="680"/>
      <c r="J1" s="680"/>
      <c r="K1" s="680"/>
      <c r="M1" s="74"/>
      <c r="N1" s="73"/>
      <c r="O1" s="73"/>
    </row>
    <row r="2" spans="1:16" ht="24" customHeight="1">
      <c r="A2" s="681" t="s">
        <v>688</v>
      </c>
      <c r="B2" s="681"/>
      <c r="C2" s="681"/>
      <c r="D2" s="681"/>
      <c r="E2" s="681"/>
      <c r="F2" s="681"/>
      <c r="G2" s="681"/>
      <c r="H2" s="681"/>
      <c r="I2" s="681"/>
      <c r="J2" s="681"/>
      <c r="K2" s="681"/>
      <c r="L2" s="62"/>
      <c r="M2" s="62"/>
      <c r="N2" s="62"/>
      <c r="O2" s="62"/>
      <c r="P2" s="62"/>
    </row>
    <row r="3" spans="1:16" ht="24" customHeight="1">
      <c r="A3" s="680" t="s">
        <v>1373</v>
      </c>
      <c r="B3" s="680"/>
      <c r="C3" s="680"/>
      <c r="D3" s="680"/>
      <c r="E3" s="680"/>
      <c r="F3" s="680"/>
      <c r="G3" s="680"/>
      <c r="H3" s="680"/>
      <c r="I3" s="680"/>
      <c r="J3" s="680"/>
      <c r="K3" s="680"/>
    </row>
    <row r="4" spans="1:16" ht="15" customHeight="1">
      <c r="A4" s="63"/>
      <c r="B4" s="63"/>
      <c r="C4" s="63"/>
      <c r="D4" s="63"/>
      <c r="E4" s="63"/>
      <c r="F4" s="63"/>
      <c r="G4" s="63"/>
      <c r="H4" s="63"/>
    </row>
    <row r="5" spans="1:16" ht="15" customHeight="1">
      <c r="B5" s="10"/>
      <c r="C5" s="43"/>
      <c r="D5" s="644"/>
      <c r="E5" s="43" t="s">
        <v>815</v>
      </c>
      <c r="F5" s="644"/>
      <c r="G5" s="43" t="s">
        <v>816</v>
      </c>
      <c r="H5" s="644"/>
      <c r="I5" s="644"/>
      <c r="J5" s="644"/>
      <c r="K5" s="644"/>
    </row>
    <row r="6" spans="1:16" ht="15" customHeight="1">
      <c r="C6" s="43" t="s">
        <v>813</v>
      </c>
      <c r="D6" s="43" t="s">
        <v>814</v>
      </c>
      <c r="E6" s="43" t="s">
        <v>583</v>
      </c>
      <c r="F6" s="43" t="s">
        <v>815</v>
      </c>
      <c r="G6" s="156" t="str">
        <f>'Fund Cover Sheets'!$N$1</f>
        <v>Adopted</v>
      </c>
      <c r="H6" s="43" t="s">
        <v>817</v>
      </c>
      <c r="I6" s="43" t="s">
        <v>818</v>
      </c>
      <c r="J6" s="43" t="s">
        <v>819</v>
      </c>
      <c r="K6" s="43" t="s">
        <v>820</v>
      </c>
    </row>
    <row r="7" spans="1:16" ht="15" customHeight="1" thickBot="1">
      <c r="B7" s="25" t="s">
        <v>639</v>
      </c>
      <c r="C7" s="45" t="s">
        <v>1</v>
      </c>
      <c r="D7" s="45" t="s">
        <v>1</v>
      </c>
      <c r="E7" s="45" t="s">
        <v>553</v>
      </c>
      <c r="F7" s="45" t="s">
        <v>19</v>
      </c>
      <c r="G7" s="45" t="s">
        <v>553</v>
      </c>
      <c r="H7" s="45" t="s">
        <v>19</v>
      </c>
      <c r="I7" s="45" t="s">
        <v>19</v>
      </c>
      <c r="J7" s="45" t="s">
        <v>19</v>
      </c>
      <c r="K7" s="45" t="s">
        <v>19</v>
      </c>
    </row>
    <row r="8" spans="1:16" ht="15" customHeight="1">
      <c r="B8" s="10"/>
      <c r="C8" s="43"/>
      <c r="D8" s="43"/>
      <c r="E8" s="43"/>
      <c r="F8" s="43"/>
      <c r="G8" s="43"/>
      <c r="H8" s="43"/>
      <c r="I8" s="43"/>
      <c r="J8" s="43"/>
      <c r="K8" s="43"/>
    </row>
    <row r="9" spans="1:16" ht="24" customHeight="1">
      <c r="A9" s="132" t="s">
        <v>1426</v>
      </c>
      <c r="C9" s="49">
        <f>'Fund Cover Sheets'!C37</f>
        <v>7512060</v>
      </c>
      <c r="D9" s="49">
        <f>'Fund Cover Sheets'!D37</f>
        <v>9172354</v>
      </c>
      <c r="E9" s="49">
        <f>'Fund Cover Sheets'!E37</f>
        <v>7512060</v>
      </c>
      <c r="F9" s="49">
        <f>'Fund Cover Sheets'!F37</f>
        <v>9398466.2699999996</v>
      </c>
      <c r="G9" s="49">
        <f>'Fund Cover Sheets'!G37</f>
        <v>9398466.2699999996</v>
      </c>
      <c r="H9" s="49">
        <f>'Fund Cover Sheets'!H37</f>
        <v>8304545.2699999996</v>
      </c>
      <c r="I9" s="49">
        <f>'Fund Cover Sheets'!I37</f>
        <v>7680874.2699999996</v>
      </c>
      <c r="J9" s="49">
        <f>'Fund Cover Sheets'!J37</f>
        <v>6779286.2699999996</v>
      </c>
      <c r="K9" s="49">
        <f>'Fund Cover Sheets'!K37</f>
        <v>6145185.2699999996</v>
      </c>
    </row>
    <row r="10" spans="1:16" ht="15" customHeight="1">
      <c r="A10" s="64"/>
      <c r="C10" s="2"/>
      <c r="D10" s="2"/>
      <c r="E10" s="2"/>
      <c r="F10" s="2"/>
      <c r="G10" s="2"/>
      <c r="H10" s="2"/>
      <c r="I10" s="15"/>
      <c r="J10" s="15"/>
      <c r="K10" s="15"/>
    </row>
    <row r="11" spans="1:16" ht="15" customHeight="1">
      <c r="A11" s="64"/>
      <c r="C11" s="2"/>
      <c r="D11" s="2"/>
      <c r="E11" s="2"/>
      <c r="F11" s="2"/>
      <c r="G11" s="2"/>
      <c r="H11" s="2"/>
      <c r="I11" s="15"/>
      <c r="J11" s="15"/>
      <c r="K11" s="15"/>
    </row>
    <row r="12" spans="1:16" ht="15" customHeight="1">
      <c r="A12" s="64"/>
      <c r="C12" s="2"/>
      <c r="D12" s="2"/>
      <c r="E12" s="2"/>
      <c r="F12" s="2"/>
      <c r="G12" s="2"/>
      <c r="H12" s="2"/>
      <c r="I12" s="15"/>
      <c r="J12" s="15"/>
      <c r="K12" s="15"/>
    </row>
    <row r="13" spans="1:16" ht="24" customHeight="1">
      <c r="A13" s="46" t="s">
        <v>641</v>
      </c>
      <c r="B13" s="1"/>
      <c r="C13" s="2"/>
      <c r="D13" s="2"/>
      <c r="E13" s="2"/>
      <c r="F13" s="2"/>
      <c r="G13" s="2"/>
      <c r="H13" s="2"/>
      <c r="I13" s="15"/>
      <c r="J13" s="15"/>
      <c r="K13" s="15"/>
    </row>
    <row r="14" spans="1:16" ht="24" customHeight="1">
      <c r="A14" s="52">
        <v>-15</v>
      </c>
      <c r="B14" s="1" t="s">
        <v>570</v>
      </c>
      <c r="C14" s="2">
        <f>'Fund Cover Sheets'!C143</f>
        <v>695707</v>
      </c>
      <c r="D14" s="2">
        <f>'Fund Cover Sheets'!D143</f>
        <v>1243821</v>
      </c>
      <c r="E14" s="2">
        <f>'Fund Cover Sheets'!E143</f>
        <v>-267652</v>
      </c>
      <c r="F14" s="2">
        <f>'Fund Cover Sheets'!F143</f>
        <v>270323</v>
      </c>
      <c r="G14" s="2">
        <f>'Fund Cover Sheets'!G143</f>
        <v>169838</v>
      </c>
      <c r="H14" s="2">
        <f>'Fund Cover Sheets'!H143</f>
        <v>66205</v>
      </c>
      <c r="I14" s="2">
        <f>'Fund Cover Sheets'!I143</f>
        <v>31670</v>
      </c>
      <c r="J14" s="2">
        <f>'Fund Cover Sheets'!J143</f>
        <v>17595</v>
      </c>
      <c r="K14" s="2">
        <f>'Fund Cover Sheets'!K143</f>
        <v>24849</v>
      </c>
    </row>
    <row r="15" spans="1:16" ht="24" customHeight="1">
      <c r="A15" s="52">
        <v>-79</v>
      </c>
      <c r="B15" s="1" t="s">
        <v>642</v>
      </c>
      <c r="C15" s="2">
        <f>'Fund Cover Sheets'!C545</f>
        <v>411485</v>
      </c>
      <c r="D15" s="2">
        <f>'Fund Cover Sheets'!D545</f>
        <v>73000</v>
      </c>
      <c r="E15" s="2">
        <f>'Fund Cover Sheets'!E545</f>
        <v>0</v>
      </c>
      <c r="F15" s="2">
        <f>'Fund Cover Sheets'!F545</f>
        <v>0</v>
      </c>
      <c r="G15" s="2">
        <f>'Fund Cover Sheets'!G545</f>
        <v>0</v>
      </c>
      <c r="H15" s="2">
        <f>'Fund Cover Sheets'!H545</f>
        <v>0</v>
      </c>
      <c r="I15" s="2">
        <f>'Fund Cover Sheets'!I545</f>
        <v>0</v>
      </c>
      <c r="J15" s="2">
        <f>'Fund Cover Sheets'!J545</f>
        <v>0</v>
      </c>
      <c r="K15" s="2">
        <f>'Fund Cover Sheets'!K545</f>
        <v>0</v>
      </c>
    </row>
    <row r="16" spans="1:16" ht="24" customHeight="1">
      <c r="A16" s="52">
        <v>-72</v>
      </c>
      <c r="B16" s="1" t="s">
        <v>483</v>
      </c>
      <c r="C16" s="2">
        <f>'Fund Cover Sheets'!C499</f>
        <v>247841</v>
      </c>
      <c r="D16" s="2">
        <f>'Fund Cover Sheets'!D499</f>
        <v>31131</v>
      </c>
      <c r="E16" s="2">
        <f>'Fund Cover Sheets'!E499</f>
        <v>59959</v>
      </c>
      <c r="F16" s="2">
        <f>'Fund Cover Sheets'!F499</f>
        <v>0</v>
      </c>
      <c r="G16" s="2">
        <f>'Fund Cover Sheets'!G499</f>
        <v>0</v>
      </c>
      <c r="H16" s="2">
        <f>'Fund Cover Sheets'!H499</f>
        <v>0</v>
      </c>
      <c r="I16" s="2">
        <f>'Fund Cover Sheets'!I499</f>
        <v>0</v>
      </c>
      <c r="J16" s="2">
        <f>'Fund Cover Sheets'!J499</f>
        <v>0</v>
      </c>
      <c r="K16" s="2">
        <f>'Fund Cover Sheets'!K499</f>
        <v>0</v>
      </c>
    </row>
    <row r="17" spans="1:11" ht="24" customHeight="1">
      <c r="A17" s="52">
        <v>-87</v>
      </c>
      <c r="B17" s="1" t="s">
        <v>418</v>
      </c>
      <c r="C17" s="2">
        <f>'Fund Cover Sheets'!C669</f>
        <v>-1141784</v>
      </c>
      <c r="D17" s="2">
        <f>'Fund Cover Sheets'!D669</f>
        <v>-1211222</v>
      </c>
      <c r="E17" s="2">
        <f>'Fund Cover Sheets'!E669</f>
        <v>-1175479</v>
      </c>
      <c r="F17" s="2">
        <f>'Fund Cover Sheets'!F669</f>
        <v>-1182714</v>
      </c>
      <c r="G17" s="2">
        <f>'Fund Cover Sheets'!G669</f>
        <v>-1177872</v>
      </c>
      <c r="H17" s="2">
        <f>'Fund Cover Sheets'!H669</f>
        <v>-1168336</v>
      </c>
      <c r="I17" s="2">
        <f>'Fund Cover Sheets'!I669</f>
        <v>-1152440</v>
      </c>
      <c r="J17" s="2">
        <f>'Fund Cover Sheets'!J669</f>
        <v>-1287127</v>
      </c>
      <c r="K17" s="2">
        <f>'Fund Cover Sheets'!K669</f>
        <v>-1410929</v>
      </c>
    </row>
    <row r="18" spans="1:11" ht="24" customHeight="1">
      <c r="A18" s="52">
        <v>-88</v>
      </c>
      <c r="B18" s="1" t="s">
        <v>420</v>
      </c>
      <c r="C18" s="2">
        <f>'Fund Cover Sheets'!C705</f>
        <v>-1237549</v>
      </c>
      <c r="D18" s="2">
        <f>'Fund Cover Sheets'!D705</f>
        <v>-1448929</v>
      </c>
      <c r="E18" s="2">
        <f>'Fund Cover Sheets'!E705</f>
        <v>-1682954</v>
      </c>
      <c r="F18" s="2">
        <f>'Fund Cover Sheets'!F705</f>
        <v>-1638038</v>
      </c>
      <c r="G18" s="2">
        <f>'Fund Cover Sheets'!G705</f>
        <v>-1629650</v>
      </c>
      <c r="H18" s="2">
        <f>'Fund Cover Sheets'!H705</f>
        <v>-1618595</v>
      </c>
      <c r="I18" s="2">
        <f>'Fund Cover Sheets'!I705</f>
        <v>-1608057</v>
      </c>
      <c r="J18" s="2">
        <f>'Fund Cover Sheets'!J705</f>
        <v>-1598103</v>
      </c>
      <c r="K18" s="2">
        <f>'Fund Cover Sheets'!K705</f>
        <v>-1588806</v>
      </c>
    </row>
    <row r="19" spans="1:11" ht="24" customHeight="1">
      <c r="A19" s="52">
        <v>-89</v>
      </c>
      <c r="B19" s="1" t="s">
        <v>1031</v>
      </c>
      <c r="C19" s="2">
        <f>'Fund Cover Sheets'!C743</f>
        <v>-73799</v>
      </c>
      <c r="D19" s="2">
        <f>'Fund Cover Sheets'!D743</f>
        <v>-47869</v>
      </c>
      <c r="E19" s="2">
        <f>'Fund Cover Sheets'!E743</f>
        <v>-31910</v>
      </c>
      <c r="F19" s="2">
        <f>'Fund Cover Sheets'!F743</f>
        <v>-6910</v>
      </c>
      <c r="G19" s="2">
        <f>'Fund Cover Sheets'!G743</f>
        <v>61943</v>
      </c>
      <c r="H19" s="2">
        <f>'Fund Cover Sheets'!H743</f>
        <v>150780</v>
      </c>
      <c r="I19" s="2">
        <f>'Fund Cover Sheets'!I743</f>
        <v>236163</v>
      </c>
      <c r="J19" s="2">
        <f>'Fund Cover Sheets'!J743</f>
        <v>325052</v>
      </c>
      <c r="K19" s="2">
        <f>'Fund Cover Sheets'!K743</f>
        <v>416092</v>
      </c>
    </row>
    <row r="20" spans="1:11" ht="24" customHeight="1">
      <c r="A20" s="52">
        <v>-11</v>
      </c>
      <c r="B20" s="1" t="s">
        <v>643</v>
      </c>
      <c r="C20" s="2">
        <f>'Fund Cover Sheets'!C71</f>
        <v>13492</v>
      </c>
      <c r="D20" s="2">
        <f>'Fund Cover Sheets'!D71</f>
        <v>10231</v>
      </c>
      <c r="E20" s="2">
        <f>'Fund Cover Sheets'!E71</f>
        <v>-32199</v>
      </c>
      <c r="F20" s="2">
        <f>'Fund Cover Sheets'!F71</f>
        <v>15065</v>
      </c>
      <c r="G20" s="2">
        <f>'Fund Cover Sheets'!G71</f>
        <v>-22635</v>
      </c>
      <c r="H20" s="2">
        <f>'Fund Cover Sheets'!H71</f>
        <v>-12275</v>
      </c>
      <c r="I20" s="2">
        <f>'Fund Cover Sheets'!I71</f>
        <v>585</v>
      </c>
      <c r="J20" s="2">
        <f>'Fund Cover Sheets'!J71</f>
        <v>13445</v>
      </c>
      <c r="K20" s="2">
        <f>'Fund Cover Sheets'!K71</f>
        <v>24577</v>
      </c>
    </row>
    <row r="21" spans="1:11" ht="24" customHeight="1">
      <c r="A21" s="52">
        <v>-12</v>
      </c>
      <c r="B21" s="1" t="s">
        <v>644</v>
      </c>
      <c r="C21" s="2">
        <f>'Fund Cover Sheets'!C106</f>
        <v>-16200</v>
      </c>
      <c r="D21" s="2">
        <f>'Fund Cover Sheets'!D106</f>
        <v>-8409</v>
      </c>
      <c r="E21" s="2">
        <f>'Fund Cover Sheets'!E106</f>
        <v>-9237</v>
      </c>
      <c r="F21" s="2">
        <f>'Fund Cover Sheets'!F106</f>
        <v>-3046</v>
      </c>
      <c r="G21" s="2">
        <f>'Fund Cover Sheets'!G106</f>
        <v>754</v>
      </c>
      <c r="H21" s="2">
        <f>'Fund Cover Sheets'!H106</f>
        <v>4114</v>
      </c>
      <c r="I21" s="2">
        <f>'Fund Cover Sheets'!I106</f>
        <v>7474</v>
      </c>
      <c r="J21" s="2">
        <f>'Fund Cover Sheets'!J106</f>
        <v>10834</v>
      </c>
      <c r="K21" s="2">
        <f>'Fund Cover Sheets'!K106</f>
        <v>12466</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1427</v>
      </c>
      <c r="B25" s="1"/>
      <c r="C25" s="2">
        <f>'Fund Cover Sheets'!C358</f>
        <v>0</v>
      </c>
      <c r="D25" s="2">
        <f>'Fund Cover Sheets'!D358</f>
        <v>0</v>
      </c>
      <c r="E25" s="2">
        <f>'Fund Cover Sheets'!E358</f>
        <v>0</v>
      </c>
      <c r="F25" s="2">
        <f>'Fund Cover Sheets'!F358</f>
        <v>0</v>
      </c>
      <c r="G25" s="2">
        <f>'Fund Cover Sheets'!G358</f>
        <v>0</v>
      </c>
      <c r="H25" s="2">
        <f>'Fund Cover Sheets'!H358</f>
        <v>0</v>
      </c>
      <c r="I25" s="2">
        <f>'Fund Cover Sheets'!I358</f>
        <v>0</v>
      </c>
      <c r="J25" s="2">
        <f>'Fund Cover Sheets'!J358</f>
        <v>0</v>
      </c>
      <c r="K25" s="2">
        <f>'Fund Cover Sheets'!K358</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646</v>
      </c>
      <c r="B29" s="1"/>
      <c r="C29" s="2"/>
      <c r="D29" s="2"/>
      <c r="E29" s="2"/>
      <c r="F29" s="2"/>
      <c r="G29" s="2"/>
      <c r="H29" s="2"/>
      <c r="I29" s="2"/>
      <c r="J29" s="2"/>
      <c r="K29" s="2"/>
    </row>
    <row r="30" spans="1:11" ht="24" customHeight="1">
      <c r="A30" s="52">
        <v>-25</v>
      </c>
      <c r="B30" s="1" t="s">
        <v>745</v>
      </c>
      <c r="C30" s="2">
        <f>'Fund Cover Sheets'!C321</f>
        <v>511692</v>
      </c>
      <c r="D30" s="2">
        <f>'Fund Cover Sheets'!D321</f>
        <v>1485791</v>
      </c>
      <c r="E30" s="2">
        <f>'Fund Cover Sheets'!E321</f>
        <v>273410</v>
      </c>
      <c r="F30" s="2">
        <f>'Fund Cover Sheets'!F321</f>
        <v>1488996</v>
      </c>
      <c r="G30" s="2">
        <f>'Fund Cover Sheets'!G321</f>
        <v>359643</v>
      </c>
      <c r="H30" s="2">
        <f>'Fund Cover Sheets'!H321</f>
        <v>320000</v>
      </c>
      <c r="I30" s="2">
        <f>'Fund Cover Sheets'!I321</f>
        <v>320000</v>
      </c>
      <c r="J30" s="2">
        <f>'Fund Cover Sheets'!J321</f>
        <v>320000</v>
      </c>
      <c r="K30" s="2">
        <f>'Fund Cover Sheets'!K321</f>
        <v>320000</v>
      </c>
    </row>
    <row r="31" spans="1:11" ht="24" customHeight="1">
      <c r="A31" s="52">
        <v>-23</v>
      </c>
      <c r="B31" s="1" t="s">
        <v>648</v>
      </c>
      <c r="C31" s="2">
        <f>'Fund Cover Sheets'!C191</f>
        <v>588155</v>
      </c>
      <c r="D31" s="2">
        <f>'Fund Cover Sheets'!D191</f>
        <v>119569</v>
      </c>
      <c r="E31" s="2">
        <f>'Fund Cover Sheets'!E191</f>
        <v>467802</v>
      </c>
      <c r="F31" s="2">
        <f>'Fund Cover Sheets'!F191</f>
        <v>1851069</v>
      </c>
      <c r="G31" s="2">
        <f>'Fund Cover Sheets'!G191</f>
        <v>254218</v>
      </c>
      <c r="H31" s="2">
        <f>'Fund Cover Sheets'!H191</f>
        <v>32580</v>
      </c>
      <c r="I31" s="2">
        <f>'Fund Cover Sheets'!I191</f>
        <v>32580</v>
      </c>
      <c r="J31" s="2">
        <f>'Fund Cover Sheets'!J191</f>
        <v>32580</v>
      </c>
      <c r="K31" s="2">
        <f>'Fund Cover Sheets'!K191</f>
        <v>32580</v>
      </c>
    </row>
    <row r="32" spans="1:11" ht="24" customHeight="1">
      <c r="A32" s="52">
        <v>-24</v>
      </c>
      <c r="B32" s="535" t="s">
        <v>1328</v>
      </c>
      <c r="C32" s="2">
        <f>'Fund Cover Sheets'!C241</f>
        <v>0</v>
      </c>
      <c r="D32" s="2">
        <f>'Fund Cover Sheets'!D241</f>
        <v>0</v>
      </c>
      <c r="E32" s="2">
        <f>'Fund Cover Sheets'!E241</f>
        <v>0</v>
      </c>
      <c r="F32" s="2">
        <f>'Fund Cover Sheets'!F241</f>
        <v>10641399</v>
      </c>
      <c r="G32" s="2">
        <f>'Fund Cover Sheets'!G241</f>
        <v>777068</v>
      </c>
      <c r="H32" s="2">
        <f>'Fund Cover Sheets'!H241</f>
        <v>12041616</v>
      </c>
      <c r="I32" s="2">
        <f>'Fund Cover Sheets'!I241</f>
        <v>602671</v>
      </c>
      <c r="J32" s="2">
        <f>'Fund Cover Sheets'!J241</f>
        <v>0</v>
      </c>
      <c r="K32" s="2">
        <f>'Fund Cover Sheets'!K241</f>
        <v>0</v>
      </c>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c r="A35" s="1"/>
      <c r="B35" s="1"/>
      <c r="C35" s="2"/>
      <c r="D35" s="2"/>
      <c r="E35" s="2"/>
      <c r="F35" s="2"/>
      <c r="G35" s="2"/>
      <c r="H35" s="2"/>
      <c r="I35" s="2"/>
      <c r="J35" s="2"/>
      <c r="K35" s="2"/>
    </row>
    <row r="36" spans="1:11" ht="24" customHeight="1">
      <c r="A36" s="46" t="s">
        <v>689</v>
      </c>
      <c r="B36" s="1"/>
      <c r="C36" s="2"/>
      <c r="D36" s="2"/>
      <c r="E36" s="2"/>
      <c r="F36" s="2"/>
      <c r="G36" s="2"/>
      <c r="H36" s="2"/>
      <c r="I36" s="2"/>
      <c r="J36" s="2"/>
      <c r="K36" s="2"/>
    </row>
    <row r="37" spans="1:11" ht="24" customHeight="1">
      <c r="A37" s="52">
        <v>-51</v>
      </c>
      <c r="B37" s="1" t="s">
        <v>481</v>
      </c>
      <c r="C37" s="2">
        <f>'Fund Cover Sheets'!C407</f>
        <v>3268245</v>
      </c>
      <c r="D37" s="2">
        <f>'Fund Cover Sheets'!D407</f>
        <v>3901358</v>
      </c>
      <c r="E37" s="2">
        <f>'Fund Cover Sheets'!E407</f>
        <v>2600578</v>
      </c>
      <c r="F37" s="2">
        <f>'Fund Cover Sheets'!F407</f>
        <v>3794969</v>
      </c>
      <c r="G37" s="2">
        <f>'Fund Cover Sheets'!G407</f>
        <v>1880869</v>
      </c>
      <c r="H37" s="2">
        <f>'Fund Cover Sheets'!H407</f>
        <v>903975</v>
      </c>
      <c r="I37" s="2">
        <f>'Fund Cover Sheets'!I407</f>
        <v>-347456</v>
      </c>
      <c r="J37" s="2">
        <f>'Fund Cover Sheets'!J407</f>
        <v>727366</v>
      </c>
      <c r="K37" s="2">
        <f>'Fund Cover Sheets'!K407</f>
        <v>2787099</v>
      </c>
    </row>
    <row r="38" spans="1:11" ht="24" customHeight="1">
      <c r="A38" s="52">
        <v>-52</v>
      </c>
      <c r="B38" s="1" t="s">
        <v>482</v>
      </c>
      <c r="C38" s="2">
        <f>'Fund Cover Sheets'!C457</f>
        <v>1222388</v>
      </c>
      <c r="D38" s="2">
        <f>'Fund Cover Sheets'!D457</f>
        <v>864688</v>
      </c>
      <c r="E38" s="2">
        <f>'Fund Cover Sheets'!E457</f>
        <v>692051</v>
      </c>
      <c r="F38" s="2">
        <f>'Fund Cover Sheets'!F457</f>
        <v>953507</v>
      </c>
      <c r="G38" s="2">
        <f>'Fund Cover Sheets'!G457</f>
        <v>1562682</v>
      </c>
      <c r="H38" s="2">
        <f>'Fund Cover Sheets'!H457</f>
        <v>1504717</v>
      </c>
      <c r="I38" s="2">
        <f>'Fund Cover Sheets'!I457</f>
        <v>791520</v>
      </c>
      <c r="J38" s="2">
        <f>'Fund Cover Sheets'!J457</f>
        <v>574190</v>
      </c>
      <c r="K38" s="2">
        <f>'Fund Cover Sheets'!K457</f>
        <v>931937</v>
      </c>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ht="24" customHeight="1">
      <c r="A42" s="46" t="s">
        <v>650</v>
      </c>
      <c r="B42" s="1"/>
      <c r="C42" s="2"/>
      <c r="D42" s="2"/>
      <c r="E42" s="2"/>
      <c r="F42" s="2"/>
      <c r="G42" s="2"/>
      <c r="H42" s="2"/>
      <c r="I42" s="2"/>
      <c r="J42" s="2"/>
      <c r="K42" s="2"/>
    </row>
    <row r="43" spans="1:11" ht="24" customHeight="1">
      <c r="A43" s="52">
        <v>-82</v>
      </c>
      <c r="B43" s="1" t="s">
        <v>475</v>
      </c>
      <c r="C43" s="2">
        <f>'Fund Cover Sheets'!C591</f>
        <v>578607</v>
      </c>
      <c r="D43" s="2">
        <f>'Fund Cover Sheets'!D591</f>
        <v>638033</v>
      </c>
      <c r="E43" s="2">
        <f>'Fund Cover Sheets'!E591</f>
        <v>578676</v>
      </c>
      <c r="F43" s="2">
        <f>'Fund Cover Sheets'!F591</f>
        <v>675831</v>
      </c>
      <c r="G43" s="2">
        <f>'Fund Cover Sheets'!G591</f>
        <v>663784</v>
      </c>
      <c r="H43" s="2">
        <f>'Fund Cover Sheets'!H591</f>
        <v>652283</v>
      </c>
      <c r="I43" s="2">
        <f>'Fund Cover Sheets'!I591</f>
        <v>632805</v>
      </c>
      <c r="J43" s="2">
        <f>'Fund Cover Sheets'!J591</f>
        <v>609744</v>
      </c>
      <c r="K43" s="2">
        <f>'Fund Cover Sheets'!K591</f>
        <v>581446</v>
      </c>
    </row>
    <row r="44" spans="1:11" ht="24" customHeight="1">
      <c r="A44" s="52">
        <v>-84</v>
      </c>
      <c r="B44" s="1" t="s">
        <v>651</v>
      </c>
      <c r="C44" s="2">
        <f>'Fund Cover Sheets'!C632</f>
        <v>123583</v>
      </c>
      <c r="D44" s="2">
        <f>'Fund Cover Sheets'!D632</f>
        <v>169188</v>
      </c>
      <c r="E44" s="2">
        <f>'Fund Cover Sheets'!E632</f>
        <v>107933</v>
      </c>
      <c r="F44" s="2">
        <f>'Fund Cover Sheets'!F632</f>
        <v>180862</v>
      </c>
      <c r="G44" s="2">
        <f>'Fund Cover Sheets'!G632</f>
        <v>145712</v>
      </c>
      <c r="H44" s="2">
        <f>'Fund Cover Sheets'!H632</f>
        <v>110712</v>
      </c>
      <c r="I44" s="2">
        <f>'Fund Cover Sheets'!I632</f>
        <v>75962</v>
      </c>
      <c r="J44" s="2">
        <f>'Fund Cover Sheets'!J632</f>
        <v>41462</v>
      </c>
      <c r="K44" s="2">
        <f>'Fund Cover Sheets'!K632</f>
        <v>31552</v>
      </c>
    </row>
    <row r="45" spans="1:11">
      <c r="A45" s="46"/>
      <c r="B45" s="1"/>
      <c r="C45" s="2"/>
      <c r="D45" s="2"/>
      <c r="E45" s="2"/>
      <c r="F45" s="2"/>
      <c r="G45" s="2"/>
      <c r="H45" s="2"/>
      <c r="I45" s="2"/>
      <c r="J45" s="2"/>
      <c r="K45" s="2"/>
    </row>
    <row r="46" spans="1:11">
      <c r="B46" s="1"/>
      <c r="C46" s="65"/>
      <c r="D46" s="65"/>
      <c r="E46" s="65"/>
      <c r="F46" s="65"/>
      <c r="G46" s="2"/>
      <c r="H46" s="2"/>
      <c r="I46" s="15"/>
      <c r="J46" s="15"/>
      <c r="K46" s="15"/>
    </row>
    <row r="47" spans="1:11" ht="24" customHeight="1" thickBot="1">
      <c r="B47" s="58" t="s">
        <v>687</v>
      </c>
      <c r="C47" s="432">
        <f>SUM(C9:C46)</f>
        <v>12703923</v>
      </c>
      <c r="D47" s="432">
        <f t="shared" ref="D47:K47" si="0">SUM(D9:D46)</f>
        <v>14992735</v>
      </c>
      <c r="E47" s="432">
        <f t="shared" si="0"/>
        <v>9093038</v>
      </c>
      <c r="F47" s="432">
        <f t="shared" si="0"/>
        <v>26439779.27</v>
      </c>
      <c r="G47" s="432">
        <f t="shared" si="0"/>
        <v>12444820.27</v>
      </c>
      <c r="H47" s="432">
        <f t="shared" si="0"/>
        <v>21292321.27</v>
      </c>
      <c r="I47" s="432">
        <f t="shared" si="0"/>
        <v>7304351.2699999996</v>
      </c>
      <c r="J47" s="432">
        <f t="shared" si="0"/>
        <v>6566324.2699999996</v>
      </c>
      <c r="K47" s="432">
        <f t="shared" si="0"/>
        <v>8308048.2699999996</v>
      </c>
    </row>
    <row r="48" spans="1:11" ht="14.4" thickTop="1">
      <c r="B48" s="1"/>
      <c r="C48" s="15"/>
      <c r="D48" s="15"/>
      <c r="E48" s="15"/>
      <c r="F48" s="15"/>
      <c r="G48" s="15"/>
      <c r="H48" s="15"/>
      <c r="I48" s="15"/>
      <c r="J48" s="15"/>
      <c r="K48" s="15"/>
    </row>
    <row r="49" spans="1:11">
      <c r="A49" s="66" t="s">
        <v>690</v>
      </c>
      <c r="B49" s="67" t="s">
        <v>756</v>
      </c>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B53" s="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C61" s="15"/>
      <c r="D61" s="15"/>
      <c r="E61" s="15"/>
      <c r="F61" s="15"/>
      <c r="G61" s="15"/>
      <c r="H61" s="15"/>
      <c r="I61" s="15"/>
      <c r="J61" s="15"/>
      <c r="K61" s="15"/>
    </row>
    <row r="62" spans="1:11">
      <c r="A62" s="61"/>
      <c r="B62" s="61"/>
      <c r="C62" s="15"/>
      <c r="D62" s="15"/>
      <c r="E62" s="15"/>
      <c r="F62" s="15"/>
      <c r="G62" s="15"/>
      <c r="H62" s="15"/>
      <c r="I62" s="15"/>
      <c r="J62" s="15"/>
      <c r="K62" s="15"/>
    </row>
    <row r="63" spans="1:11">
      <c r="A63" s="61"/>
      <c r="B63" s="61"/>
      <c r="C63" s="15"/>
      <c r="D63" s="15"/>
      <c r="E63" s="15"/>
      <c r="F63" s="15"/>
      <c r="G63" s="15"/>
      <c r="H63" s="15"/>
      <c r="I63" s="15"/>
      <c r="J63" s="15"/>
      <c r="K63" s="15"/>
    </row>
    <row r="64" spans="1:11">
      <c r="A64" s="61"/>
      <c r="B64" s="61"/>
      <c r="C64" s="15"/>
      <c r="D64" s="15"/>
      <c r="E64" s="15"/>
      <c r="F64" s="15"/>
      <c r="G64" s="15"/>
      <c r="H64" s="15"/>
      <c r="I64" s="15"/>
      <c r="J64" s="15"/>
      <c r="K64" s="15"/>
    </row>
    <row r="65" spans="1:11">
      <c r="A65" s="61"/>
      <c r="B65" s="61"/>
      <c r="C65" s="15"/>
      <c r="D65" s="15"/>
      <c r="E65" s="15"/>
      <c r="F65" s="15"/>
      <c r="G65" s="15"/>
      <c r="H65" s="15"/>
      <c r="I65" s="15"/>
      <c r="J65" s="15"/>
      <c r="K65" s="15"/>
    </row>
    <row r="66" spans="1:11">
      <c r="A66" s="61"/>
      <c r="B66" s="61"/>
      <c r="C66" s="15"/>
      <c r="D66" s="15"/>
      <c r="E66" s="15"/>
      <c r="F66" s="15"/>
      <c r="G66" s="15"/>
      <c r="H66" s="15"/>
      <c r="I66" s="15"/>
      <c r="J66" s="15"/>
      <c r="K66" s="15"/>
    </row>
    <row r="67" spans="1:11">
      <c r="A67" s="61"/>
      <c r="B67" s="61"/>
      <c r="C67" s="15"/>
      <c r="D67" s="15"/>
      <c r="E67" s="15"/>
      <c r="F67" s="15"/>
      <c r="G67" s="15"/>
      <c r="H67" s="15"/>
      <c r="I67" s="15"/>
      <c r="J67" s="15"/>
      <c r="K67" s="15"/>
    </row>
    <row r="68" spans="1:11">
      <c r="A68" s="61"/>
      <c r="B68" s="61"/>
      <c r="C68" s="15"/>
      <c r="D68" s="15"/>
      <c r="E68" s="15"/>
      <c r="F68" s="15"/>
      <c r="G68" s="15"/>
      <c r="H68" s="15"/>
      <c r="I68" s="15"/>
      <c r="J68" s="15"/>
      <c r="K68" s="15"/>
    </row>
    <row r="69" spans="1:11">
      <c r="A69" s="61"/>
      <c r="B69" s="61"/>
      <c r="C69" s="15"/>
      <c r="D69" s="15"/>
      <c r="E69" s="15"/>
      <c r="F69" s="15"/>
      <c r="G69" s="15"/>
      <c r="H69" s="15"/>
      <c r="I69" s="15"/>
      <c r="J69" s="15"/>
      <c r="K69" s="15"/>
    </row>
    <row r="70" spans="1:11">
      <c r="A70" s="61"/>
      <c r="B70" s="61"/>
      <c r="C70" s="15"/>
      <c r="D70" s="15"/>
      <c r="E70" s="15"/>
      <c r="F70" s="15"/>
      <c r="G70" s="15"/>
      <c r="H70" s="15"/>
      <c r="I70" s="15"/>
      <c r="J70" s="15"/>
      <c r="K70" s="15"/>
    </row>
    <row r="71" spans="1:11">
      <c r="A71" s="61"/>
      <c r="B71" s="61"/>
      <c r="C71" s="15"/>
      <c r="D71" s="15"/>
      <c r="E71" s="15"/>
      <c r="F71" s="15"/>
      <c r="G71" s="15"/>
      <c r="H71" s="15"/>
      <c r="I71" s="15"/>
      <c r="J71" s="15"/>
      <c r="K71" s="15"/>
    </row>
    <row r="72" spans="1:11">
      <c r="A72" s="61"/>
      <c r="B72" s="61"/>
      <c r="C72" s="15"/>
      <c r="D72" s="15"/>
      <c r="E72" s="15"/>
      <c r="F72" s="15"/>
      <c r="G72" s="15"/>
      <c r="H72" s="15"/>
      <c r="I72" s="15"/>
      <c r="J72" s="15"/>
      <c r="K72" s="15"/>
    </row>
    <row r="73" spans="1:11">
      <c r="A73" s="61"/>
      <c r="B73" s="61"/>
      <c r="C73" s="15"/>
      <c r="D73" s="15"/>
      <c r="E73" s="15"/>
      <c r="F73" s="15"/>
      <c r="G73" s="15"/>
      <c r="H73" s="15"/>
      <c r="I73" s="15"/>
      <c r="J73" s="15"/>
      <c r="K73" s="15"/>
    </row>
    <row r="74" spans="1:11">
      <c r="A74" s="61"/>
      <c r="B74" s="61"/>
      <c r="E74" s="9"/>
      <c r="F74" s="9"/>
      <c r="G74" s="9"/>
      <c r="H74" s="9"/>
      <c r="I74" s="9"/>
      <c r="J74" s="9"/>
      <c r="K74" s="9"/>
    </row>
    <row r="75" spans="1:11">
      <c r="A75" s="61"/>
      <c r="B75" s="61"/>
      <c r="E75" s="9"/>
      <c r="F75" s="9"/>
      <c r="G75" s="9"/>
      <c r="H75" s="9"/>
      <c r="I75" s="9"/>
      <c r="J75" s="9"/>
      <c r="K75" s="9"/>
    </row>
    <row r="76" spans="1:11">
      <c r="A76" s="61"/>
      <c r="B76" s="61"/>
      <c r="E76" s="9"/>
      <c r="F76" s="9"/>
      <c r="G76" s="9"/>
      <c r="H76" s="9"/>
      <c r="I76" s="9"/>
      <c r="J76" s="9"/>
      <c r="K76" s="9"/>
    </row>
    <row r="77" spans="1:11">
      <c r="A77" s="61"/>
      <c r="B77" s="61"/>
      <c r="E77" s="9"/>
      <c r="F77" s="9"/>
      <c r="G77" s="9"/>
      <c r="H77" s="9"/>
      <c r="I77" s="9"/>
      <c r="J77" s="9"/>
      <c r="K77" s="9"/>
    </row>
    <row r="78" spans="1:11">
      <c r="A78" s="61"/>
      <c r="B78" s="61"/>
      <c r="C78" s="61"/>
      <c r="D78" s="61"/>
      <c r="E78" s="9"/>
      <c r="F78" s="9"/>
      <c r="G78" s="9"/>
      <c r="H78" s="9"/>
      <c r="I78" s="9"/>
      <c r="J78" s="9"/>
      <c r="K78" s="9"/>
    </row>
    <row r="79" spans="1:11">
      <c r="A79" s="61"/>
      <c r="B79" s="61"/>
      <c r="C79" s="61"/>
      <c r="D79" s="61"/>
      <c r="E79" s="9"/>
      <c r="F79" s="9"/>
      <c r="G79" s="9"/>
      <c r="H79" s="9"/>
      <c r="I79" s="9"/>
      <c r="J79" s="9"/>
      <c r="K79" s="9"/>
    </row>
    <row r="80" spans="1:11">
      <c r="A80" s="61"/>
      <c r="B80" s="61"/>
      <c r="C80" s="61"/>
      <c r="D80" s="61"/>
      <c r="E80" s="9"/>
      <c r="F80" s="9"/>
      <c r="G80" s="9"/>
      <c r="H80" s="9"/>
      <c r="I80" s="9"/>
      <c r="J80" s="9"/>
      <c r="K80" s="9"/>
    </row>
    <row r="81" spans="1:11">
      <c r="A81" s="61"/>
      <c r="B81" s="61"/>
      <c r="C81" s="61"/>
      <c r="D81" s="61"/>
      <c r="E81" s="9"/>
      <c r="F81" s="9"/>
      <c r="G81" s="9"/>
      <c r="H81" s="9"/>
      <c r="I81" s="9"/>
      <c r="J81" s="9"/>
      <c r="K81" s="9"/>
    </row>
    <row r="82" spans="1:11">
      <c r="A82" s="61"/>
      <c r="B82" s="61"/>
      <c r="C82" s="61"/>
      <c r="D82" s="61"/>
      <c r="E82" s="9"/>
      <c r="F82" s="9"/>
      <c r="G82" s="9"/>
      <c r="H82" s="9"/>
      <c r="I82" s="9"/>
      <c r="J82" s="9"/>
      <c r="K82" s="9"/>
    </row>
    <row r="83" spans="1:11">
      <c r="A83" s="61"/>
      <c r="B83" s="61"/>
      <c r="C83" s="61"/>
      <c r="D83" s="61"/>
      <c r="E83" s="9"/>
      <c r="F83" s="9"/>
      <c r="G83" s="9"/>
      <c r="H83" s="9"/>
      <c r="I83" s="9"/>
      <c r="J83" s="9"/>
      <c r="K83" s="9"/>
    </row>
    <row r="84" spans="1:11">
      <c r="A84" s="61"/>
      <c r="B84" s="61"/>
      <c r="C84" s="61"/>
      <c r="D84" s="61"/>
      <c r="E84" s="9"/>
      <c r="F84" s="9"/>
      <c r="G84" s="9"/>
      <c r="H84" s="9"/>
      <c r="I84" s="9"/>
      <c r="J84" s="9"/>
      <c r="K84" s="9"/>
    </row>
    <row r="85" spans="1:11">
      <c r="A85" s="61"/>
      <c r="B85" s="61"/>
      <c r="C85" s="61"/>
      <c r="D85" s="61"/>
      <c r="E85" s="9"/>
      <c r="F85" s="9"/>
      <c r="G85" s="9"/>
      <c r="H85" s="9"/>
      <c r="I85" s="9"/>
      <c r="J85" s="9"/>
      <c r="K85" s="9"/>
    </row>
    <row r="86" spans="1:11">
      <c r="A86" s="61"/>
      <c r="B86" s="61"/>
      <c r="C86" s="61"/>
      <c r="D86" s="61"/>
      <c r="E86" s="9"/>
      <c r="F86" s="9"/>
      <c r="G86" s="9"/>
      <c r="H86" s="9"/>
      <c r="I86" s="9"/>
      <c r="J86" s="9"/>
      <c r="K86" s="9"/>
    </row>
    <row r="87" spans="1:11">
      <c r="A87" s="61"/>
      <c r="B87" s="61"/>
      <c r="C87" s="61"/>
      <c r="D87" s="61"/>
      <c r="E87" s="9"/>
      <c r="F87" s="9"/>
      <c r="G87" s="9"/>
      <c r="H87" s="9"/>
      <c r="I87" s="9"/>
      <c r="J87" s="9"/>
      <c r="K87" s="9"/>
    </row>
    <row r="88" spans="1:11">
      <c r="A88" s="61"/>
      <c r="B88" s="61"/>
      <c r="C88" s="61"/>
      <c r="D88" s="61"/>
      <c r="E88" s="9"/>
      <c r="F88" s="9"/>
      <c r="G88" s="9"/>
      <c r="H88" s="9"/>
      <c r="I88" s="9"/>
      <c r="J88" s="9"/>
      <c r="K88" s="9"/>
    </row>
    <row r="89" spans="1:11">
      <c r="A89" s="61"/>
      <c r="B89" s="61"/>
      <c r="C89" s="61"/>
      <c r="D89" s="61"/>
      <c r="E89" s="9"/>
      <c r="F89" s="9"/>
      <c r="G89" s="9"/>
      <c r="H89" s="9"/>
      <c r="I89" s="9"/>
      <c r="J89" s="9"/>
      <c r="K89" s="9"/>
    </row>
    <row r="90" spans="1:11">
      <c r="A90" s="61"/>
      <c r="B90" s="61"/>
      <c r="C90" s="61"/>
      <c r="D90" s="61"/>
      <c r="E90" s="9"/>
      <c r="F90" s="9"/>
      <c r="G90" s="9"/>
      <c r="H90" s="9"/>
      <c r="I90" s="9"/>
      <c r="J90" s="9"/>
      <c r="K90" s="9"/>
    </row>
    <row r="91" spans="1:11">
      <c r="A91" s="61"/>
      <c r="B91" s="61"/>
      <c r="C91" s="61"/>
      <c r="D91" s="61"/>
      <c r="E91" s="9"/>
      <c r="F91" s="9"/>
      <c r="G91" s="9"/>
      <c r="H91" s="9"/>
      <c r="I91" s="9"/>
      <c r="J91" s="9"/>
      <c r="K91" s="9"/>
    </row>
    <row r="92" spans="1:11">
      <c r="A92" s="61"/>
      <c r="B92" s="61"/>
      <c r="C92" s="61"/>
      <c r="D92" s="61"/>
      <c r="E92" s="9"/>
      <c r="F92" s="9"/>
      <c r="G92" s="9"/>
      <c r="H92" s="9"/>
      <c r="I92" s="9"/>
      <c r="J92" s="9"/>
      <c r="K92" s="9"/>
    </row>
    <row r="93" spans="1:11">
      <c r="A93" s="61"/>
      <c r="B93" s="61"/>
      <c r="C93" s="61"/>
      <c r="D93" s="61"/>
      <c r="E93" s="9"/>
      <c r="F93" s="9"/>
      <c r="G93" s="9"/>
      <c r="H93" s="9"/>
      <c r="I93" s="9"/>
      <c r="J93" s="9"/>
      <c r="K93" s="9"/>
    </row>
    <row r="94" spans="1:11">
      <c r="A94" s="61"/>
      <c r="B94" s="61"/>
      <c r="C94" s="61"/>
      <c r="D94" s="61"/>
      <c r="E94" s="9"/>
      <c r="F94" s="9"/>
      <c r="G94" s="9"/>
      <c r="H94" s="9"/>
      <c r="I94" s="9"/>
      <c r="J94" s="9"/>
      <c r="K94" s="9"/>
    </row>
    <row r="95" spans="1:11">
      <c r="A95" s="61"/>
      <c r="B95" s="61"/>
      <c r="C95" s="61"/>
      <c r="D95" s="61"/>
      <c r="E95" s="9"/>
      <c r="F95" s="9"/>
      <c r="G95" s="9"/>
      <c r="H95" s="9"/>
      <c r="I95" s="9"/>
      <c r="J95" s="9"/>
      <c r="K95" s="9"/>
    </row>
    <row r="96" spans="1:11">
      <c r="A96" s="61"/>
      <c r="B96" s="61"/>
      <c r="C96" s="61"/>
      <c r="D96" s="61"/>
      <c r="E96" s="9"/>
      <c r="F96" s="9"/>
      <c r="G96" s="9"/>
      <c r="H96" s="9"/>
      <c r="I96" s="9"/>
      <c r="J96" s="9"/>
      <c r="K96" s="9"/>
    </row>
    <row r="97" spans="1:11">
      <c r="A97" s="61"/>
      <c r="B97" s="61"/>
      <c r="C97" s="61"/>
      <c r="D97" s="61"/>
      <c r="E97" s="9"/>
      <c r="F97" s="9"/>
      <c r="G97" s="9"/>
      <c r="H97" s="9"/>
      <c r="I97" s="9"/>
      <c r="J97" s="9"/>
      <c r="K97" s="9"/>
    </row>
    <row r="98" spans="1:11">
      <c r="A98" s="61"/>
      <c r="B98" s="61"/>
      <c r="C98" s="61"/>
      <c r="D98" s="61"/>
      <c r="E98" s="9"/>
      <c r="F98" s="9"/>
      <c r="G98" s="9"/>
      <c r="H98" s="9"/>
      <c r="I98" s="9"/>
      <c r="J98" s="9"/>
      <c r="K98" s="9"/>
    </row>
    <row r="99" spans="1:11">
      <c r="A99" s="61"/>
      <c r="B99" s="61"/>
      <c r="C99" s="61"/>
      <c r="D99" s="61"/>
      <c r="E99" s="9"/>
      <c r="F99" s="9"/>
      <c r="G99" s="9"/>
      <c r="H99" s="9"/>
      <c r="I99" s="9"/>
      <c r="J99" s="9"/>
      <c r="K99" s="9"/>
    </row>
    <row r="100" spans="1:11">
      <c r="A100" s="61"/>
      <c r="B100" s="61"/>
      <c r="C100" s="61"/>
      <c r="D100" s="61"/>
      <c r="E100" s="9"/>
      <c r="F100" s="9"/>
      <c r="G100" s="9"/>
      <c r="H100" s="9"/>
      <c r="I100" s="9"/>
      <c r="J100" s="9"/>
      <c r="K100" s="9"/>
    </row>
    <row r="404" spans="17:22">
      <c r="Q404" s="61">
        <v>6000</v>
      </c>
      <c r="R404" s="61">
        <v>6000</v>
      </c>
      <c r="S404" s="61">
        <v>6000</v>
      </c>
      <c r="T404" s="61">
        <v>6000</v>
      </c>
      <c r="U404" s="61">
        <v>6000</v>
      </c>
    </row>
    <row r="406" spans="17:22">
      <c r="V406" s="61" t="s">
        <v>1157</v>
      </c>
    </row>
  </sheetData>
  <mergeCells count="3">
    <mergeCell ref="A1:K1"/>
    <mergeCell ref="A2:K2"/>
    <mergeCell ref="A3:K3"/>
  </mergeCells>
  <printOptions horizontalCentered="1"/>
  <pageMargins left="0.5" right="0.1" top="0.5" bottom="0" header="0" footer="0"/>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9"/>
  <sheetViews>
    <sheetView zoomScale="75" zoomScaleNormal="75" workbookViewId="0">
      <selection activeCell="Q28" sqref="Q28"/>
    </sheetView>
  </sheetViews>
  <sheetFormatPr defaultColWidth="10.44140625" defaultRowHeight="13.8"/>
  <cols>
    <col min="1" max="1" width="2.6640625" style="9" customWidth="1"/>
    <col min="2" max="2" width="26.6640625" style="9" customWidth="1"/>
    <col min="3" max="3" width="2.6640625" style="9" customWidth="1"/>
    <col min="4" max="4" width="13.6640625" style="9" customWidth="1"/>
    <col min="5" max="5" width="2.6640625" style="9" customWidth="1"/>
    <col min="6" max="6" width="13.6640625" style="9" customWidth="1"/>
    <col min="7" max="7" width="2.6640625" style="9" customWidth="1"/>
    <col min="8" max="8" width="13.6640625" style="9" customWidth="1"/>
    <col min="9" max="9" width="2.6640625" style="9" customWidth="1"/>
    <col min="10" max="10" width="13.6640625" style="9" customWidth="1"/>
    <col min="11" max="11" width="2.6640625" style="9" customWidth="1"/>
    <col min="12" max="12" width="14.6640625" style="9" bestFit="1" customWidth="1"/>
    <col min="13" max="13" width="2.6640625" style="9" customWidth="1"/>
    <col min="14" max="14" width="14" style="9" bestFit="1" customWidth="1"/>
    <col min="15" max="15" width="6.88671875" style="43" customWidth="1"/>
    <col min="16" max="16384" width="10.44140625" style="9"/>
  </cols>
  <sheetData>
    <row r="1" spans="1:15" ht="17.399999999999999">
      <c r="A1" s="680" t="s">
        <v>638</v>
      </c>
      <c r="B1" s="680"/>
      <c r="C1" s="680"/>
      <c r="D1" s="680"/>
      <c r="E1" s="680"/>
      <c r="F1" s="680"/>
      <c r="G1" s="680"/>
      <c r="H1" s="680"/>
      <c r="I1" s="680"/>
      <c r="J1" s="680"/>
      <c r="K1" s="680"/>
      <c r="L1" s="680"/>
      <c r="M1" s="680"/>
      <c r="N1" s="680"/>
    </row>
    <row r="2" spans="1:15" ht="22.8">
      <c r="A2" s="681" t="s">
        <v>1375</v>
      </c>
      <c r="B2" s="681"/>
      <c r="C2" s="681"/>
      <c r="D2" s="681"/>
      <c r="E2" s="681"/>
      <c r="F2" s="681"/>
      <c r="G2" s="681"/>
      <c r="H2" s="681"/>
      <c r="I2" s="681"/>
      <c r="J2" s="681"/>
      <c r="K2" s="681"/>
      <c r="L2" s="681"/>
      <c r="M2" s="681"/>
      <c r="N2" s="681"/>
    </row>
    <row r="3" spans="1:15" ht="17.399999999999999">
      <c r="A3" s="680" t="s">
        <v>679</v>
      </c>
      <c r="B3" s="680"/>
      <c r="C3" s="680"/>
      <c r="D3" s="680"/>
      <c r="E3" s="680"/>
      <c r="F3" s="680"/>
      <c r="G3" s="680"/>
      <c r="H3" s="680"/>
      <c r="I3" s="680"/>
      <c r="J3" s="680"/>
      <c r="K3" s="680"/>
      <c r="L3" s="680"/>
      <c r="M3" s="680"/>
      <c r="N3" s="680"/>
    </row>
    <row r="4" spans="1:15">
      <c r="B4" s="10"/>
      <c r="C4" s="10"/>
      <c r="D4" s="10"/>
      <c r="E4" s="10"/>
      <c r="F4" s="10"/>
      <c r="G4" s="10"/>
      <c r="H4" s="10"/>
      <c r="I4" s="10"/>
      <c r="J4" s="10" t="s">
        <v>681</v>
      </c>
      <c r="K4" s="10"/>
      <c r="L4" s="10"/>
      <c r="M4" s="10"/>
      <c r="N4" s="54"/>
    </row>
    <row r="5" spans="1:15">
      <c r="C5" s="10"/>
      <c r="D5" s="10" t="s">
        <v>680</v>
      </c>
      <c r="E5" s="10"/>
      <c r="F5" s="10" t="s">
        <v>681</v>
      </c>
      <c r="G5" s="10"/>
      <c r="H5" s="10" t="s">
        <v>682</v>
      </c>
      <c r="I5" s="10"/>
      <c r="J5" s="10" t="s">
        <v>660</v>
      </c>
      <c r="K5" s="10"/>
      <c r="L5" s="10" t="s">
        <v>683</v>
      </c>
      <c r="M5" s="10"/>
      <c r="N5" s="10" t="s">
        <v>684</v>
      </c>
    </row>
    <row r="6" spans="1:15" ht="14.4" thickBot="1">
      <c r="B6" s="25" t="s">
        <v>639</v>
      </c>
      <c r="C6" s="55"/>
      <c r="D6" s="55" t="s">
        <v>427</v>
      </c>
      <c r="E6" s="25"/>
      <c r="F6" s="25" t="s">
        <v>685</v>
      </c>
      <c r="G6" s="25"/>
      <c r="H6" s="25" t="s">
        <v>424</v>
      </c>
      <c r="I6" s="25"/>
      <c r="J6" s="25" t="s">
        <v>1267</v>
      </c>
      <c r="K6" s="25"/>
      <c r="L6" s="25" t="s">
        <v>686</v>
      </c>
      <c r="M6" s="25"/>
      <c r="N6" s="25" t="s">
        <v>427</v>
      </c>
    </row>
    <row r="7" spans="1:15">
      <c r="B7" s="10"/>
      <c r="C7" s="56"/>
      <c r="D7" s="56"/>
      <c r="E7" s="10"/>
      <c r="F7" s="10"/>
      <c r="G7" s="10"/>
      <c r="H7" s="10"/>
      <c r="I7" s="10"/>
      <c r="J7" s="10"/>
      <c r="K7" s="10"/>
      <c r="L7" s="10"/>
      <c r="M7" s="10"/>
      <c r="N7" s="10"/>
    </row>
    <row r="8" spans="1:15" ht="24" customHeight="1">
      <c r="A8" s="46" t="s">
        <v>640</v>
      </c>
      <c r="B8" s="1"/>
      <c r="C8" s="48"/>
      <c r="D8" s="49">
        <f>'Fund Cover Sheets'!F37</f>
        <v>9398466.2699999996</v>
      </c>
      <c r="E8" s="49"/>
      <c r="F8" s="49">
        <f>'Fund Cover Sheets'!G19</f>
        <v>22339736</v>
      </c>
      <c r="G8" s="49"/>
      <c r="H8" s="49">
        <f>'Fund Cover Sheets'!G30</f>
        <v>16633331</v>
      </c>
      <c r="I8" s="49"/>
      <c r="J8" s="49">
        <f>'Fund Cover Sheets'!G21-'Fund Cover Sheets'!G32</f>
        <v>-5706405</v>
      </c>
      <c r="K8" s="49"/>
      <c r="L8" s="49">
        <f>F8-H8+J8</f>
        <v>0</v>
      </c>
      <c r="M8" s="49"/>
      <c r="N8" s="49">
        <f>D8+L8</f>
        <v>9398466.2699999996</v>
      </c>
      <c r="O8" s="52"/>
    </row>
    <row r="9" spans="1:15">
      <c r="A9" s="46"/>
      <c r="B9" s="1"/>
      <c r="C9" s="5"/>
      <c r="D9" s="2"/>
      <c r="E9" s="2"/>
      <c r="F9" s="2"/>
      <c r="G9" s="2"/>
      <c r="H9" s="2"/>
      <c r="I9" s="2"/>
      <c r="J9" s="2"/>
      <c r="K9" s="2"/>
      <c r="L9" s="2"/>
      <c r="M9" s="2"/>
      <c r="N9" s="2"/>
      <c r="O9" s="52"/>
    </row>
    <row r="10" spans="1:15" ht="24" customHeight="1">
      <c r="A10" s="46" t="s">
        <v>641</v>
      </c>
      <c r="B10" s="1"/>
      <c r="C10" s="5"/>
      <c r="D10" s="2"/>
      <c r="E10" s="2"/>
      <c r="F10" s="2"/>
      <c r="G10" s="2"/>
      <c r="H10" s="2"/>
      <c r="I10" s="2"/>
      <c r="J10" s="2"/>
      <c r="K10" s="2"/>
      <c r="L10" s="2"/>
      <c r="M10" s="2"/>
      <c r="N10" s="2"/>
      <c r="O10" s="52"/>
    </row>
    <row r="11" spans="1:15" ht="24" customHeight="1">
      <c r="A11" s="46"/>
      <c r="B11" s="1" t="s">
        <v>570</v>
      </c>
      <c r="C11" s="5"/>
      <c r="D11" s="2">
        <f>'Fund Cover Sheets'!F143</f>
        <v>270323</v>
      </c>
      <c r="E11" s="2"/>
      <c r="F11" s="2">
        <f>'Fund Cover Sheets'!G134</f>
        <v>1176560</v>
      </c>
      <c r="G11" s="2"/>
      <c r="H11" s="2">
        <f>'Fund Cover Sheets'!G139</f>
        <v>1277045</v>
      </c>
      <c r="I11" s="2"/>
      <c r="J11" s="2">
        <v>0</v>
      </c>
      <c r="K11" s="2"/>
      <c r="L11" s="2">
        <f t="shared" ref="L11:L20" si="0">F11-H11+J11</f>
        <v>-100485</v>
      </c>
      <c r="M11" s="2"/>
      <c r="N11" s="2">
        <f t="shared" ref="N11:N18" si="1">D11+L11</f>
        <v>169838</v>
      </c>
      <c r="O11" s="52"/>
    </row>
    <row r="12" spans="1:15" ht="24" customHeight="1">
      <c r="A12" s="1"/>
      <c r="B12" s="1" t="s">
        <v>642</v>
      </c>
      <c r="C12" s="5"/>
      <c r="D12" s="2">
        <f>'Fund Cover Sheets'!F545</f>
        <v>0</v>
      </c>
      <c r="E12" s="2"/>
      <c r="F12" s="2">
        <f>'Fund Cover Sheets'!G531</f>
        <v>875931</v>
      </c>
      <c r="G12" s="2"/>
      <c r="H12" s="2">
        <f>'Fund Cover Sheets'!G541</f>
        <v>3055472</v>
      </c>
      <c r="I12" s="2"/>
      <c r="J12" s="2">
        <f>'Fund Cover Sheets'!G533</f>
        <v>2179541</v>
      </c>
      <c r="K12" s="2"/>
      <c r="L12" s="2">
        <f t="shared" si="0"/>
        <v>0</v>
      </c>
      <c r="M12" s="2"/>
      <c r="N12" s="2">
        <f t="shared" si="1"/>
        <v>0</v>
      </c>
      <c r="O12" s="52"/>
    </row>
    <row r="13" spans="1:15" ht="24" customHeight="1">
      <c r="A13" s="1"/>
      <c r="B13" s="1" t="s">
        <v>483</v>
      </c>
      <c r="C13" s="5"/>
      <c r="D13" s="2">
        <f>'Fund Cover Sheets'!F499</f>
        <v>0</v>
      </c>
      <c r="E13" s="2"/>
      <c r="F13" s="2">
        <f>'Fund Cover Sheets'!G487</f>
        <v>0</v>
      </c>
      <c r="G13" s="2"/>
      <c r="H13" s="2">
        <f>'Fund Cover Sheets'!G492</f>
        <v>0</v>
      </c>
      <c r="I13" s="2"/>
      <c r="J13" s="2">
        <v>0</v>
      </c>
      <c r="K13" s="2"/>
      <c r="L13" s="2">
        <f t="shared" si="0"/>
        <v>0</v>
      </c>
      <c r="M13" s="2"/>
      <c r="N13" s="2">
        <f t="shared" si="1"/>
        <v>0</v>
      </c>
      <c r="O13" s="52"/>
    </row>
    <row r="14" spans="1:15" ht="24" customHeight="1">
      <c r="A14" s="1"/>
      <c r="B14" s="1" t="s">
        <v>418</v>
      </c>
      <c r="C14" s="5"/>
      <c r="D14" s="2">
        <f>'Fund Cover Sheets'!F669</f>
        <v>-1182714</v>
      </c>
      <c r="E14" s="7"/>
      <c r="F14" s="2">
        <f>'Fund Cover Sheets'!G660</f>
        <v>232133</v>
      </c>
      <c r="G14" s="7"/>
      <c r="H14" s="2">
        <f>'Fund Cover Sheets'!G665</f>
        <v>227291</v>
      </c>
      <c r="I14" s="7"/>
      <c r="J14" s="2">
        <v>0</v>
      </c>
      <c r="K14" s="7"/>
      <c r="L14" s="2">
        <f t="shared" si="0"/>
        <v>4842</v>
      </c>
      <c r="M14" s="7"/>
      <c r="N14" s="2">
        <f t="shared" si="1"/>
        <v>-1177872</v>
      </c>
      <c r="O14" s="52"/>
    </row>
    <row r="15" spans="1:15" ht="24" customHeight="1">
      <c r="A15" s="1"/>
      <c r="B15" s="1" t="s">
        <v>420</v>
      </c>
      <c r="C15" s="5"/>
      <c r="D15" s="2">
        <f>'Fund Cover Sheets'!F705</f>
        <v>-1638038</v>
      </c>
      <c r="E15" s="57"/>
      <c r="F15" s="2">
        <f>'Fund Cover Sheets'!G695</f>
        <v>96000</v>
      </c>
      <c r="G15" s="57"/>
      <c r="H15" s="2">
        <f>'Fund Cover Sheets'!G701</f>
        <v>87612</v>
      </c>
      <c r="I15" s="57"/>
      <c r="J15" s="57">
        <v>0</v>
      </c>
      <c r="K15" s="57"/>
      <c r="L15" s="2">
        <f t="shared" si="0"/>
        <v>8388</v>
      </c>
      <c r="M15" s="57"/>
      <c r="N15" s="2">
        <f t="shared" si="1"/>
        <v>-1629650</v>
      </c>
      <c r="O15" s="52"/>
    </row>
    <row r="16" spans="1:15" ht="24" customHeight="1">
      <c r="A16" s="1"/>
      <c r="B16" s="1" t="s">
        <v>1031</v>
      </c>
      <c r="C16" s="5"/>
      <c r="D16" s="2">
        <f>'Fund Cover Sheets'!F743</f>
        <v>-6910</v>
      </c>
      <c r="E16" s="57"/>
      <c r="F16" s="2">
        <f>'Fund Cover Sheets'!G735</f>
        <v>99353</v>
      </c>
      <c r="G16" s="57"/>
      <c r="H16" s="2">
        <f>'Fund Cover Sheets'!G739</f>
        <v>30500</v>
      </c>
      <c r="I16" s="57"/>
      <c r="J16" s="57">
        <v>0</v>
      </c>
      <c r="K16" s="57"/>
      <c r="L16" s="2">
        <f t="shared" si="0"/>
        <v>68853</v>
      </c>
      <c r="M16" s="57"/>
      <c r="N16" s="2">
        <f t="shared" si="1"/>
        <v>61943</v>
      </c>
      <c r="O16" s="52"/>
    </row>
    <row r="17" spans="1:15" ht="24" customHeight="1">
      <c r="A17" s="1"/>
      <c r="B17" s="1" t="s">
        <v>643</v>
      </c>
      <c r="C17" s="5"/>
      <c r="D17" s="2">
        <f>'Fund Cover Sheets'!F71</f>
        <v>15065</v>
      </c>
      <c r="E17" s="2"/>
      <c r="F17" s="2">
        <f>'Fund Cover Sheets'!G63</f>
        <v>21500</v>
      </c>
      <c r="G17" s="2"/>
      <c r="H17" s="2">
        <f>'Fund Cover Sheets'!G67</f>
        <v>59200</v>
      </c>
      <c r="I17" s="2"/>
      <c r="J17" s="2">
        <v>0</v>
      </c>
      <c r="K17" s="2"/>
      <c r="L17" s="2">
        <f t="shared" si="0"/>
        <v>-37700</v>
      </c>
      <c r="M17" s="2"/>
      <c r="N17" s="2">
        <f t="shared" si="1"/>
        <v>-22635</v>
      </c>
      <c r="O17" s="52"/>
    </row>
    <row r="18" spans="1:15" ht="24" customHeight="1">
      <c r="A18" s="1"/>
      <c r="B18" s="1" t="s">
        <v>644</v>
      </c>
      <c r="C18" s="5"/>
      <c r="D18" s="2">
        <f>'Fund Cover Sheets'!F106</f>
        <v>-3046</v>
      </c>
      <c r="E18" s="7"/>
      <c r="F18" s="2">
        <f>'Fund Cover Sheets'!G98</f>
        <v>21000</v>
      </c>
      <c r="G18" s="7"/>
      <c r="H18" s="2">
        <f>'Fund Cover Sheets'!G102</f>
        <v>17200</v>
      </c>
      <c r="I18" s="7"/>
      <c r="J18" s="2">
        <v>0</v>
      </c>
      <c r="K18" s="7"/>
      <c r="L18" s="2">
        <f t="shared" si="0"/>
        <v>3800</v>
      </c>
      <c r="M18" s="7"/>
      <c r="N18" s="2">
        <f t="shared" si="1"/>
        <v>754</v>
      </c>
      <c r="O18" s="52"/>
    </row>
    <row r="19" spans="1:15">
      <c r="A19" s="1"/>
      <c r="B19" s="1"/>
      <c r="C19" s="5"/>
      <c r="D19" s="2"/>
      <c r="E19" s="2"/>
      <c r="F19" s="2"/>
      <c r="G19" s="2"/>
      <c r="H19" s="2"/>
      <c r="I19" s="2"/>
      <c r="J19" s="2"/>
      <c r="K19" s="2"/>
      <c r="L19" s="2"/>
      <c r="M19" s="2"/>
      <c r="N19" s="2"/>
      <c r="O19" s="52"/>
    </row>
    <row r="20" spans="1:15" ht="24" customHeight="1">
      <c r="A20" s="46" t="s">
        <v>645</v>
      </c>
      <c r="B20" s="1"/>
      <c r="C20" s="5"/>
      <c r="D20" s="2">
        <f>'Fund Cover Sheets'!F358</f>
        <v>0</v>
      </c>
      <c r="E20" s="2"/>
      <c r="F20" s="2">
        <f>'Fund Cover Sheets'!G346</f>
        <v>8000</v>
      </c>
      <c r="G20" s="2"/>
      <c r="H20" s="2">
        <f>'Fund Cover Sheets'!G354</f>
        <v>330075</v>
      </c>
      <c r="I20" s="2"/>
      <c r="J20" s="2">
        <f>'Fund Cover Sheets'!G348</f>
        <v>322075</v>
      </c>
      <c r="K20" s="2"/>
      <c r="L20" s="2">
        <f t="shared" si="0"/>
        <v>0</v>
      </c>
      <c r="M20" s="2"/>
      <c r="N20" s="2">
        <f>D20+L20</f>
        <v>0</v>
      </c>
      <c r="O20" s="52"/>
    </row>
    <row r="21" spans="1:15">
      <c r="A21" s="1"/>
      <c r="B21" s="1"/>
      <c r="C21" s="5"/>
      <c r="D21" s="2"/>
      <c r="E21" s="57"/>
      <c r="F21" s="2"/>
      <c r="G21" s="57"/>
      <c r="H21" s="57"/>
      <c r="I21" s="57"/>
      <c r="J21" s="57"/>
      <c r="K21" s="57"/>
      <c r="L21" s="2"/>
      <c r="M21" s="57"/>
      <c r="N21" s="2"/>
      <c r="O21" s="52"/>
    </row>
    <row r="22" spans="1:15" ht="24" customHeight="1">
      <c r="A22" s="46" t="s">
        <v>646</v>
      </c>
      <c r="B22" s="1"/>
      <c r="C22" s="5"/>
      <c r="D22" s="2"/>
      <c r="E22" s="2"/>
      <c r="F22" s="2"/>
      <c r="G22" s="2"/>
      <c r="H22" s="2"/>
      <c r="I22" s="2"/>
      <c r="J22" s="2"/>
      <c r="K22" s="2"/>
      <c r="L22" s="2"/>
      <c r="M22" s="2"/>
      <c r="N22" s="2"/>
      <c r="O22" s="52"/>
    </row>
    <row r="23" spans="1:15" ht="24" customHeight="1">
      <c r="A23" s="1"/>
      <c r="B23" s="1" t="s">
        <v>745</v>
      </c>
      <c r="C23" s="5"/>
      <c r="D23" s="2">
        <f>'Fund Cover Sheets'!F321</f>
        <v>1488996</v>
      </c>
      <c r="E23" s="2"/>
      <c r="F23" s="2">
        <f>'Fund Cover Sheets'!G276</f>
        <v>1053870</v>
      </c>
      <c r="G23" s="2"/>
      <c r="H23" s="2">
        <f>'Fund Cover Sheets'!G310</f>
        <v>2235223</v>
      </c>
      <c r="I23" s="2"/>
      <c r="J23" s="2">
        <f>'Fund Cover Sheets'!G278</f>
        <v>52000</v>
      </c>
      <c r="K23" s="2"/>
      <c r="L23" s="2">
        <f>F23-H23+J23</f>
        <v>-1129353</v>
      </c>
      <c r="M23" s="2"/>
      <c r="N23" s="2">
        <f>D23+L23</f>
        <v>359643</v>
      </c>
      <c r="O23" s="52"/>
    </row>
    <row r="24" spans="1:15" ht="24" customHeight="1">
      <c r="A24" s="1"/>
      <c r="B24" s="1" t="s">
        <v>648</v>
      </c>
      <c r="C24" s="5"/>
      <c r="D24" s="2">
        <f>'Fund Cover Sheets'!F191</f>
        <v>1851069</v>
      </c>
      <c r="E24" s="2"/>
      <c r="F24" s="2">
        <f>'Fund Cover Sheets'!G174</f>
        <v>3190870</v>
      </c>
      <c r="G24" s="2">
        <f>'Fund Cover Sheets'!G184</f>
        <v>5487864</v>
      </c>
      <c r="H24" s="2">
        <f>'Fund Cover Sheets'!G184</f>
        <v>5487864</v>
      </c>
      <c r="I24" s="2"/>
      <c r="J24" s="2">
        <f>'Fund Cover Sheets'!G176-'Fund Cover Sheets'!G186</f>
        <v>700143</v>
      </c>
      <c r="K24" s="2"/>
      <c r="L24" s="2">
        <f>F24-H24+J24</f>
        <v>-1596851</v>
      </c>
      <c r="M24" s="2"/>
      <c r="N24" s="2">
        <f>D24+L24</f>
        <v>254218</v>
      </c>
      <c r="O24" s="52"/>
    </row>
    <row r="25" spans="1:15" ht="24" customHeight="1">
      <c r="A25" s="535"/>
      <c r="B25" s="535" t="s">
        <v>1328</v>
      </c>
      <c r="C25" s="5"/>
      <c r="D25" s="2">
        <f>'Fund Cover Sheets'!F241</f>
        <v>10641399</v>
      </c>
      <c r="E25" s="2"/>
      <c r="F25" s="2">
        <f>'Fund Cover Sheets'!G222</f>
        <v>230786</v>
      </c>
      <c r="G25" s="2"/>
      <c r="H25" s="2">
        <f>'Budget Detail FY 2020-27'!Q476</f>
        <v>10871560</v>
      </c>
      <c r="I25" s="2"/>
      <c r="J25" s="2">
        <f>'Fund Cover Sheets'!G224-'Fund Cover Sheets'!G236</f>
        <v>776443</v>
      </c>
      <c r="K25" s="2"/>
      <c r="L25" s="2">
        <f>F25-H25+J25</f>
        <v>-9864331</v>
      </c>
      <c r="M25" s="2"/>
      <c r="N25" s="2">
        <f>D25+L25</f>
        <v>777068</v>
      </c>
      <c r="O25" s="52"/>
    </row>
    <row r="26" spans="1:15">
      <c r="A26" s="1"/>
      <c r="B26" s="1"/>
      <c r="C26" s="5"/>
      <c r="D26" s="2"/>
      <c r="E26" s="2"/>
      <c r="F26" s="2"/>
      <c r="G26" s="2"/>
      <c r="H26" s="2"/>
      <c r="I26" s="2"/>
      <c r="J26" s="2"/>
      <c r="K26" s="2"/>
      <c r="L26" s="2"/>
      <c r="M26" s="2"/>
      <c r="N26" s="2"/>
      <c r="O26" s="52"/>
    </row>
    <row r="27" spans="1:15" ht="24" customHeight="1">
      <c r="A27" s="46" t="s">
        <v>689</v>
      </c>
      <c r="B27" s="1"/>
      <c r="C27" s="5"/>
      <c r="D27" s="2"/>
      <c r="E27" s="2"/>
      <c r="F27" s="2"/>
      <c r="G27" s="2"/>
      <c r="H27" s="2"/>
      <c r="I27" s="2"/>
      <c r="J27" s="2"/>
      <c r="K27" s="2"/>
      <c r="L27" s="2"/>
      <c r="M27" s="2"/>
      <c r="N27" s="2"/>
      <c r="O27" s="52"/>
    </row>
    <row r="28" spans="1:15" ht="24" customHeight="1">
      <c r="A28" s="1"/>
      <c r="B28" s="1" t="s">
        <v>481</v>
      </c>
      <c r="C28" s="5"/>
      <c r="D28" s="2">
        <f>'Fund Cover Sheets'!F407</f>
        <v>3794969</v>
      </c>
      <c r="E28" s="2"/>
      <c r="F28" s="2">
        <f>'Fund Cover Sheets'!G387</f>
        <v>5601144</v>
      </c>
      <c r="G28" s="2"/>
      <c r="H28" s="2">
        <f>'Fund Cover Sheets'!G400</f>
        <v>7693103</v>
      </c>
      <c r="I28" s="2"/>
      <c r="J28" s="2">
        <f>'Fund Cover Sheets'!G389</f>
        <v>177859</v>
      </c>
      <c r="K28" s="2"/>
      <c r="L28" s="2">
        <f>F28-H28+J28</f>
        <v>-1914100</v>
      </c>
      <c r="M28" s="2"/>
      <c r="N28" s="2">
        <f>D28+L28</f>
        <v>1880869</v>
      </c>
      <c r="O28" s="52"/>
    </row>
    <row r="29" spans="1:15" ht="24" customHeight="1">
      <c r="A29" s="1"/>
      <c r="B29" s="1" t="s">
        <v>482</v>
      </c>
      <c r="C29" s="5"/>
      <c r="D29" s="2">
        <f>'Fund Cover Sheets'!F457</f>
        <v>953507</v>
      </c>
      <c r="E29" s="2"/>
      <c r="F29" s="2">
        <f>'Fund Cover Sheets'!G437</f>
        <v>5004365</v>
      </c>
      <c r="G29" s="2"/>
      <c r="H29" s="2">
        <f>'Fund Cover Sheets'!G450</f>
        <v>5921896</v>
      </c>
      <c r="I29" s="2"/>
      <c r="J29" s="2">
        <f>'Fund Cover Sheets'!G439-'Fund Cover Sheets'!G452</f>
        <v>1526706</v>
      </c>
      <c r="K29" s="2"/>
      <c r="L29" s="2">
        <f>F29-H29+J29</f>
        <v>609175</v>
      </c>
      <c r="M29" s="2"/>
      <c r="N29" s="2">
        <f>D29+L29</f>
        <v>1562682</v>
      </c>
      <c r="O29" s="52"/>
    </row>
    <row r="30" spans="1:15" ht="30" customHeight="1">
      <c r="A30" s="1"/>
      <c r="B30" s="1"/>
      <c r="C30" s="5"/>
      <c r="D30" s="2"/>
      <c r="E30" s="2"/>
      <c r="F30" s="2"/>
      <c r="G30" s="2"/>
      <c r="H30" s="2"/>
      <c r="I30" s="2"/>
      <c r="J30" s="2"/>
      <c r="K30" s="2"/>
      <c r="L30" s="2"/>
      <c r="M30" s="2"/>
      <c r="N30" s="2"/>
      <c r="O30" s="52"/>
    </row>
    <row r="31" spans="1:15" ht="24" customHeight="1">
      <c r="A31" s="46" t="s">
        <v>650</v>
      </c>
      <c r="B31" s="1"/>
      <c r="C31" s="5"/>
      <c r="D31" s="2"/>
      <c r="E31" s="2"/>
      <c r="F31" s="2"/>
      <c r="G31" s="2"/>
      <c r="H31" s="2"/>
      <c r="I31" s="2"/>
      <c r="J31" s="2"/>
      <c r="K31" s="2"/>
      <c r="L31" s="2"/>
      <c r="M31" s="2"/>
      <c r="N31" s="2"/>
      <c r="O31" s="52"/>
    </row>
    <row r="32" spans="1:15" ht="24" customHeight="1">
      <c r="A32" s="46"/>
      <c r="B32" s="1" t="s">
        <v>475</v>
      </c>
      <c r="C32" s="5"/>
      <c r="D32" s="2">
        <f>'Fund Cover Sheets'!F591</f>
        <v>675831</v>
      </c>
      <c r="E32" s="2"/>
      <c r="F32" s="2">
        <f>'Fund Cover Sheets'!G576</f>
        <v>1713135</v>
      </c>
      <c r="G32" s="2"/>
      <c r="H32" s="2">
        <f>'Fund Cover Sheets'!G587</f>
        <v>1748820</v>
      </c>
      <c r="I32" s="2"/>
      <c r="J32" s="2">
        <f>'Fund Cover Sheets'!G578</f>
        <v>23638</v>
      </c>
      <c r="K32" s="2"/>
      <c r="L32" s="2">
        <f>F32-H32+J32</f>
        <v>-12047</v>
      </c>
      <c r="M32" s="2"/>
      <c r="N32" s="2">
        <f>D32+L32</f>
        <v>663784</v>
      </c>
      <c r="O32" s="52"/>
    </row>
    <row r="33" spans="1:15" ht="24" customHeight="1">
      <c r="A33" s="46"/>
      <c r="B33" s="1" t="s">
        <v>651</v>
      </c>
      <c r="C33" s="5"/>
      <c r="D33" s="2">
        <f>'Fund Cover Sheets'!F632</f>
        <v>180862</v>
      </c>
      <c r="E33" s="2"/>
      <c r="F33" s="2">
        <f>'Fund Cover Sheets'!G622</f>
        <v>50350</v>
      </c>
      <c r="G33" s="2"/>
      <c r="H33" s="2">
        <f>'Fund Cover Sheets'!G628</f>
        <v>85500</v>
      </c>
      <c r="I33" s="2"/>
      <c r="J33" s="2">
        <v>0</v>
      </c>
      <c r="K33" s="2"/>
      <c r="L33" s="2">
        <f>F33-H33+J33</f>
        <v>-35150</v>
      </c>
      <c r="M33" s="2"/>
      <c r="N33" s="2">
        <f>D33+L33</f>
        <v>145712</v>
      </c>
      <c r="O33" s="52"/>
    </row>
    <row r="34" spans="1:15" ht="24" customHeight="1">
      <c r="A34" s="46"/>
      <c r="B34" s="1"/>
      <c r="C34" s="5"/>
      <c r="D34" s="2"/>
      <c r="E34" s="2"/>
      <c r="F34" s="2"/>
      <c r="G34" s="2"/>
      <c r="H34" s="2"/>
      <c r="I34" s="2"/>
      <c r="J34" s="2"/>
      <c r="K34" s="2"/>
      <c r="L34" s="2"/>
      <c r="M34" s="2"/>
      <c r="N34" s="2"/>
      <c r="O34" s="52"/>
    </row>
    <row r="35" spans="1:15" ht="15" customHeight="1" thickBot="1">
      <c r="A35" s="1"/>
      <c r="B35" s="58" t="s">
        <v>687</v>
      </c>
      <c r="C35" s="59"/>
      <c r="D35" s="432">
        <f>SUM(D8:D34)</f>
        <v>26439779.27</v>
      </c>
      <c r="E35" s="432"/>
      <c r="F35" s="432">
        <f>SUM(F8:F34)</f>
        <v>41714733</v>
      </c>
      <c r="G35" s="432"/>
      <c r="H35" s="432">
        <f>SUM(H8:H34)</f>
        <v>55761692</v>
      </c>
      <c r="I35" s="432"/>
      <c r="J35" s="432">
        <f>SUM(J8:J34)</f>
        <v>52000</v>
      </c>
      <c r="K35" s="432"/>
      <c r="L35" s="432">
        <f>SUM(L8:L34)</f>
        <v>-13994959</v>
      </c>
      <c r="M35" s="432"/>
      <c r="N35" s="432">
        <f>SUM(N8:N34)</f>
        <v>12444820.27</v>
      </c>
      <c r="O35" s="52"/>
    </row>
    <row r="36" spans="1:15" ht="24" customHeight="1" thickTop="1">
      <c r="A36" s="1"/>
      <c r="B36" s="1"/>
      <c r="C36" s="48"/>
      <c r="D36" s="2"/>
      <c r="E36" s="2"/>
      <c r="F36" s="2"/>
      <c r="G36" s="2"/>
      <c r="H36" s="2"/>
      <c r="I36" s="2"/>
      <c r="J36" s="2"/>
      <c r="K36" s="2"/>
      <c r="L36" s="2"/>
      <c r="M36" s="2"/>
      <c r="N36" s="2"/>
      <c r="O36" s="52"/>
    </row>
    <row r="37" spans="1:15" ht="15" customHeight="1">
      <c r="A37" s="66" t="s">
        <v>690</v>
      </c>
      <c r="B37" s="67" t="s">
        <v>756</v>
      </c>
      <c r="C37" s="5"/>
      <c r="D37" s="2"/>
      <c r="E37" s="2"/>
      <c r="F37" s="2"/>
      <c r="G37" s="2"/>
      <c r="H37" s="2"/>
      <c r="I37" s="2"/>
      <c r="J37" s="2"/>
      <c r="K37" s="2"/>
      <c r="L37" s="2"/>
      <c r="M37" s="2"/>
      <c r="N37" s="2"/>
      <c r="O37" s="52"/>
    </row>
    <row r="38" spans="1:15" ht="15" customHeight="1">
      <c r="O38" s="2"/>
    </row>
    <row r="39" spans="1:15" ht="12" customHeight="1">
      <c r="A39" s="1"/>
      <c r="B39" s="1"/>
      <c r="C39" s="48"/>
      <c r="D39" s="2"/>
      <c r="E39" s="2"/>
      <c r="F39" s="2"/>
      <c r="G39" s="2"/>
      <c r="H39" s="2"/>
      <c r="I39" s="2"/>
      <c r="J39" s="2"/>
      <c r="K39" s="2"/>
      <c r="L39" s="2"/>
      <c r="M39" s="2"/>
      <c r="N39" s="2"/>
      <c r="O39" s="52"/>
    </row>
    <row r="40" spans="1:15" ht="12" customHeight="1">
      <c r="A40" s="1"/>
      <c r="B40" s="1"/>
      <c r="C40" s="48"/>
      <c r="D40" s="2"/>
      <c r="E40" s="2"/>
      <c r="F40" s="2"/>
      <c r="G40" s="2"/>
      <c r="H40" s="2"/>
      <c r="I40" s="2"/>
      <c r="J40" s="2"/>
      <c r="K40" s="2"/>
      <c r="L40" s="2"/>
      <c r="M40" s="2"/>
      <c r="N40" s="2"/>
      <c r="O40" s="52"/>
    </row>
    <row r="41" spans="1:15">
      <c r="A41" s="1"/>
      <c r="B41" s="8"/>
      <c r="C41" s="75"/>
      <c r="D41" s="75"/>
      <c r="E41" s="75"/>
      <c r="F41" s="75"/>
      <c r="G41" s="75"/>
      <c r="H41" s="75"/>
      <c r="I41" s="75"/>
      <c r="J41" s="75"/>
      <c r="K41" s="75"/>
      <c r="L41" s="75"/>
      <c r="M41" s="75"/>
      <c r="N41" s="8"/>
      <c r="O41" s="76"/>
    </row>
    <row r="42" spans="1:15">
      <c r="A42" s="1"/>
      <c r="B42" s="8"/>
      <c r="C42" s="75"/>
      <c r="D42" s="75"/>
      <c r="E42" s="75"/>
      <c r="F42" s="75"/>
      <c r="G42" s="75"/>
      <c r="H42" s="75"/>
      <c r="I42" s="75"/>
      <c r="J42" s="75"/>
      <c r="K42" s="75"/>
      <c r="L42" s="75"/>
      <c r="M42" s="75"/>
      <c r="N42" s="8"/>
      <c r="O42" s="76"/>
    </row>
    <row r="43" spans="1:15">
      <c r="A43" s="1"/>
      <c r="B43" s="8"/>
      <c r="C43" s="75"/>
      <c r="D43" s="75"/>
      <c r="E43" s="75"/>
      <c r="F43" s="75"/>
      <c r="G43" s="75"/>
      <c r="H43" s="75"/>
      <c r="I43" s="75"/>
      <c r="J43" s="75"/>
      <c r="K43" s="75"/>
      <c r="L43" s="75"/>
      <c r="M43" s="75"/>
      <c r="N43" s="8"/>
      <c r="O43" s="76"/>
    </row>
    <row r="44" spans="1:15">
      <c r="A44" s="1"/>
      <c r="B44" s="8"/>
      <c r="C44" s="75"/>
      <c r="D44" s="75"/>
      <c r="E44" s="75"/>
      <c r="F44" s="75"/>
      <c r="G44" s="75"/>
      <c r="H44" s="75"/>
      <c r="I44" s="75"/>
      <c r="J44" s="75"/>
      <c r="K44" s="75"/>
      <c r="L44" s="75"/>
      <c r="M44" s="75"/>
      <c r="N44" s="8"/>
      <c r="O44" s="76"/>
    </row>
    <row r="45" spans="1:15">
      <c r="A45" s="1"/>
      <c r="B45" s="1"/>
      <c r="C45" s="48"/>
      <c r="D45" s="48"/>
      <c r="E45" s="48"/>
      <c r="F45" s="48"/>
      <c r="G45" s="48"/>
      <c r="H45" s="48"/>
      <c r="I45" s="48"/>
      <c r="J45" s="48"/>
      <c r="K45" s="48"/>
      <c r="L45" s="48"/>
      <c r="M45" s="48"/>
      <c r="N45" s="1"/>
    </row>
    <row r="46" spans="1:15">
      <c r="C46" s="60"/>
      <c r="D46" s="60"/>
      <c r="E46" s="60"/>
      <c r="F46" s="60"/>
      <c r="G46" s="60"/>
      <c r="H46" s="60"/>
      <c r="I46" s="60"/>
      <c r="J46" s="60"/>
      <c r="K46" s="60"/>
      <c r="L46" s="60"/>
      <c r="M46" s="60"/>
    </row>
    <row r="47" spans="1:15">
      <c r="C47" s="60"/>
      <c r="D47" s="60"/>
      <c r="E47" s="60"/>
      <c r="F47" s="60"/>
      <c r="G47" s="60"/>
      <c r="H47" s="60"/>
      <c r="I47" s="60"/>
      <c r="J47" s="60"/>
      <c r="K47" s="60"/>
      <c r="L47" s="60"/>
      <c r="M47" s="60"/>
    </row>
    <row r="48" spans="1:15">
      <c r="C48" s="60"/>
      <c r="D48" s="60"/>
      <c r="E48" s="60"/>
      <c r="F48" s="60"/>
      <c r="G48" s="60"/>
      <c r="H48" s="60"/>
      <c r="I48" s="60"/>
      <c r="J48" s="60"/>
      <c r="K48" s="60"/>
      <c r="L48" s="60"/>
      <c r="M48" s="60"/>
    </row>
    <row r="49" spans="3:13">
      <c r="C49" s="60"/>
      <c r="D49" s="60"/>
      <c r="E49" s="60"/>
      <c r="F49" s="60"/>
      <c r="G49" s="60"/>
      <c r="H49" s="60"/>
      <c r="I49" s="60"/>
      <c r="J49" s="60"/>
      <c r="K49" s="60"/>
      <c r="L49" s="60"/>
      <c r="M49" s="60"/>
    </row>
    <row r="50" spans="3:13">
      <c r="C50" s="60"/>
      <c r="D50" s="60"/>
      <c r="E50" s="60"/>
      <c r="F50" s="60"/>
      <c r="G50" s="60"/>
      <c r="H50" s="60"/>
      <c r="I50" s="60"/>
      <c r="J50" s="60"/>
      <c r="K50" s="60"/>
      <c r="L50" s="60"/>
      <c r="M50" s="60"/>
    </row>
    <row r="51" spans="3:13">
      <c r="C51" s="60"/>
      <c r="D51" s="60"/>
      <c r="E51" s="60"/>
      <c r="F51" s="60"/>
      <c r="G51" s="60"/>
      <c r="H51" s="60"/>
      <c r="I51" s="60"/>
      <c r="J51" s="60"/>
      <c r="K51" s="60"/>
      <c r="L51" s="60"/>
      <c r="M51" s="60"/>
    </row>
    <row r="52" spans="3:13">
      <c r="C52" s="60"/>
      <c r="D52" s="60"/>
      <c r="E52" s="60"/>
      <c r="F52" s="60"/>
      <c r="G52" s="60"/>
      <c r="H52" s="60"/>
      <c r="I52" s="60"/>
      <c r="J52" s="60"/>
      <c r="K52" s="60"/>
      <c r="L52" s="60"/>
      <c r="M52" s="60"/>
    </row>
    <row r="53" spans="3:13">
      <c r="C53" s="60"/>
      <c r="D53" s="60"/>
      <c r="E53" s="60"/>
      <c r="F53" s="60"/>
      <c r="G53" s="60"/>
      <c r="H53" s="60"/>
      <c r="I53" s="60"/>
      <c r="J53" s="60"/>
      <c r="K53" s="60"/>
      <c r="L53" s="60"/>
      <c r="M53" s="60"/>
    </row>
    <row r="54" spans="3:13">
      <c r="C54" s="60"/>
      <c r="D54" s="60"/>
      <c r="E54" s="60"/>
      <c r="F54" s="60"/>
      <c r="G54" s="60"/>
      <c r="H54" s="60"/>
      <c r="I54" s="60"/>
      <c r="J54" s="60"/>
      <c r="K54" s="60"/>
      <c r="L54" s="60"/>
      <c r="M54" s="60"/>
    </row>
    <row r="55" spans="3:13">
      <c r="C55" s="60"/>
      <c r="D55" s="60"/>
      <c r="E55" s="60"/>
      <c r="F55" s="60"/>
      <c r="G55" s="60"/>
      <c r="H55" s="60"/>
      <c r="I55" s="60"/>
      <c r="J55" s="60"/>
      <c r="K55" s="60"/>
      <c r="L55" s="60"/>
      <c r="M55" s="60"/>
    </row>
    <row r="56" spans="3:13">
      <c r="C56" s="60"/>
      <c r="D56" s="60"/>
      <c r="E56" s="60"/>
      <c r="F56" s="60"/>
      <c r="G56" s="60"/>
      <c r="H56" s="60"/>
      <c r="I56" s="60"/>
      <c r="J56" s="60"/>
      <c r="K56" s="60"/>
      <c r="L56" s="60"/>
      <c r="M56" s="60"/>
    </row>
    <row r="57" spans="3:13">
      <c r="C57" s="60"/>
      <c r="D57" s="60"/>
      <c r="E57" s="60"/>
      <c r="F57" s="60"/>
      <c r="G57" s="60"/>
      <c r="H57" s="60"/>
      <c r="I57" s="60"/>
      <c r="J57" s="60"/>
      <c r="K57" s="60"/>
      <c r="L57" s="60"/>
      <c r="M57" s="60"/>
    </row>
    <row r="58" spans="3:13">
      <c r="C58" s="60"/>
      <c r="D58" s="60"/>
      <c r="E58" s="60"/>
      <c r="F58" s="60"/>
      <c r="G58" s="60"/>
      <c r="H58" s="60"/>
      <c r="I58" s="60"/>
      <c r="J58" s="60"/>
      <c r="K58" s="60"/>
      <c r="L58" s="60"/>
      <c r="M58" s="60"/>
    </row>
    <row r="59" spans="3:13">
      <c r="C59" s="60"/>
      <c r="D59" s="60"/>
      <c r="E59" s="60"/>
      <c r="F59" s="60"/>
      <c r="G59" s="60"/>
      <c r="H59" s="60"/>
      <c r="I59" s="60"/>
      <c r="J59" s="60"/>
      <c r="K59" s="60"/>
      <c r="L59" s="60"/>
      <c r="M59" s="60"/>
    </row>
    <row r="60" spans="3:13">
      <c r="C60" s="60"/>
      <c r="D60" s="60"/>
      <c r="E60" s="60"/>
      <c r="F60" s="60"/>
      <c r="G60" s="60"/>
      <c r="H60" s="60"/>
      <c r="I60" s="60"/>
      <c r="J60" s="60"/>
      <c r="K60" s="60"/>
      <c r="L60" s="60"/>
      <c r="M60" s="60"/>
    </row>
    <row r="61" spans="3:13">
      <c r="C61" s="60"/>
      <c r="D61" s="60"/>
      <c r="E61" s="60"/>
      <c r="F61" s="60"/>
      <c r="G61" s="60"/>
      <c r="H61" s="60"/>
      <c r="I61" s="60"/>
      <c r="J61" s="60"/>
      <c r="K61" s="60"/>
      <c r="L61" s="60"/>
      <c r="M61" s="60"/>
    </row>
    <row r="62" spans="3:13">
      <c r="C62" s="60"/>
      <c r="D62" s="60"/>
      <c r="E62" s="60"/>
      <c r="F62" s="60"/>
      <c r="G62" s="60"/>
      <c r="H62" s="60"/>
      <c r="I62" s="60"/>
      <c r="J62" s="60"/>
      <c r="K62" s="60"/>
      <c r="L62" s="60"/>
      <c r="M62" s="60"/>
    </row>
    <row r="63" spans="3:13">
      <c r="C63" s="60"/>
      <c r="D63" s="60"/>
      <c r="E63" s="60"/>
      <c r="F63" s="60"/>
      <c r="G63" s="60"/>
      <c r="H63" s="60"/>
      <c r="I63" s="60"/>
      <c r="J63" s="60"/>
      <c r="K63" s="60"/>
      <c r="L63" s="60"/>
      <c r="M63" s="60"/>
    </row>
    <row r="64" spans="3:13">
      <c r="C64" s="60"/>
      <c r="D64" s="60"/>
      <c r="E64" s="60"/>
      <c r="F64" s="60"/>
      <c r="G64" s="60"/>
      <c r="H64" s="60"/>
      <c r="I64" s="60"/>
      <c r="J64" s="60"/>
      <c r="K64" s="60"/>
      <c r="L64" s="60"/>
      <c r="M64" s="60"/>
    </row>
    <row r="397" spans="16:20">
      <c r="P397" s="9">
        <v>6000</v>
      </c>
      <c r="Q397" s="9">
        <v>6000</v>
      </c>
      <c r="R397" s="9">
        <v>6000</v>
      </c>
      <c r="S397" s="9">
        <v>6000</v>
      </c>
    </row>
    <row r="399" spans="16:20">
      <c r="T399" s="9" t="s">
        <v>1157</v>
      </c>
    </row>
  </sheetData>
  <mergeCells count="3">
    <mergeCell ref="A1:N1"/>
    <mergeCell ref="A2:N2"/>
    <mergeCell ref="A3:N3"/>
  </mergeCells>
  <printOptions horizontalCentered="1"/>
  <pageMargins left="0" right="0.1" top="0.5" bottom="0" header="0" footer="0"/>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770"/>
  <sheetViews>
    <sheetView zoomScale="75" zoomScaleNormal="75" zoomScaleSheetLayoutView="75" workbookViewId="0">
      <selection activeCell="J189" sqref="J189:J195"/>
    </sheetView>
  </sheetViews>
  <sheetFormatPr defaultColWidth="9.109375" defaultRowHeight="13.2"/>
  <cols>
    <col min="1" max="1" width="3.6640625" customWidth="1"/>
    <col min="2" max="2" width="32.6640625" customWidth="1"/>
    <col min="3" max="4" width="12.6640625" style="18" customWidth="1"/>
    <col min="5" max="5" width="12.6640625" style="18" hidden="1" customWidth="1"/>
    <col min="6" max="7" width="12.6640625" style="18" customWidth="1"/>
    <col min="8" max="9" width="12.6640625" style="18" hidden="1" customWidth="1"/>
    <col min="10" max="10" width="12.6640625" style="18" customWidth="1"/>
    <col min="11" max="11" width="12.6640625" style="18" hidden="1" customWidth="1"/>
    <col min="12" max="15" width="12.6640625" style="18" customWidth="1"/>
  </cols>
  <sheetData>
    <row r="1" spans="1:15" ht="18.75" customHeight="1">
      <c r="A1" s="9"/>
      <c r="B1" s="682" t="s">
        <v>629</v>
      </c>
      <c r="C1" s="682"/>
      <c r="D1" s="682"/>
      <c r="E1" s="682"/>
      <c r="F1" s="682"/>
      <c r="G1" s="682"/>
      <c r="H1" s="682"/>
      <c r="I1" s="682"/>
      <c r="J1" s="682"/>
      <c r="K1" s="682"/>
      <c r="L1" s="682"/>
      <c r="M1" s="682"/>
      <c r="N1" s="682"/>
      <c r="O1" s="682"/>
    </row>
    <row r="2" spans="1:15" ht="18">
      <c r="A2" s="9"/>
      <c r="B2" s="23"/>
      <c r="C2" s="33"/>
      <c r="D2" s="34"/>
      <c r="E2" s="34"/>
      <c r="F2" s="34"/>
      <c r="G2" s="15"/>
      <c r="H2" s="15"/>
      <c r="I2" s="15"/>
      <c r="J2" s="15"/>
      <c r="K2" s="15"/>
      <c r="L2" s="15"/>
      <c r="M2" s="15"/>
      <c r="N2" s="15"/>
      <c r="O2" s="15"/>
    </row>
    <row r="3" spans="1:15" ht="15" customHeight="1">
      <c r="A3" s="9"/>
      <c r="B3" s="683" t="s">
        <v>881</v>
      </c>
      <c r="C3" s="683"/>
      <c r="D3" s="683"/>
      <c r="E3" s="683"/>
      <c r="F3" s="683"/>
      <c r="G3" s="683"/>
      <c r="H3" s="683"/>
      <c r="I3" s="683"/>
      <c r="J3" s="683"/>
      <c r="K3" s="683"/>
      <c r="L3" s="683"/>
      <c r="M3" s="683"/>
      <c r="N3" s="683"/>
      <c r="O3" s="683"/>
    </row>
    <row r="4" spans="1:15" ht="13.8">
      <c r="A4" s="9"/>
      <c r="B4" s="683"/>
      <c r="C4" s="683"/>
      <c r="D4" s="683"/>
      <c r="E4" s="683"/>
      <c r="F4" s="683"/>
      <c r="G4" s="683"/>
      <c r="H4" s="683"/>
      <c r="I4" s="683"/>
      <c r="J4" s="683"/>
      <c r="K4" s="683"/>
      <c r="L4" s="683"/>
      <c r="M4" s="683"/>
      <c r="N4" s="683"/>
      <c r="O4" s="683"/>
    </row>
    <row r="5" spans="1:15" ht="13.8">
      <c r="A5" s="9"/>
      <c r="B5" s="683"/>
      <c r="C5" s="683"/>
      <c r="D5" s="683"/>
      <c r="E5" s="683"/>
      <c r="F5" s="683"/>
      <c r="G5" s="683"/>
      <c r="H5" s="683"/>
      <c r="I5" s="683"/>
      <c r="J5" s="683"/>
      <c r="K5" s="683"/>
      <c r="L5" s="683"/>
      <c r="M5" s="683"/>
      <c r="N5" s="683"/>
      <c r="O5" s="683"/>
    </row>
    <row r="6" spans="1:15" ht="13.8">
      <c r="A6" s="9"/>
      <c r="B6" s="24"/>
      <c r="C6" s="35"/>
      <c r="D6" s="35"/>
      <c r="E6" s="35"/>
      <c r="F6" s="35"/>
      <c r="G6" s="15"/>
      <c r="H6" s="15"/>
      <c r="I6" s="15"/>
      <c r="J6" s="15"/>
      <c r="K6" s="15"/>
      <c r="L6" s="15"/>
      <c r="M6" s="15"/>
      <c r="N6" s="15"/>
      <c r="O6" s="15"/>
    </row>
    <row r="7" spans="1:15" ht="13.8">
      <c r="A7" s="9"/>
      <c r="B7" s="9"/>
      <c r="C7" s="43"/>
      <c r="D7" s="155"/>
      <c r="E7" s="518" t="s">
        <v>1263</v>
      </c>
      <c r="F7" s="43" t="s">
        <v>815</v>
      </c>
      <c r="G7" s="522"/>
      <c r="H7" s="518" t="s">
        <v>1264</v>
      </c>
      <c r="I7" s="519" t="s">
        <v>553</v>
      </c>
      <c r="J7" s="43" t="s">
        <v>816</v>
      </c>
      <c r="K7" s="518" t="s">
        <v>1376</v>
      </c>
      <c r="L7" s="155"/>
      <c r="M7" s="155"/>
      <c r="N7" s="155"/>
      <c r="O7" s="155"/>
    </row>
    <row r="8" spans="1:15" ht="13.8">
      <c r="A8" s="9"/>
      <c r="B8" s="10"/>
      <c r="C8" s="43" t="s">
        <v>813</v>
      </c>
      <c r="D8" s="43" t="s">
        <v>814</v>
      </c>
      <c r="E8" s="508" t="s">
        <v>1239</v>
      </c>
      <c r="F8" s="43" t="s">
        <v>583</v>
      </c>
      <c r="G8" s="43" t="s">
        <v>815</v>
      </c>
      <c r="H8" s="508" t="s">
        <v>1239</v>
      </c>
      <c r="I8" s="510" t="s">
        <v>1239</v>
      </c>
      <c r="J8" s="156" t="str">
        <f>'Fund Cover Sheets'!$N$1</f>
        <v>Adopted</v>
      </c>
      <c r="K8" s="508" t="s">
        <v>1239</v>
      </c>
      <c r="L8" s="43" t="s">
        <v>817</v>
      </c>
      <c r="M8" s="43" t="s">
        <v>818</v>
      </c>
      <c r="N8" s="43" t="s">
        <v>819</v>
      </c>
      <c r="O8" s="43" t="s">
        <v>820</v>
      </c>
    </row>
    <row r="9" spans="1:15" ht="14.4" thickBot="1">
      <c r="A9" s="9"/>
      <c r="B9" s="25"/>
      <c r="C9" s="45" t="s">
        <v>1</v>
      </c>
      <c r="D9" s="45" t="s">
        <v>1</v>
      </c>
      <c r="E9" s="509" t="s">
        <v>1240</v>
      </c>
      <c r="F9" s="45" t="s">
        <v>553</v>
      </c>
      <c r="G9" s="45" t="s">
        <v>19</v>
      </c>
      <c r="H9" s="509" t="s">
        <v>1240</v>
      </c>
      <c r="I9" s="511" t="s">
        <v>1240</v>
      </c>
      <c r="J9" s="45" t="s">
        <v>553</v>
      </c>
      <c r="K9" s="509" t="s">
        <v>1240</v>
      </c>
      <c r="L9" s="45" t="s">
        <v>19</v>
      </c>
      <c r="M9" s="45" t="s">
        <v>19</v>
      </c>
      <c r="N9" s="45" t="s">
        <v>19</v>
      </c>
      <c r="O9" s="45" t="s">
        <v>19</v>
      </c>
    </row>
    <row r="10" spans="1:15" ht="13.8">
      <c r="A10" s="9"/>
      <c r="B10" s="9"/>
      <c r="C10" s="15"/>
      <c r="D10" s="15"/>
      <c r="E10" s="15"/>
      <c r="F10" s="15"/>
      <c r="G10" s="15"/>
      <c r="H10" s="15"/>
      <c r="I10" s="512"/>
      <c r="J10" s="15"/>
      <c r="K10" s="15"/>
      <c r="L10" s="15"/>
      <c r="M10" s="15"/>
      <c r="N10" s="15"/>
      <c r="O10" s="15"/>
    </row>
    <row r="11" spans="1:15" ht="13.8">
      <c r="A11" s="9"/>
      <c r="B11" s="21" t="s">
        <v>424</v>
      </c>
      <c r="C11" s="15"/>
      <c r="D11" s="15"/>
      <c r="E11" s="15"/>
      <c r="F11" s="15"/>
      <c r="G11" s="15"/>
      <c r="H11" s="15"/>
      <c r="I11" s="512"/>
      <c r="J11" s="15"/>
      <c r="K11" s="15"/>
      <c r="L11" s="15"/>
      <c r="M11" s="15"/>
      <c r="N11" s="15"/>
      <c r="O11" s="15"/>
    </row>
    <row r="12" spans="1:15" ht="20.100000000000001" customHeight="1">
      <c r="A12" s="9"/>
      <c r="B12" s="11" t="s">
        <v>594</v>
      </c>
      <c r="C12" s="49">
        <f>SUM('Budget Detail FY 2020-27'!M64:M67)</f>
        <v>581285</v>
      </c>
      <c r="D12" s="49">
        <f>SUM('Budget Detail FY 2020-27'!N64:N67)</f>
        <v>597456</v>
      </c>
      <c r="E12" s="122">
        <f>(D12-C12)/C12</f>
        <v>2.7819400122143182E-2</v>
      </c>
      <c r="F12" s="49">
        <f>SUM('Budget Detail FY 2020-27'!O64:O67)</f>
        <v>626473</v>
      </c>
      <c r="G12" s="49">
        <f>SUM('Budget Detail FY 2020-27'!P64:P67)</f>
        <v>528800</v>
      </c>
      <c r="H12" s="122">
        <f>(G12-D12)/D12</f>
        <v>-0.11491390160949091</v>
      </c>
      <c r="I12" s="513">
        <f>(G12-F12)/F12</f>
        <v>-0.1559093528372332</v>
      </c>
      <c r="J12" s="49">
        <f>SUM('Budget Detail FY 2020-27'!Q64:Q67)</f>
        <v>533258</v>
      </c>
      <c r="K12" s="122">
        <f>(J12-G12)/G12</f>
        <v>8.4304084720121034E-3</v>
      </c>
      <c r="L12" s="49">
        <f>SUM('Budget Detail FY 2020-27'!R64:R67)</f>
        <v>580286</v>
      </c>
      <c r="M12" s="49">
        <f>SUM('Budget Detail FY 2020-27'!S64:S67)</f>
        <v>596109</v>
      </c>
      <c r="N12" s="49">
        <f>SUM('Budget Detail FY 2020-27'!T64:T67)</f>
        <v>612395</v>
      </c>
      <c r="O12" s="49">
        <f>SUM('Budget Detail FY 2020-27'!U64:U67)</f>
        <v>629156</v>
      </c>
    </row>
    <row r="13" spans="1:15" ht="20.100000000000001" customHeight="1">
      <c r="A13" s="9"/>
      <c r="B13" s="11" t="s">
        <v>595</v>
      </c>
      <c r="C13" s="2">
        <f>SUM('Budget Detail FY 2020-27'!M68:M73)</f>
        <v>202728</v>
      </c>
      <c r="D13" s="2">
        <f>SUM('Budget Detail FY 2020-27'!N68:N73)</f>
        <v>199237</v>
      </c>
      <c r="E13" s="122">
        <f>(D13-C13)/C13</f>
        <v>-1.7220117595990687E-2</v>
      </c>
      <c r="F13" s="2">
        <f>SUM('Budget Detail FY 2020-27'!O68:O73)</f>
        <v>201133</v>
      </c>
      <c r="G13" s="2">
        <f>SUM('Budget Detail FY 2020-27'!P68:P73)</f>
        <v>152853</v>
      </c>
      <c r="H13" s="122">
        <f>(G13-F13)/F13</f>
        <v>-0.24004017242322245</v>
      </c>
      <c r="I13" s="513">
        <f>(G13-F13)/F13</f>
        <v>-0.24004017242322245</v>
      </c>
      <c r="J13" s="2">
        <f>SUM('Budget Detail FY 2020-27'!Q68:Q73)</f>
        <v>152041</v>
      </c>
      <c r="K13" s="122">
        <f>(J13-G13)/G13</f>
        <v>-5.3122935107587027E-3</v>
      </c>
      <c r="L13" s="2">
        <f>SUM('Budget Detail FY 2020-27'!R68:R73)</f>
        <v>161090</v>
      </c>
      <c r="M13" s="2">
        <f>SUM('Budget Detail FY 2020-27'!S68:S73)</f>
        <v>170878</v>
      </c>
      <c r="N13" s="2">
        <f>SUM('Budget Detail FY 2020-27'!T68:T73)</f>
        <v>181281</v>
      </c>
      <c r="O13" s="2">
        <f>SUM('Budget Detail FY 2020-27'!U68:U73)</f>
        <v>192449</v>
      </c>
    </row>
    <row r="14" spans="1:15" ht="20.100000000000001" customHeight="1">
      <c r="A14" s="9"/>
      <c r="B14" s="11" t="s">
        <v>596</v>
      </c>
      <c r="C14" s="2">
        <f>SUM('Budget Detail FY 2020-27'!M74:M87)</f>
        <v>138576</v>
      </c>
      <c r="D14" s="2">
        <f>SUM('Budget Detail FY 2020-27'!N74:N87)</f>
        <v>158328</v>
      </c>
      <c r="E14" s="122">
        <f>(D14-C14)/C14</f>
        <v>0.14253550398337375</v>
      </c>
      <c r="F14" s="2">
        <f>SUM('Budget Detail FY 2020-27'!O74:O87)</f>
        <v>158837</v>
      </c>
      <c r="G14" s="2">
        <f>SUM('Budget Detail FY 2020-27'!P74:P87)</f>
        <v>140058</v>
      </c>
      <c r="H14" s="122">
        <f>(G14-F14)/F14</f>
        <v>-0.11822812065198915</v>
      </c>
      <c r="I14" s="513">
        <f>(G14-F14)/F14</f>
        <v>-0.11822812065198915</v>
      </c>
      <c r="J14" s="2">
        <f>SUM('Budget Detail FY 2020-27'!Q74:Q87)</f>
        <v>197067</v>
      </c>
      <c r="K14" s="122">
        <f>(J14-G14)/G14</f>
        <v>0.40703851261620189</v>
      </c>
      <c r="L14" s="2">
        <f>SUM('Budget Detail FY 2020-27'!R74:R87)</f>
        <v>193177</v>
      </c>
      <c r="M14" s="2">
        <f>SUM('Budget Detail FY 2020-27'!S74:S87)</f>
        <v>200098</v>
      </c>
      <c r="N14" s="2">
        <f>SUM('Budget Detail FY 2020-27'!T74:T87)</f>
        <v>206936</v>
      </c>
      <c r="O14" s="2">
        <f>SUM('Budget Detail FY 2020-27'!U74:U87)</f>
        <v>202896</v>
      </c>
    </row>
    <row r="15" spans="1:15" ht="20.100000000000001" customHeight="1">
      <c r="A15" s="9"/>
      <c r="B15" s="26" t="s">
        <v>597</v>
      </c>
      <c r="C15" s="2">
        <f>SUM('Budget Detail FY 2020-27'!M88:M88)</f>
        <v>8727</v>
      </c>
      <c r="D15" s="2">
        <f>SUM('Budget Detail FY 2020-27'!N88:N88)</f>
        <v>11598</v>
      </c>
      <c r="E15" s="122">
        <f>(D15-C15)/C15</f>
        <v>0.32897903059470607</v>
      </c>
      <c r="F15" s="2">
        <f>SUM('Budget Detail FY 2020-27'!O88:O88)</f>
        <v>10000</v>
      </c>
      <c r="G15" s="2">
        <f>SUM('Budget Detail FY 2020-27'!P88:P88)</f>
        <v>10000</v>
      </c>
      <c r="H15" s="122">
        <f>(G15-F15)/F15</f>
        <v>0</v>
      </c>
      <c r="I15" s="513">
        <f>(G15-F15)/F15</f>
        <v>0</v>
      </c>
      <c r="J15" s="2">
        <f>SUM('Budget Detail FY 2020-27'!Q88:Q88)</f>
        <v>10000</v>
      </c>
      <c r="K15" s="122">
        <f>(J15-G15)/G15</f>
        <v>0</v>
      </c>
      <c r="L15" s="2">
        <f>SUM('Budget Detail FY 2020-27'!R88:R88)</f>
        <v>10000</v>
      </c>
      <c r="M15" s="2">
        <f>SUM('Budget Detail FY 2020-27'!S88:S88)</f>
        <v>10000</v>
      </c>
      <c r="N15" s="2">
        <f>SUM('Budget Detail FY 2020-27'!T88:T88)</f>
        <v>10000</v>
      </c>
      <c r="O15" s="2">
        <f>SUM('Budget Detail FY 2020-27'!U88:U88)</f>
        <v>10000</v>
      </c>
    </row>
    <row r="16" spans="1:15" s="70" customFormat="1" ht="20.100000000000001" customHeight="1" thickBot="1">
      <c r="A16" s="68"/>
      <c r="B16" s="69" t="s">
        <v>630</v>
      </c>
      <c r="C16" s="431">
        <f>SUM(C12:C15)</f>
        <v>931316</v>
      </c>
      <c r="D16" s="431">
        <f t="shared" ref="D16:N16" si="0">SUM(D12:D15)</f>
        <v>966619</v>
      </c>
      <c r="E16" s="122">
        <f>(D16-C16)/C16</f>
        <v>3.7906575211850757E-2</v>
      </c>
      <c r="F16" s="431">
        <f t="shared" si="0"/>
        <v>996443</v>
      </c>
      <c r="G16" s="431">
        <f>SUM(G12:G15)</f>
        <v>831711</v>
      </c>
      <c r="H16" s="122">
        <f>(G16-F16)/F16</f>
        <v>-0.16532004339435372</v>
      </c>
      <c r="I16" s="513">
        <f>(G16-F16)/F16</f>
        <v>-0.16532004339435372</v>
      </c>
      <c r="J16" s="431">
        <f t="shared" si="0"/>
        <v>892366</v>
      </c>
      <c r="K16" s="122">
        <f>(J16-G16)/G16</f>
        <v>7.2927976184035084E-2</v>
      </c>
      <c r="L16" s="431">
        <f t="shared" si="0"/>
        <v>944553</v>
      </c>
      <c r="M16" s="431">
        <f t="shared" si="0"/>
        <v>977085</v>
      </c>
      <c r="N16" s="431">
        <f t="shared" si="0"/>
        <v>1010612</v>
      </c>
      <c r="O16" s="431">
        <f>SUM(O12:O15)</f>
        <v>1034501</v>
      </c>
    </row>
    <row r="17" spans="1:15" s="70" customFormat="1" ht="14.4" thickTop="1">
      <c r="A17" s="68"/>
      <c r="B17" s="12"/>
      <c r="C17" s="77"/>
      <c r="D17" s="77"/>
      <c r="E17" s="77"/>
      <c r="F17" s="77"/>
      <c r="G17" s="77"/>
      <c r="H17" s="77"/>
      <c r="I17" s="77"/>
      <c r="J17" s="77"/>
      <c r="K17" s="77"/>
      <c r="L17" s="77"/>
      <c r="M17" s="77"/>
      <c r="N17" s="77"/>
      <c r="O17" s="77"/>
    </row>
    <row r="18" spans="1:15" ht="13.8">
      <c r="A18" s="9"/>
      <c r="B18" s="11"/>
      <c r="C18" s="15"/>
      <c r="D18" s="15"/>
      <c r="E18" s="15"/>
      <c r="F18" s="15"/>
      <c r="G18" s="15"/>
      <c r="H18" s="15"/>
      <c r="I18" s="15"/>
      <c r="J18" s="15"/>
      <c r="K18" s="15"/>
      <c r="L18" s="15"/>
      <c r="M18" s="15"/>
      <c r="N18" s="15"/>
      <c r="O18" s="15"/>
    </row>
    <row r="19" spans="1:15" ht="13.8">
      <c r="A19" s="9"/>
      <c r="B19" s="9"/>
      <c r="C19" s="15"/>
      <c r="D19" s="15"/>
      <c r="E19" s="15"/>
      <c r="F19" s="15"/>
      <c r="G19" s="15"/>
      <c r="H19" s="15"/>
      <c r="I19" s="15"/>
      <c r="J19" s="15"/>
      <c r="K19" s="15"/>
      <c r="L19" s="15"/>
      <c r="M19" s="15"/>
      <c r="N19" s="15"/>
      <c r="O19" s="15"/>
    </row>
    <row r="20" spans="1:15" ht="13.8">
      <c r="A20" s="9"/>
      <c r="B20" s="9"/>
      <c r="C20" s="15"/>
      <c r="D20" s="15"/>
      <c r="E20" s="15"/>
      <c r="F20" s="15"/>
      <c r="G20" s="15"/>
      <c r="H20" s="15"/>
      <c r="I20" s="15"/>
      <c r="J20" s="15"/>
      <c r="K20" s="15"/>
      <c r="L20" s="15"/>
      <c r="M20" s="15"/>
      <c r="N20" s="15"/>
      <c r="O20" s="15"/>
    </row>
    <row r="21" spans="1:15" ht="13.8">
      <c r="A21" s="9"/>
      <c r="B21" s="9"/>
      <c r="C21" s="15"/>
      <c r="D21" s="15"/>
      <c r="E21" s="15"/>
      <c r="F21" s="15"/>
      <c r="G21" s="15"/>
      <c r="H21" s="15"/>
      <c r="I21" s="15"/>
      <c r="J21" s="15"/>
      <c r="K21" s="15"/>
      <c r="L21" s="15"/>
      <c r="M21" s="15"/>
      <c r="N21" s="15"/>
      <c r="O21" s="15"/>
    </row>
    <row r="22" spans="1:15" ht="13.8">
      <c r="A22" s="9"/>
      <c r="B22" s="9"/>
      <c r="C22" s="15"/>
      <c r="D22" s="15"/>
      <c r="E22" s="15"/>
      <c r="F22" s="15"/>
      <c r="G22" s="15"/>
      <c r="H22" s="15"/>
      <c r="I22" s="15"/>
      <c r="J22" s="15"/>
      <c r="K22" s="15"/>
      <c r="L22" s="15"/>
      <c r="M22" s="15"/>
      <c r="N22" s="15"/>
      <c r="O22" s="15"/>
    </row>
    <row r="23" spans="1:15" ht="13.8">
      <c r="A23" s="9"/>
      <c r="B23" s="9"/>
      <c r="C23" s="15"/>
      <c r="D23" s="15"/>
      <c r="E23" s="15"/>
      <c r="F23" s="15"/>
      <c r="G23" s="15"/>
      <c r="H23" s="15"/>
      <c r="I23" s="15"/>
      <c r="J23" s="15"/>
      <c r="K23" s="15"/>
      <c r="L23" s="15"/>
      <c r="M23" s="15"/>
      <c r="N23" s="15"/>
      <c r="O23" s="15"/>
    </row>
    <row r="24" spans="1:15" ht="13.8">
      <c r="A24" s="9"/>
      <c r="B24" s="9"/>
      <c r="C24" s="15"/>
      <c r="D24" s="15"/>
      <c r="E24" s="15"/>
      <c r="F24" s="15"/>
      <c r="G24" s="15"/>
      <c r="H24" s="15"/>
      <c r="I24" s="15"/>
      <c r="J24" s="15"/>
      <c r="K24" s="15"/>
      <c r="L24" s="15"/>
      <c r="M24" s="15"/>
      <c r="N24" s="15"/>
      <c r="O24" s="15"/>
    </row>
    <row r="25" spans="1:15" ht="13.8">
      <c r="A25" s="9"/>
      <c r="B25" s="9"/>
      <c r="C25" s="15"/>
      <c r="D25" s="15"/>
      <c r="E25" s="15"/>
      <c r="F25" s="15"/>
      <c r="G25" s="15"/>
      <c r="H25" s="15"/>
      <c r="I25" s="15"/>
      <c r="J25" s="15"/>
      <c r="K25" s="15"/>
      <c r="L25" s="15"/>
      <c r="M25" s="15"/>
      <c r="N25" s="15"/>
      <c r="O25" s="15"/>
    </row>
    <row r="26" spans="1:15" ht="13.8">
      <c r="A26" s="9"/>
      <c r="B26" s="9"/>
      <c r="C26" s="15"/>
      <c r="D26" s="15"/>
      <c r="E26" s="15"/>
      <c r="F26" s="15"/>
      <c r="G26" s="15"/>
      <c r="H26" s="15"/>
      <c r="I26" s="15"/>
      <c r="J26" s="15"/>
      <c r="K26" s="15"/>
      <c r="L26" s="15"/>
      <c r="M26" s="15"/>
      <c r="N26" s="15"/>
      <c r="O26" s="15"/>
    </row>
    <row r="27" spans="1:15" ht="13.8">
      <c r="A27" s="9"/>
      <c r="B27" s="9"/>
      <c r="C27" s="15"/>
      <c r="D27" s="15"/>
      <c r="E27" s="15"/>
      <c r="F27" s="15"/>
      <c r="G27" s="15"/>
      <c r="H27" s="15"/>
      <c r="I27" s="15"/>
      <c r="J27" s="15"/>
      <c r="K27" s="15"/>
      <c r="L27" s="15"/>
      <c r="M27" s="15"/>
      <c r="N27" s="15"/>
      <c r="O27" s="15"/>
    </row>
    <row r="28" spans="1:15" ht="13.8">
      <c r="A28" s="9"/>
      <c r="B28" s="9"/>
      <c r="C28" s="15"/>
      <c r="D28" s="15"/>
      <c r="E28" s="15"/>
      <c r="F28" s="15"/>
      <c r="G28" s="15"/>
      <c r="H28" s="15"/>
      <c r="I28" s="15"/>
      <c r="J28" s="15"/>
      <c r="K28" s="15"/>
      <c r="L28" s="15"/>
      <c r="M28" s="15"/>
      <c r="N28" s="15"/>
      <c r="O28" s="15"/>
    </row>
    <row r="29" spans="1:15" ht="13.8">
      <c r="A29" s="9"/>
      <c r="B29" s="9"/>
      <c r="C29" s="15"/>
      <c r="D29" s="15"/>
      <c r="E29" s="15"/>
      <c r="F29" s="15"/>
      <c r="G29" s="15"/>
      <c r="H29" s="15"/>
      <c r="I29" s="15"/>
      <c r="J29" s="15"/>
      <c r="K29" s="15"/>
      <c r="L29" s="15"/>
      <c r="M29" s="15"/>
      <c r="N29" s="15"/>
      <c r="O29" s="15"/>
    </row>
    <row r="30" spans="1:15" ht="13.8">
      <c r="A30" s="9"/>
      <c r="B30" s="9"/>
      <c r="C30" s="15"/>
      <c r="D30" s="15"/>
      <c r="E30" s="15"/>
      <c r="F30" s="15"/>
      <c r="G30" s="15"/>
      <c r="H30" s="15"/>
      <c r="I30" s="15"/>
      <c r="J30" s="15"/>
      <c r="K30" s="15"/>
      <c r="L30" s="15"/>
      <c r="M30" s="15"/>
      <c r="N30" s="15"/>
      <c r="O30" s="15"/>
    </row>
    <row r="31" spans="1:15" ht="13.8">
      <c r="A31" s="9"/>
      <c r="L31" s="15"/>
      <c r="M31" s="15"/>
      <c r="N31" s="15"/>
      <c r="O31" s="15"/>
    </row>
    <row r="32" spans="1:15" ht="17.399999999999999">
      <c r="A32" s="9"/>
      <c r="B32" s="680" t="s">
        <v>631</v>
      </c>
      <c r="C32" s="680"/>
      <c r="D32" s="680"/>
      <c r="E32" s="680"/>
      <c r="F32" s="680"/>
      <c r="G32" s="680"/>
      <c r="H32" s="680"/>
      <c r="I32" s="680"/>
      <c r="J32" s="680"/>
      <c r="K32" s="680"/>
      <c r="L32" s="680"/>
      <c r="M32" s="680"/>
      <c r="N32" s="680"/>
      <c r="O32" s="680"/>
    </row>
    <row r="33" spans="1:15" ht="13.8">
      <c r="A33" s="9"/>
      <c r="B33" s="9"/>
      <c r="C33" s="15"/>
      <c r="D33" s="15"/>
      <c r="E33" s="15"/>
      <c r="F33" s="15"/>
      <c r="G33" s="15"/>
      <c r="H33" s="15"/>
      <c r="I33" s="15"/>
      <c r="J33" s="15"/>
      <c r="K33" s="15"/>
      <c r="L33" s="15"/>
      <c r="M33" s="15"/>
      <c r="N33" s="15"/>
      <c r="O33" s="15"/>
    </row>
    <row r="34" spans="1:15" ht="15" customHeight="1">
      <c r="A34" s="9"/>
      <c r="B34" s="683" t="s">
        <v>882</v>
      </c>
      <c r="C34" s="683"/>
      <c r="D34" s="683"/>
      <c r="E34" s="683"/>
      <c r="F34" s="683"/>
      <c r="G34" s="683"/>
      <c r="H34" s="683"/>
      <c r="I34" s="683"/>
      <c r="J34" s="683"/>
      <c r="K34" s="683"/>
      <c r="L34" s="683"/>
      <c r="M34" s="683"/>
      <c r="N34" s="683"/>
      <c r="O34" s="683"/>
    </row>
    <row r="35" spans="1:15" ht="13.8">
      <c r="A35" s="9"/>
      <c r="B35" s="683"/>
      <c r="C35" s="683"/>
      <c r="D35" s="683"/>
      <c r="E35" s="683"/>
      <c r="F35" s="683"/>
      <c r="G35" s="683"/>
      <c r="H35" s="683"/>
      <c r="I35" s="683"/>
      <c r="J35" s="683"/>
      <c r="K35" s="683"/>
      <c r="L35" s="683"/>
      <c r="M35" s="683"/>
      <c r="N35" s="683"/>
      <c r="O35" s="683"/>
    </row>
    <row r="36" spans="1:15" ht="13.8">
      <c r="A36" s="9"/>
      <c r="B36" s="683"/>
      <c r="C36" s="683"/>
      <c r="D36" s="683"/>
      <c r="E36" s="683"/>
      <c r="F36" s="683"/>
      <c r="G36" s="683"/>
      <c r="H36" s="683"/>
      <c r="I36" s="683"/>
      <c r="J36" s="683"/>
      <c r="K36" s="683"/>
      <c r="L36" s="683"/>
      <c r="M36" s="683"/>
      <c r="N36" s="683"/>
      <c r="O36" s="683"/>
    </row>
    <row r="37" spans="1:15" ht="13.8">
      <c r="A37" s="9"/>
      <c r="B37" s="27"/>
      <c r="C37" s="36"/>
      <c r="D37" s="36"/>
      <c r="E37" s="36"/>
      <c r="F37" s="36"/>
      <c r="G37" s="15"/>
      <c r="H37" s="15"/>
      <c r="I37" s="15"/>
      <c r="J37" s="15"/>
      <c r="K37" s="15"/>
      <c r="L37" s="15"/>
      <c r="M37" s="15"/>
      <c r="N37" s="15"/>
      <c r="O37" s="15"/>
    </row>
    <row r="38" spans="1:15" ht="13.8">
      <c r="A38" s="9"/>
      <c r="B38" s="9"/>
      <c r="C38" s="43"/>
      <c r="D38" s="573"/>
      <c r="E38" s="518" t="s">
        <v>1263</v>
      </c>
      <c r="F38" s="43" t="s">
        <v>815</v>
      </c>
      <c r="G38" s="573"/>
      <c r="H38" s="518" t="s">
        <v>1264</v>
      </c>
      <c r="I38" s="519" t="s">
        <v>553</v>
      </c>
      <c r="J38" s="43" t="s">
        <v>816</v>
      </c>
      <c r="K38" s="518" t="s">
        <v>1376</v>
      </c>
      <c r="L38" s="573"/>
      <c r="M38" s="573"/>
      <c r="N38" s="573"/>
      <c r="O38" s="573"/>
    </row>
    <row r="39" spans="1:15" ht="13.8">
      <c r="A39" s="9"/>
      <c r="B39" s="10"/>
      <c r="C39" s="43" t="s">
        <v>813</v>
      </c>
      <c r="D39" s="43" t="s">
        <v>814</v>
      </c>
      <c r="E39" s="508" t="s">
        <v>1239</v>
      </c>
      <c r="F39" s="43" t="s">
        <v>583</v>
      </c>
      <c r="G39" s="43" t="s">
        <v>815</v>
      </c>
      <c r="H39" s="508" t="s">
        <v>1239</v>
      </c>
      <c r="I39" s="510" t="s">
        <v>1239</v>
      </c>
      <c r="J39" s="156" t="str">
        <f>'Fund Cover Sheets'!$N$1</f>
        <v>Adopted</v>
      </c>
      <c r="K39" s="508" t="s">
        <v>1239</v>
      </c>
      <c r="L39" s="43" t="s">
        <v>817</v>
      </c>
      <c r="M39" s="43" t="s">
        <v>818</v>
      </c>
      <c r="N39" s="43" t="s">
        <v>819</v>
      </c>
      <c r="O39" s="43" t="s">
        <v>820</v>
      </c>
    </row>
    <row r="40" spans="1:15" ht="14.4" thickBot="1">
      <c r="A40" s="9"/>
      <c r="B40" s="25"/>
      <c r="C40" s="45" t="s">
        <v>1</v>
      </c>
      <c r="D40" s="45" t="s">
        <v>1</v>
      </c>
      <c r="E40" s="509" t="s">
        <v>1240</v>
      </c>
      <c r="F40" s="45" t="s">
        <v>553</v>
      </c>
      <c r="G40" s="45" t="s">
        <v>19</v>
      </c>
      <c r="H40" s="509" t="s">
        <v>1240</v>
      </c>
      <c r="I40" s="511" t="s">
        <v>1240</v>
      </c>
      <c r="J40" s="45" t="s">
        <v>553</v>
      </c>
      <c r="K40" s="509" t="s">
        <v>1240</v>
      </c>
      <c r="L40" s="45" t="s">
        <v>19</v>
      </c>
      <c r="M40" s="45" t="s">
        <v>19</v>
      </c>
      <c r="N40" s="45" t="s">
        <v>19</v>
      </c>
      <c r="O40" s="45" t="s">
        <v>19</v>
      </c>
    </row>
    <row r="41" spans="1:15" ht="13.8">
      <c r="A41" s="9"/>
      <c r="B41" s="9"/>
      <c r="C41" s="15"/>
      <c r="D41" s="15"/>
      <c r="E41" s="15"/>
      <c r="F41" s="15"/>
      <c r="G41" s="15"/>
      <c r="H41" s="15"/>
      <c r="I41" s="512"/>
      <c r="J41" s="15"/>
      <c r="K41" s="15"/>
      <c r="L41" s="15"/>
      <c r="M41" s="15"/>
      <c r="N41" s="15"/>
      <c r="O41" s="15"/>
    </row>
    <row r="42" spans="1:15" ht="13.8">
      <c r="A42" s="9"/>
      <c r="B42" s="21" t="s">
        <v>424</v>
      </c>
      <c r="C42" s="15"/>
      <c r="D42" s="15"/>
      <c r="E42" s="15"/>
      <c r="F42" s="15"/>
      <c r="G42" s="15"/>
      <c r="H42" s="15"/>
      <c r="I42" s="512"/>
      <c r="J42" s="15"/>
      <c r="K42" s="15"/>
      <c r="L42" s="15"/>
      <c r="M42" s="15"/>
      <c r="N42" s="15"/>
      <c r="O42" s="15"/>
    </row>
    <row r="43" spans="1:15" ht="20.100000000000001" customHeight="1">
      <c r="A43" s="9"/>
      <c r="B43" s="11" t="s">
        <v>594</v>
      </c>
      <c r="C43" s="49">
        <f>'Budget Detail FY 2020-27'!M92</f>
        <v>291239</v>
      </c>
      <c r="D43" s="49">
        <f>'Budget Detail FY 2020-27'!N92</f>
        <v>283247</v>
      </c>
      <c r="E43" s="122">
        <f>(D43-C43)/C43</f>
        <v>-2.7441379760265623E-2</v>
      </c>
      <c r="F43" s="49">
        <f>'Budget Detail FY 2020-27'!O92</f>
        <v>326735</v>
      </c>
      <c r="G43" s="49">
        <f>'Budget Detail FY 2020-27'!P92</f>
        <v>318000</v>
      </c>
      <c r="H43" s="122">
        <f>(G43-F43)/F43</f>
        <v>-2.6734203559459501E-2</v>
      </c>
      <c r="I43" s="513">
        <f>(G43-F43)/F43</f>
        <v>-2.6734203559459501E-2</v>
      </c>
      <c r="J43" s="49">
        <f>'Budget Detail FY 2020-27'!Q92</f>
        <v>336380</v>
      </c>
      <c r="K43" s="122">
        <f>(J43-G43)/G43</f>
        <v>5.7798742138364778E-2</v>
      </c>
      <c r="L43" s="49">
        <f>'Budget Detail FY 2020-27'!R92</f>
        <v>336171</v>
      </c>
      <c r="M43" s="49">
        <f>'Budget Detail FY 2020-27'!S92</f>
        <v>346256</v>
      </c>
      <c r="N43" s="49">
        <f>'Budget Detail FY 2020-27'!T92</f>
        <v>356644</v>
      </c>
      <c r="O43" s="49">
        <f>'Budget Detail FY 2020-27'!U92</f>
        <v>367343</v>
      </c>
    </row>
    <row r="44" spans="1:15" ht="20.100000000000001" customHeight="1">
      <c r="A44" s="9"/>
      <c r="B44" s="11" t="s">
        <v>595</v>
      </c>
      <c r="C44" s="2">
        <f>SUM('Budget Detail FY 2020-27'!M93:M98)</f>
        <v>110722</v>
      </c>
      <c r="D44" s="2">
        <f>SUM('Budget Detail FY 2020-27'!N93:N98)</f>
        <v>97908</v>
      </c>
      <c r="E44" s="122">
        <f>(D44-C44)/C44</f>
        <v>-0.11573129098101552</v>
      </c>
      <c r="F44" s="2">
        <f>SUM('Budget Detail FY 2020-27'!O93:O98)</f>
        <v>110880</v>
      </c>
      <c r="G44" s="2">
        <f>SUM('Budget Detail FY 2020-27'!P93:P98)</f>
        <v>104332</v>
      </c>
      <c r="H44" s="122">
        <f>(G44-F44)/F44</f>
        <v>-5.9054834054834054E-2</v>
      </c>
      <c r="I44" s="513">
        <f>(G44-F44)/F44</f>
        <v>-5.9054834054834054E-2</v>
      </c>
      <c r="J44" s="2">
        <f>SUM('Budget Detail FY 2020-27'!Q93:Q98)</f>
        <v>134729</v>
      </c>
      <c r="K44" s="122">
        <f>(J44-G44)/G44</f>
        <v>0.29134877123030328</v>
      </c>
      <c r="L44" s="2">
        <f>SUM('Budget Detail FY 2020-27'!R93:R98)</f>
        <v>142473</v>
      </c>
      <c r="M44" s="2">
        <f>SUM('Budget Detail FY 2020-27'!S93:S98)</f>
        <v>151824</v>
      </c>
      <c r="N44" s="2">
        <f>SUM('Budget Detail FY 2020-27'!T93:T98)</f>
        <v>161808</v>
      </c>
      <c r="O44" s="2">
        <f>SUM('Budget Detail FY 2020-27'!U93:U98)</f>
        <v>172549</v>
      </c>
    </row>
    <row r="45" spans="1:15" ht="20.100000000000001" customHeight="1">
      <c r="A45" s="9"/>
      <c r="B45" s="11" t="s">
        <v>596</v>
      </c>
      <c r="C45" s="2">
        <f>SUM('Budget Detail FY 2020-27'!M99:M108)</f>
        <v>96488</v>
      </c>
      <c r="D45" s="2">
        <f>SUM('Budget Detail FY 2020-27'!N99:N108)</f>
        <v>128758</v>
      </c>
      <c r="E45" s="122">
        <f>(D45-C45)/C45</f>
        <v>0.3344457341845618</v>
      </c>
      <c r="F45" s="2">
        <f>SUM('Budget Detail FY 2020-27'!O99:O108)</f>
        <v>117275</v>
      </c>
      <c r="G45" s="2">
        <f>SUM('Budget Detail FY 2020-27'!P99:P108)</f>
        <v>125245</v>
      </c>
      <c r="H45" s="122">
        <f>(G45-F45)/F45</f>
        <v>6.7959923257301214E-2</v>
      </c>
      <c r="I45" s="513">
        <f>(G45-F45)/F45</f>
        <v>6.7959923257301214E-2</v>
      </c>
      <c r="J45" s="2">
        <f>SUM('Budget Detail FY 2020-27'!Q99:Q108)</f>
        <v>125418</v>
      </c>
      <c r="K45" s="122">
        <f>(J45-G45)/G45</f>
        <v>1.3812926663739071E-3</v>
      </c>
      <c r="L45" s="2">
        <f>SUM('Budget Detail FY 2020-27'!R99:R108)</f>
        <v>126090</v>
      </c>
      <c r="M45" s="2">
        <f>SUM('Budget Detail FY 2020-27'!S99:S108)</f>
        <v>126764</v>
      </c>
      <c r="N45" s="2">
        <f>SUM('Budget Detail FY 2020-27'!T99:T108)</f>
        <v>127440</v>
      </c>
      <c r="O45" s="2">
        <f>SUM('Budget Detail FY 2020-27'!U99:U108)</f>
        <v>128117</v>
      </c>
    </row>
    <row r="46" spans="1:15" ht="20.100000000000001" customHeight="1">
      <c r="B46" s="11" t="s">
        <v>597</v>
      </c>
      <c r="C46" s="2">
        <f>SUM('Budget Detail FY 2020-27'!M109:M109)</f>
        <v>1519</v>
      </c>
      <c r="D46" s="2">
        <f>SUM('Budget Detail FY 2020-27'!N109:N109)</f>
        <v>3153</v>
      </c>
      <c r="E46" s="122">
        <f>(D46-C46)/C46</f>
        <v>1.075707702435813</v>
      </c>
      <c r="F46" s="2">
        <f>SUM('Budget Detail FY 2020-27'!O109:O109)</f>
        <v>2500</v>
      </c>
      <c r="G46" s="2">
        <f>SUM('Budget Detail FY 2020-27'!P109:P109)</f>
        <v>2000</v>
      </c>
      <c r="H46" s="122">
        <f>(G46-F46)/F46</f>
        <v>-0.2</v>
      </c>
      <c r="I46" s="513">
        <f>(G46-F46)/F46</f>
        <v>-0.2</v>
      </c>
      <c r="J46" s="2">
        <f>SUM('Budget Detail FY 2020-27'!Q109:Q109)</f>
        <v>2500</v>
      </c>
      <c r="K46" s="122">
        <f>(J46-G46)/G46</f>
        <v>0.25</v>
      </c>
      <c r="L46" s="2">
        <f>SUM('Budget Detail FY 2020-27'!R109:R109)</f>
        <v>2500</v>
      </c>
      <c r="M46" s="2">
        <f>SUM('Budget Detail FY 2020-27'!S109:S109)</f>
        <v>2500</v>
      </c>
      <c r="N46" s="2">
        <f>SUM('Budget Detail FY 2020-27'!T109:T109)</f>
        <v>2500</v>
      </c>
      <c r="O46" s="2">
        <f>SUM('Budget Detail FY 2020-27'!U109:U109)</f>
        <v>2500</v>
      </c>
    </row>
    <row r="47" spans="1:15" s="70" customFormat="1" ht="20.100000000000001" customHeight="1" thickBot="1">
      <c r="B47" s="71" t="s">
        <v>718</v>
      </c>
      <c r="C47" s="431">
        <f t="shared" ref="C47:N47" si="1">SUM(C43:C46)</f>
        <v>499968</v>
      </c>
      <c r="D47" s="431">
        <f>SUM(D43:D46)</f>
        <v>513066</v>
      </c>
      <c r="E47" s="122">
        <f>(D47-C47)/C47</f>
        <v>2.6197676651305683E-2</v>
      </c>
      <c r="F47" s="431">
        <f t="shared" si="1"/>
        <v>557390</v>
      </c>
      <c r="G47" s="431">
        <f t="shared" si="1"/>
        <v>549577</v>
      </c>
      <c r="H47" s="122">
        <f>(G47-F47)/F47</f>
        <v>-1.4017115484669621E-2</v>
      </c>
      <c r="I47" s="513">
        <f>(G47-F47)/F47</f>
        <v>-1.4017115484669621E-2</v>
      </c>
      <c r="J47" s="431">
        <f t="shared" si="1"/>
        <v>599027</v>
      </c>
      <c r="K47" s="122">
        <f>(J47-G47)/G47</f>
        <v>8.9978292395788029E-2</v>
      </c>
      <c r="L47" s="431">
        <f t="shared" si="1"/>
        <v>607234</v>
      </c>
      <c r="M47" s="431">
        <f t="shared" si="1"/>
        <v>627344</v>
      </c>
      <c r="N47" s="431">
        <f t="shared" si="1"/>
        <v>648392</v>
      </c>
      <c r="O47" s="431">
        <f>SUM(O43:O46)</f>
        <v>670509</v>
      </c>
    </row>
    <row r="48" spans="1:15" s="70" customFormat="1" ht="14.4" thickTop="1">
      <c r="B48" s="12"/>
      <c r="C48" s="77"/>
      <c r="D48" s="77"/>
      <c r="E48" s="77"/>
      <c r="F48" s="77"/>
      <c r="G48" s="77"/>
      <c r="H48" s="77"/>
      <c r="I48" s="77"/>
      <c r="J48" s="77"/>
      <c r="K48" s="77"/>
      <c r="L48" s="77"/>
      <c r="M48" s="77"/>
      <c r="N48" s="77"/>
      <c r="O48" s="77"/>
    </row>
    <row r="49" spans="2:15" ht="13.8">
      <c r="B49" s="9"/>
      <c r="C49" s="15"/>
      <c r="D49" s="15"/>
      <c r="E49" s="15"/>
      <c r="F49" s="15"/>
      <c r="G49" s="15"/>
      <c r="H49" s="15"/>
      <c r="I49" s="15"/>
      <c r="J49" s="15"/>
      <c r="K49" s="15"/>
      <c r="L49" s="15"/>
      <c r="M49" s="15"/>
      <c r="N49" s="15"/>
      <c r="O49" s="15"/>
    </row>
    <row r="50" spans="2:15" ht="13.8">
      <c r="B50" s="9"/>
      <c r="C50" s="15"/>
      <c r="D50" s="15"/>
      <c r="E50" s="15"/>
      <c r="F50" s="15"/>
      <c r="G50" s="15"/>
      <c r="H50" s="15"/>
      <c r="I50" s="15"/>
      <c r="J50" s="15"/>
      <c r="K50" s="15"/>
      <c r="L50" s="15"/>
      <c r="M50" s="15"/>
      <c r="N50" s="15"/>
      <c r="O50" s="15"/>
    </row>
    <row r="51" spans="2:15" ht="12.75" customHeight="1">
      <c r="B51" s="9"/>
      <c r="C51" s="15"/>
      <c r="D51" s="15"/>
      <c r="E51" s="15"/>
      <c r="F51" s="15"/>
      <c r="G51" s="15"/>
      <c r="H51" s="15"/>
      <c r="I51" s="15"/>
      <c r="J51" s="15"/>
      <c r="K51" s="15"/>
      <c r="L51" s="15"/>
      <c r="M51" s="15"/>
      <c r="N51" s="15"/>
      <c r="O51" s="15"/>
    </row>
    <row r="52" spans="2:15" ht="17.25" customHeight="1">
      <c r="B52" s="9"/>
      <c r="C52" s="15"/>
      <c r="D52" s="15"/>
      <c r="E52" s="15"/>
      <c r="F52" s="15"/>
      <c r="G52" s="15"/>
      <c r="H52" s="15"/>
      <c r="I52" s="15"/>
      <c r="J52" s="15"/>
      <c r="K52" s="15"/>
      <c r="L52" s="15"/>
      <c r="M52" s="15"/>
      <c r="N52" s="15"/>
      <c r="O52" s="15"/>
    </row>
    <row r="53" spans="2:15" ht="13.8">
      <c r="B53" s="9"/>
      <c r="C53" s="15"/>
      <c r="D53" s="15"/>
      <c r="E53" s="15"/>
      <c r="F53" s="15"/>
      <c r="G53" s="15"/>
      <c r="H53" s="15"/>
      <c r="I53" s="15"/>
      <c r="J53" s="15"/>
      <c r="K53" s="15"/>
      <c r="L53" s="15"/>
      <c r="M53" s="15"/>
      <c r="N53" s="15"/>
      <c r="O53" s="15"/>
    </row>
    <row r="54" spans="2:15" ht="13.8">
      <c r="B54" s="9"/>
      <c r="C54" s="15"/>
      <c r="D54" s="15"/>
      <c r="E54" s="15"/>
      <c r="F54" s="15"/>
      <c r="G54" s="15"/>
      <c r="H54" s="15"/>
      <c r="I54" s="15"/>
      <c r="J54" s="15"/>
      <c r="K54" s="15"/>
      <c r="L54" s="15"/>
      <c r="M54" s="15"/>
      <c r="N54" s="15"/>
      <c r="O54" s="15"/>
    </row>
    <row r="55" spans="2:15" ht="13.8">
      <c r="B55" s="9"/>
      <c r="C55" s="15"/>
      <c r="D55" s="15"/>
      <c r="E55" s="15"/>
      <c r="F55" s="15"/>
      <c r="G55" s="15"/>
      <c r="H55" s="15"/>
      <c r="I55" s="15"/>
      <c r="J55" s="15"/>
      <c r="K55" s="15"/>
      <c r="L55" s="15"/>
      <c r="M55" s="15"/>
      <c r="N55" s="15"/>
      <c r="O55" s="15"/>
    </row>
    <row r="56" spans="2:15" ht="13.8">
      <c r="B56" s="9"/>
      <c r="C56" s="15"/>
      <c r="D56" s="15"/>
      <c r="E56" s="15"/>
      <c r="F56" s="15"/>
      <c r="G56" s="15"/>
      <c r="H56" s="15"/>
      <c r="I56" s="15"/>
      <c r="J56" s="15"/>
      <c r="K56" s="15"/>
      <c r="L56" s="15"/>
      <c r="M56" s="15"/>
      <c r="N56" s="15"/>
      <c r="O56" s="15"/>
    </row>
    <row r="57" spans="2:15" ht="13.8">
      <c r="B57" s="9"/>
      <c r="C57" s="15"/>
      <c r="D57" s="15"/>
      <c r="E57" s="15"/>
      <c r="F57" s="15"/>
      <c r="G57" s="15"/>
      <c r="H57" s="15"/>
      <c r="I57" s="15"/>
      <c r="J57" s="15"/>
      <c r="K57" s="15"/>
      <c r="L57" s="15"/>
      <c r="M57" s="15"/>
      <c r="N57" s="15"/>
      <c r="O57" s="15"/>
    </row>
    <row r="58" spans="2:15" ht="13.8">
      <c r="B58" s="9"/>
      <c r="C58" s="15"/>
      <c r="D58" s="15"/>
      <c r="E58" s="15"/>
      <c r="F58" s="15"/>
      <c r="G58" s="15"/>
      <c r="H58" s="15"/>
      <c r="I58" s="15"/>
      <c r="J58" s="15"/>
      <c r="K58" s="15"/>
      <c r="L58" s="15"/>
      <c r="M58" s="15"/>
      <c r="N58" s="15"/>
      <c r="O58" s="15"/>
    </row>
    <row r="59" spans="2:15" ht="13.8">
      <c r="B59" s="9"/>
      <c r="C59" s="15"/>
      <c r="D59" s="15"/>
      <c r="E59" s="15"/>
      <c r="F59" s="15"/>
      <c r="G59" s="15"/>
      <c r="H59" s="15"/>
      <c r="I59" s="15"/>
      <c r="J59" s="15"/>
      <c r="K59" s="15"/>
      <c r="L59" s="15"/>
      <c r="M59" s="15"/>
      <c r="N59" s="15"/>
      <c r="O59" s="15"/>
    </row>
    <row r="60" spans="2:15" ht="13.8">
      <c r="B60" s="9"/>
      <c r="C60" s="15"/>
      <c r="D60" s="15"/>
      <c r="E60" s="15"/>
      <c r="F60" s="15"/>
      <c r="G60" s="15"/>
      <c r="H60" s="15"/>
      <c r="I60" s="15"/>
      <c r="J60" s="15"/>
      <c r="K60" s="15"/>
      <c r="L60" s="15"/>
      <c r="M60" s="15"/>
      <c r="N60" s="15"/>
      <c r="O60" s="15"/>
    </row>
    <row r="61" spans="2:15" ht="17.399999999999999">
      <c r="B61" s="682" t="s">
        <v>632</v>
      </c>
      <c r="C61" s="682"/>
      <c r="D61" s="682"/>
      <c r="E61" s="682"/>
      <c r="F61" s="682"/>
      <c r="G61" s="682"/>
      <c r="H61" s="682"/>
      <c r="I61" s="682"/>
      <c r="J61" s="682"/>
      <c r="K61" s="682"/>
      <c r="L61" s="682"/>
      <c r="M61" s="682"/>
      <c r="N61" s="682"/>
      <c r="O61" s="682"/>
    </row>
    <row r="62" spans="2:15" ht="13.8">
      <c r="B62" s="9"/>
      <c r="C62" s="15"/>
      <c r="D62" s="15"/>
      <c r="E62" s="15"/>
      <c r="F62" s="15"/>
      <c r="G62" s="15"/>
      <c r="H62" s="15"/>
      <c r="I62" s="15"/>
      <c r="J62" s="15"/>
      <c r="K62" s="15"/>
      <c r="L62" s="15"/>
      <c r="M62" s="15"/>
      <c r="N62" s="15"/>
      <c r="O62" s="15"/>
    </row>
    <row r="63" spans="2:15" ht="12.75" customHeight="1">
      <c r="B63" s="685" t="s">
        <v>883</v>
      </c>
      <c r="C63" s="685"/>
      <c r="D63" s="685"/>
      <c r="E63" s="685"/>
      <c r="F63" s="685"/>
      <c r="G63" s="685"/>
      <c r="H63" s="685"/>
      <c r="I63" s="685"/>
      <c r="J63" s="685"/>
      <c r="K63" s="685"/>
      <c r="L63" s="685"/>
      <c r="M63" s="685"/>
      <c r="N63" s="685"/>
      <c r="O63" s="685"/>
    </row>
    <row r="64" spans="2:15" ht="18.75" customHeight="1">
      <c r="B64" s="685"/>
      <c r="C64" s="685"/>
      <c r="D64" s="685"/>
      <c r="E64" s="685"/>
      <c r="F64" s="685"/>
      <c r="G64" s="685"/>
      <c r="H64" s="685"/>
      <c r="I64" s="685"/>
      <c r="J64" s="685"/>
      <c r="K64" s="685"/>
      <c r="L64" s="685"/>
      <c r="M64" s="685"/>
      <c r="N64" s="685"/>
      <c r="O64" s="685"/>
    </row>
    <row r="65" spans="2:15" ht="13.8">
      <c r="B65" s="28"/>
      <c r="C65" s="37"/>
      <c r="D65" s="37"/>
      <c r="E65" s="37"/>
      <c r="F65" s="37"/>
      <c r="G65" s="15"/>
      <c r="H65" s="15"/>
      <c r="I65" s="15"/>
      <c r="J65" s="15"/>
      <c r="K65" s="15"/>
      <c r="L65" s="15"/>
      <c r="M65" s="15"/>
      <c r="N65" s="15"/>
      <c r="O65" s="15"/>
    </row>
    <row r="66" spans="2:15" ht="13.8">
      <c r="B66" s="9"/>
      <c r="C66" s="43"/>
      <c r="D66" s="573"/>
      <c r="E66" s="518" t="s">
        <v>1263</v>
      </c>
      <c r="F66" s="43" t="s">
        <v>815</v>
      </c>
      <c r="G66" s="573"/>
      <c r="H66" s="518" t="s">
        <v>1264</v>
      </c>
      <c r="I66" s="519" t="s">
        <v>553</v>
      </c>
      <c r="J66" s="43" t="s">
        <v>816</v>
      </c>
      <c r="K66" s="518" t="s">
        <v>1376</v>
      </c>
      <c r="L66" s="573"/>
      <c r="M66" s="573"/>
      <c r="N66" s="573"/>
      <c r="O66" s="573"/>
    </row>
    <row r="67" spans="2:15" ht="13.8">
      <c r="B67" s="10"/>
      <c r="C67" s="43" t="s">
        <v>813</v>
      </c>
      <c r="D67" s="43" t="s">
        <v>814</v>
      </c>
      <c r="E67" s="508" t="s">
        <v>1239</v>
      </c>
      <c r="F67" s="43" t="s">
        <v>583</v>
      </c>
      <c r="G67" s="43" t="s">
        <v>815</v>
      </c>
      <c r="H67" s="508" t="s">
        <v>1239</v>
      </c>
      <c r="I67" s="510" t="s">
        <v>1239</v>
      </c>
      <c r="J67" s="156" t="str">
        <f>'Fund Cover Sheets'!$N$1</f>
        <v>Adopted</v>
      </c>
      <c r="K67" s="508" t="s">
        <v>1239</v>
      </c>
      <c r="L67" s="43" t="s">
        <v>817</v>
      </c>
      <c r="M67" s="43" t="s">
        <v>818</v>
      </c>
      <c r="N67" s="43" t="s">
        <v>819</v>
      </c>
      <c r="O67" s="43" t="s">
        <v>820</v>
      </c>
    </row>
    <row r="68" spans="2:15" ht="14.4" thickBot="1">
      <c r="B68" s="25"/>
      <c r="C68" s="45" t="s">
        <v>1</v>
      </c>
      <c r="D68" s="45" t="s">
        <v>1</v>
      </c>
      <c r="E68" s="509" t="s">
        <v>1240</v>
      </c>
      <c r="F68" s="45" t="s">
        <v>553</v>
      </c>
      <c r="G68" s="45" t="s">
        <v>19</v>
      </c>
      <c r="H68" s="509" t="s">
        <v>1240</v>
      </c>
      <c r="I68" s="511" t="s">
        <v>1240</v>
      </c>
      <c r="J68" s="45" t="s">
        <v>553</v>
      </c>
      <c r="K68" s="509" t="s">
        <v>1240</v>
      </c>
      <c r="L68" s="45" t="s">
        <v>19</v>
      </c>
      <c r="M68" s="45" t="s">
        <v>19</v>
      </c>
      <c r="N68" s="45" t="s">
        <v>19</v>
      </c>
      <c r="O68" s="45" t="s">
        <v>19</v>
      </c>
    </row>
    <row r="69" spans="2:15" ht="13.8">
      <c r="B69" s="9"/>
      <c r="C69" s="15"/>
      <c r="D69" s="15"/>
      <c r="E69" s="15"/>
      <c r="F69" s="15"/>
      <c r="G69" s="15"/>
      <c r="H69" s="15"/>
      <c r="I69" s="512"/>
      <c r="J69" s="15"/>
      <c r="K69" s="15"/>
      <c r="L69" s="15"/>
      <c r="M69" s="15"/>
      <c r="N69" s="15"/>
      <c r="O69" s="15"/>
    </row>
    <row r="70" spans="2:15" ht="13.8">
      <c r="B70" s="21" t="s">
        <v>424</v>
      </c>
      <c r="C70" s="15"/>
      <c r="D70" s="15"/>
      <c r="E70" s="15"/>
      <c r="F70" s="15"/>
      <c r="G70" s="15"/>
      <c r="H70" s="15"/>
      <c r="I70" s="512"/>
      <c r="J70" s="15"/>
      <c r="K70" s="15"/>
      <c r="L70" s="15"/>
      <c r="M70" s="15"/>
      <c r="N70" s="15"/>
      <c r="O70" s="15"/>
    </row>
    <row r="71" spans="2:15" ht="20.100000000000001" customHeight="1">
      <c r="B71" s="11" t="s">
        <v>594</v>
      </c>
      <c r="C71" s="49">
        <f>SUM('Budget Detail FY 2020-27'!M113:M119)</f>
        <v>3410082</v>
      </c>
      <c r="D71" s="49">
        <f>SUM('Budget Detail FY 2020-27'!N113:N119)</f>
        <v>3027146</v>
      </c>
      <c r="E71" s="122">
        <f>(D71-C71)/C71</f>
        <v>-0.11229524685916643</v>
      </c>
      <c r="F71" s="49">
        <f>SUM('Budget Detail FY 2020-27'!O113:O119)</f>
        <v>3454778</v>
      </c>
      <c r="G71" s="49">
        <f>SUM('Budget Detail FY 2020-27'!P113:P119)</f>
        <v>3387921</v>
      </c>
      <c r="H71" s="122">
        <f>(G71-F71)/F71</f>
        <v>-1.9352039407452521E-2</v>
      </c>
      <c r="I71" s="513">
        <f>(G71-F71)/F71</f>
        <v>-1.9352039407452521E-2</v>
      </c>
      <c r="J71" s="49">
        <f>SUM('Budget Detail FY 2020-27'!Q113:Q119)</f>
        <v>3636535</v>
      </c>
      <c r="K71" s="122">
        <f>(J71-G71)/G71</f>
        <v>7.3382466710410307E-2</v>
      </c>
      <c r="L71" s="49">
        <f>SUM('Budget Detail FY 2020-27'!R113:R119)</f>
        <v>3809041</v>
      </c>
      <c r="M71" s="49">
        <f>SUM('Budget Detail FY 2020-27'!S113:S119)</f>
        <v>3988639</v>
      </c>
      <c r="N71" s="49">
        <f>SUM('Budget Detail FY 2020-27'!T113:T119)</f>
        <v>4175596</v>
      </c>
      <c r="O71" s="49">
        <f>SUM('Budget Detail FY 2020-27'!U113:U119)</f>
        <v>4370186</v>
      </c>
    </row>
    <row r="72" spans="2:15" ht="20.100000000000001" customHeight="1">
      <c r="B72" s="11" t="s">
        <v>595</v>
      </c>
      <c r="C72" s="2">
        <f>SUM('Budget Detail FY 2020-27'!M120:M126)</f>
        <v>2037600</v>
      </c>
      <c r="D72" s="2">
        <f>SUM('Budget Detail FY 2020-27'!N120:N126)</f>
        <v>2065536</v>
      </c>
      <c r="E72" s="122">
        <f>(D72-C72)/C72</f>
        <v>1.3710247349823321E-2</v>
      </c>
      <c r="F72" s="2">
        <f>SUM('Budget Detail FY 2020-27'!O120:O126)</f>
        <v>2233424</v>
      </c>
      <c r="G72" s="2">
        <f>SUM('Budget Detail FY 2020-27'!P120:P126)</f>
        <v>2253100</v>
      </c>
      <c r="H72" s="122">
        <f>(G72-F72)/F72</f>
        <v>8.809791602490168E-3</v>
      </c>
      <c r="I72" s="513">
        <f>(G72-F72)/F72</f>
        <v>8.809791602490168E-3</v>
      </c>
      <c r="J72" s="2">
        <f>SUM('Budget Detail FY 2020-27'!Q120:Q126)</f>
        <v>2325779</v>
      </c>
      <c r="K72" s="122">
        <f>(J72-G72)/G72</f>
        <v>3.2257334339354668E-2</v>
      </c>
      <c r="L72" s="2">
        <f>SUM('Budget Detail FY 2020-27'!R120:R126)</f>
        <v>2495763</v>
      </c>
      <c r="M72" s="2">
        <f>SUM('Budget Detail FY 2020-27'!S120:S126)</f>
        <v>2679425</v>
      </c>
      <c r="N72" s="2">
        <f>SUM('Budget Detail FY 2020-27'!T120:T126)</f>
        <v>2848631</v>
      </c>
      <c r="O72" s="2">
        <f>SUM('Budget Detail FY 2020-27'!U120:U126)</f>
        <v>3051544</v>
      </c>
    </row>
    <row r="73" spans="2:15" ht="20.100000000000001" customHeight="1">
      <c r="B73" s="11" t="s">
        <v>596</v>
      </c>
      <c r="C73" s="2">
        <f>SUM('Budget Detail FY 2020-27'!M127:M143)</f>
        <v>248963</v>
      </c>
      <c r="D73" s="2">
        <f>SUM('Budget Detail FY 2020-27'!N127:N143)</f>
        <v>477185</v>
      </c>
      <c r="E73" s="122">
        <f>(D73-C73)/C73</f>
        <v>0.91669043191156918</v>
      </c>
      <c r="F73" s="2">
        <f>SUM('Budget Detail FY 2020-27'!O127:O143)</f>
        <v>355804</v>
      </c>
      <c r="G73" s="2">
        <f>SUM('Budget Detail FY 2020-27'!P127:P143)</f>
        <v>351459</v>
      </c>
      <c r="H73" s="122">
        <f>(G73-F73)/F73</f>
        <v>-1.2211779519061055E-2</v>
      </c>
      <c r="I73" s="513">
        <f>(G73-F73)/F73</f>
        <v>-1.2211779519061055E-2</v>
      </c>
      <c r="J73" s="2">
        <f>SUM('Budget Detail FY 2020-27'!Q127:Q143)</f>
        <v>343448</v>
      </c>
      <c r="K73" s="122">
        <f>(J73-G73)/G73</f>
        <v>-2.2793554866997287E-2</v>
      </c>
      <c r="L73" s="2">
        <f>SUM('Budget Detail FY 2020-27'!R127:R143)</f>
        <v>495021</v>
      </c>
      <c r="M73" s="2">
        <f>SUM('Budget Detail FY 2020-27'!S127:S143)</f>
        <v>480252</v>
      </c>
      <c r="N73" s="2">
        <f>SUM('Budget Detail FY 2020-27'!T127:T143)</f>
        <v>491553</v>
      </c>
      <c r="O73" s="2">
        <f>SUM('Budget Detail FY 2020-27'!U127:U143)</f>
        <v>507557</v>
      </c>
    </row>
    <row r="74" spans="2:15" ht="20.100000000000001" customHeight="1">
      <c r="B74" s="11" t="s">
        <v>597</v>
      </c>
      <c r="C74" s="2">
        <f>SUM('Budget Detail FY 2020-27'!M144:M150)</f>
        <v>117129</v>
      </c>
      <c r="D74" s="2">
        <f>SUM('Budget Detail FY 2020-27'!N144:N150)</f>
        <v>116549</v>
      </c>
      <c r="E74" s="122">
        <f>(D74-C74)/C74</f>
        <v>-4.9518052745263766E-3</v>
      </c>
      <c r="F74" s="2">
        <f>SUM('Budget Detail FY 2020-27'!O144:O150)</f>
        <v>114898</v>
      </c>
      <c r="G74" s="2">
        <f>SUM('Budget Detail FY 2020-27'!P144:P150)</f>
        <v>116550</v>
      </c>
      <c r="H74" s="122">
        <f>(G74-F74)/F74</f>
        <v>1.4377970025587912E-2</v>
      </c>
      <c r="I74" s="513">
        <f>(G74-F74)/F74</f>
        <v>1.4377970025587912E-2</v>
      </c>
      <c r="J74" s="2">
        <f>SUM('Budget Detail FY 2020-27'!Q144:Q150)</f>
        <v>129975</v>
      </c>
      <c r="K74" s="122">
        <f>(J74-G74)/G74</f>
        <v>0.11518661518661519</v>
      </c>
      <c r="L74" s="2">
        <f>SUM('Budget Detail FY 2020-27'!R144:R150)</f>
        <v>140835</v>
      </c>
      <c r="M74" s="2">
        <f>SUM('Budget Detail FY 2020-27'!S144:S150)</f>
        <v>143977</v>
      </c>
      <c r="N74" s="2">
        <f>SUM('Budget Detail FY 2020-27'!T144:T150)</f>
        <v>147528</v>
      </c>
      <c r="O74" s="2">
        <f>SUM('Budget Detail FY 2020-27'!U144:U150)</f>
        <v>154217</v>
      </c>
    </row>
    <row r="75" spans="2:15" s="70" customFormat="1" ht="20.100000000000001" customHeight="1" thickBot="1">
      <c r="B75" s="71" t="s">
        <v>719</v>
      </c>
      <c r="C75" s="431">
        <f t="shared" ref="C75:N75" si="2">SUM(C71:C74)</f>
        <v>5813774</v>
      </c>
      <c r="D75" s="431">
        <f t="shared" si="2"/>
        <v>5686416</v>
      </c>
      <c r="E75" s="122">
        <f>(D75-C75)/C75</f>
        <v>-2.1906252289820693E-2</v>
      </c>
      <c r="F75" s="431">
        <f>SUM(F71:F74)</f>
        <v>6158904</v>
      </c>
      <c r="G75" s="431">
        <f t="shared" si="2"/>
        <v>6109030</v>
      </c>
      <c r="H75" s="122">
        <f>(G75-F75)/F75</f>
        <v>-8.0978693611720529E-3</v>
      </c>
      <c r="I75" s="513">
        <f>(G75-F75)/F75</f>
        <v>-8.0978693611720529E-3</v>
      </c>
      <c r="J75" s="431">
        <f t="shared" si="2"/>
        <v>6435737</v>
      </c>
      <c r="K75" s="122">
        <f>(J75-G75)/G75</f>
        <v>5.3479357606690425E-2</v>
      </c>
      <c r="L75" s="431">
        <f t="shared" si="2"/>
        <v>6940660</v>
      </c>
      <c r="M75" s="431">
        <f t="shared" si="2"/>
        <v>7292293</v>
      </c>
      <c r="N75" s="431">
        <f t="shared" si="2"/>
        <v>7663308</v>
      </c>
      <c r="O75" s="431">
        <f>SUM(O71:O74)</f>
        <v>8083504</v>
      </c>
    </row>
    <row r="76" spans="2:15" s="70" customFormat="1" ht="14.4" thickTop="1">
      <c r="B76" s="12"/>
      <c r="C76" s="77"/>
      <c r="D76" s="77"/>
      <c r="E76" s="77"/>
      <c r="F76" s="77"/>
      <c r="G76" s="77"/>
      <c r="H76" s="77"/>
      <c r="I76" s="77"/>
      <c r="J76" s="77"/>
      <c r="K76" s="77"/>
      <c r="L76" s="77"/>
      <c r="M76" s="77"/>
      <c r="N76" s="77"/>
      <c r="O76" s="77"/>
    </row>
    <row r="77" spans="2:15" ht="13.8">
      <c r="B77" s="9"/>
      <c r="C77" s="15"/>
      <c r="D77" s="15"/>
      <c r="E77" s="15"/>
      <c r="F77" s="15"/>
      <c r="G77" s="15"/>
      <c r="H77" s="15"/>
      <c r="I77" s="15"/>
      <c r="J77" s="15"/>
      <c r="K77" s="15"/>
      <c r="L77" s="15"/>
      <c r="M77" s="15"/>
      <c r="N77" s="15"/>
      <c r="O77" s="15"/>
    </row>
    <row r="78" spans="2:15" ht="13.8">
      <c r="B78" s="9"/>
      <c r="C78" s="15"/>
      <c r="D78" s="15"/>
      <c r="E78" s="15"/>
      <c r="F78" s="15"/>
      <c r="G78" s="15"/>
      <c r="H78" s="15"/>
      <c r="I78" s="15"/>
      <c r="J78" s="15"/>
      <c r="K78" s="15"/>
      <c r="L78" s="15"/>
      <c r="M78" s="15"/>
      <c r="N78" s="15"/>
      <c r="O78" s="15"/>
    </row>
    <row r="79" spans="2:15" ht="13.8">
      <c r="B79" s="9"/>
      <c r="C79" s="15"/>
      <c r="D79" s="15"/>
      <c r="E79" s="15"/>
      <c r="F79" s="15"/>
      <c r="G79" s="15"/>
      <c r="H79" s="15"/>
      <c r="I79" s="15"/>
      <c r="J79" s="15"/>
      <c r="K79" s="15"/>
      <c r="L79" s="15"/>
      <c r="M79" s="15"/>
      <c r="N79" s="15"/>
      <c r="O79" s="15"/>
    </row>
    <row r="80" spans="2:15" ht="13.8">
      <c r="B80" s="9"/>
      <c r="C80" s="15"/>
      <c r="D80" s="15"/>
      <c r="E80" s="15"/>
      <c r="F80" s="15"/>
      <c r="G80" s="15"/>
      <c r="H80" s="15"/>
      <c r="I80" s="15"/>
      <c r="J80" s="15"/>
      <c r="K80" s="15"/>
      <c r="L80" s="15"/>
      <c r="M80" s="15"/>
      <c r="N80" s="15"/>
      <c r="O80" s="15"/>
    </row>
    <row r="81" spans="2:15" ht="13.8">
      <c r="B81" s="9"/>
      <c r="C81" s="15"/>
      <c r="D81" s="15"/>
      <c r="E81" s="15"/>
      <c r="F81" s="15"/>
      <c r="G81" s="15"/>
      <c r="H81" s="15"/>
      <c r="I81" s="15"/>
      <c r="J81" s="15"/>
      <c r="K81" s="15"/>
      <c r="L81" s="15"/>
      <c r="M81" s="15"/>
      <c r="N81" s="15"/>
      <c r="O81" s="15"/>
    </row>
    <row r="82" spans="2:15" ht="13.8">
      <c r="B82" s="9"/>
      <c r="C82" s="15"/>
      <c r="D82" s="15"/>
      <c r="E82" s="15"/>
      <c r="F82" s="15"/>
      <c r="G82" s="15"/>
      <c r="H82" s="15"/>
      <c r="I82" s="15"/>
      <c r="J82" s="15"/>
      <c r="K82" s="15"/>
      <c r="L82" s="15"/>
      <c r="M82" s="15"/>
      <c r="N82" s="15"/>
      <c r="O82" s="15"/>
    </row>
    <row r="83" spans="2:15" ht="13.8">
      <c r="B83" s="9"/>
      <c r="C83" s="15"/>
      <c r="D83" s="15"/>
      <c r="E83" s="15"/>
      <c r="F83" s="15"/>
      <c r="G83" s="15"/>
      <c r="H83" s="15"/>
      <c r="I83" s="15"/>
      <c r="J83" s="15"/>
      <c r="K83" s="15"/>
      <c r="L83" s="15"/>
      <c r="M83" s="15"/>
      <c r="N83" s="15"/>
      <c r="O83" s="15"/>
    </row>
    <row r="84" spans="2:15" ht="13.8">
      <c r="B84" s="9"/>
      <c r="C84" s="15"/>
      <c r="D84" s="15"/>
      <c r="E84" s="15"/>
      <c r="F84" s="15"/>
      <c r="G84" s="15"/>
      <c r="H84" s="15"/>
      <c r="I84" s="15"/>
      <c r="J84" s="15"/>
      <c r="K84" s="15"/>
      <c r="L84" s="15"/>
      <c r="M84" s="15"/>
      <c r="N84" s="15"/>
      <c r="O84" s="15"/>
    </row>
    <row r="85" spans="2:15" ht="13.8">
      <c r="B85" s="9"/>
      <c r="C85" s="15"/>
      <c r="D85" s="15"/>
      <c r="E85" s="15"/>
      <c r="F85" s="15"/>
      <c r="G85" s="15"/>
      <c r="H85" s="15"/>
      <c r="I85" s="15"/>
      <c r="J85" s="15"/>
      <c r="K85" s="15"/>
      <c r="L85" s="15"/>
      <c r="M85" s="15"/>
      <c r="N85" s="15"/>
      <c r="O85" s="15"/>
    </row>
    <row r="86" spans="2:15" ht="13.8">
      <c r="B86" s="9"/>
      <c r="C86" s="15"/>
      <c r="D86" s="15"/>
      <c r="E86" s="15"/>
      <c r="F86" s="15"/>
      <c r="G86" s="15"/>
      <c r="H86" s="15"/>
      <c r="I86" s="15"/>
      <c r="J86" s="15"/>
      <c r="K86" s="15"/>
      <c r="L86" s="15"/>
      <c r="M86" s="15"/>
      <c r="N86" s="15"/>
      <c r="O86" s="15"/>
    </row>
    <row r="87" spans="2:15" ht="13.8">
      <c r="B87" s="9"/>
      <c r="C87" s="15"/>
      <c r="D87" s="15"/>
      <c r="E87" s="15"/>
      <c r="F87" s="15"/>
      <c r="G87" s="15"/>
      <c r="H87" s="15"/>
      <c r="I87" s="15"/>
      <c r="J87" s="15"/>
      <c r="K87" s="15"/>
      <c r="L87" s="15"/>
      <c r="M87" s="15"/>
      <c r="N87" s="15"/>
      <c r="O87" s="15"/>
    </row>
    <row r="88" spans="2:15" ht="13.8">
      <c r="B88" s="9"/>
      <c r="C88" s="15"/>
      <c r="D88" s="15"/>
      <c r="E88" s="15"/>
      <c r="F88" s="15"/>
      <c r="G88" s="15"/>
      <c r="H88" s="15"/>
      <c r="I88" s="15"/>
      <c r="J88" s="15"/>
      <c r="K88" s="15"/>
      <c r="L88" s="15"/>
      <c r="M88" s="15"/>
      <c r="N88" s="15"/>
      <c r="O88" s="15"/>
    </row>
    <row r="89" spans="2:15" ht="13.8">
      <c r="B89" s="9"/>
      <c r="C89" s="15"/>
      <c r="D89" s="15"/>
      <c r="E89" s="15"/>
      <c r="F89" s="15"/>
      <c r="G89" s="15"/>
      <c r="H89" s="15"/>
      <c r="I89" s="15"/>
      <c r="J89" s="15"/>
      <c r="K89" s="15"/>
      <c r="L89" s="15"/>
      <c r="M89" s="15"/>
      <c r="N89" s="15"/>
      <c r="O89" s="15"/>
    </row>
    <row r="90" spans="2:15" ht="13.8">
      <c r="B90" s="9"/>
      <c r="C90" s="15"/>
      <c r="D90" s="15"/>
      <c r="E90" s="15"/>
      <c r="F90" s="15"/>
      <c r="G90" s="15"/>
      <c r="H90" s="15"/>
      <c r="I90" s="15"/>
      <c r="J90" s="15"/>
      <c r="K90" s="15"/>
      <c r="L90" s="15"/>
      <c r="M90" s="15"/>
      <c r="N90" s="15"/>
      <c r="O90" s="15"/>
    </row>
    <row r="91" spans="2:15" ht="13.8">
      <c r="B91" s="9"/>
      <c r="C91" s="15"/>
      <c r="D91" s="15"/>
      <c r="E91" s="15"/>
      <c r="F91" s="15"/>
      <c r="G91" s="15"/>
      <c r="H91" s="15"/>
      <c r="I91" s="15"/>
      <c r="J91" s="15"/>
      <c r="K91" s="15"/>
      <c r="L91" s="15"/>
      <c r="M91" s="15"/>
      <c r="N91" s="15"/>
      <c r="O91" s="15"/>
    </row>
    <row r="92" spans="2:15" ht="18.75" customHeight="1">
      <c r="B92" s="682" t="s">
        <v>633</v>
      </c>
      <c r="C92" s="682"/>
      <c r="D92" s="682"/>
      <c r="E92" s="682"/>
      <c r="F92" s="682"/>
      <c r="G92" s="682"/>
      <c r="H92" s="682"/>
      <c r="I92" s="682"/>
      <c r="J92" s="682"/>
      <c r="K92" s="682"/>
      <c r="L92" s="682"/>
      <c r="M92" s="682"/>
      <c r="N92" s="682"/>
      <c r="O92" s="682"/>
    </row>
    <row r="93" spans="2:15" ht="13.8">
      <c r="B93" s="9"/>
      <c r="C93" s="15"/>
      <c r="D93" s="15"/>
      <c r="E93" s="15"/>
      <c r="F93" s="15"/>
      <c r="G93" s="15"/>
      <c r="H93" s="15"/>
      <c r="I93" s="15"/>
      <c r="J93" s="15"/>
      <c r="K93" s="15"/>
      <c r="L93" s="15"/>
      <c r="M93" s="15"/>
      <c r="N93" s="15"/>
      <c r="O93" s="15"/>
    </row>
    <row r="94" spans="2:15" ht="12.75" customHeight="1">
      <c r="B94" s="684" t="s">
        <v>634</v>
      </c>
      <c r="C94" s="684"/>
      <c r="D94" s="684"/>
      <c r="E94" s="684"/>
      <c r="F94" s="684"/>
      <c r="G94" s="684"/>
      <c r="H94" s="684"/>
      <c r="I94" s="684"/>
      <c r="J94" s="684"/>
      <c r="K94" s="684"/>
      <c r="L94" s="684"/>
      <c r="M94" s="684"/>
      <c r="N94" s="684"/>
      <c r="O94" s="684"/>
    </row>
    <row r="95" spans="2:15" ht="12.75" customHeight="1">
      <c r="B95" s="684"/>
      <c r="C95" s="684"/>
      <c r="D95" s="684"/>
      <c r="E95" s="684"/>
      <c r="F95" s="684"/>
      <c r="G95" s="684"/>
      <c r="H95" s="684"/>
      <c r="I95" s="684"/>
      <c r="J95" s="684"/>
      <c r="K95" s="684"/>
      <c r="L95" s="684"/>
      <c r="M95" s="684"/>
      <c r="N95" s="684"/>
      <c r="O95" s="684"/>
    </row>
    <row r="96" spans="2:15" ht="12.75" customHeight="1">
      <c r="B96" s="684"/>
      <c r="C96" s="684"/>
      <c r="D96" s="684"/>
      <c r="E96" s="684"/>
      <c r="F96" s="684"/>
      <c r="G96" s="684"/>
      <c r="H96" s="684"/>
      <c r="I96" s="684"/>
      <c r="J96" s="684"/>
      <c r="K96" s="684"/>
      <c r="L96" s="684"/>
      <c r="M96" s="684"/>
      <c r="N96" s="684"/>
      <c r="O96" s="684"/>
    </row>
    <row r="97" spans="2:15" ht="12.75" customHeight="1">
      <c r="B97" s="684"/>
      <c r="C97" s="684"/>
      <c r="D97" s="684"/>
      <c r="E97" s="684"/>
      <c r="F97" s="684"/>
      <c r="G97" s="684"/>
      <c r="H97" s="684"/>
      <c r="I97" s="684"/>
      <c r="J97" s="684"/>
      <c r="K97" s="684"/>
      <c r="L97" s="684"/>
      <c r="M97" s="684"/>
      <c r="N97" s="684"/>
      <c r="O97" s="684"/>
    </row>
    <row r="98" spans="2:15" ht="13.8">
      <c r="B98" s="27"/>
      <c r="C98" s="36"/>
      <c r="D98" s="36"/>
      <c r="E98" s="36"/>
      <c r="F98" s="36"/>
      <c r="G98" s="15"/>
      <c r="H98" s="15"/>
      <c r="I98" s="15"/>
      <c r="J98" s="15"/>
      <c r="K98" s="15"/>
      <c r="L98" s="15"/>
      <c r="M98" s="15"/>
      <c r="N98" s="15"/>
      <c r="O98" s="15"/>
    </row>
    <row r="99" spans="2:15" ht="13.8">
      <c r="B99" s="9"/>
      <c r="C99" s="43"/>
      <c r="D99" s="573"/>
      <c r="E99" s="518" t="s">
        <v>1263</v>
      </c>
      <c r="F99" s="43" t="s">
        <v>815</v>
      </c>
      <c r="G99" s="573"/>
      <c r="H99" s="518" t="s">
        <v>1264</v>
      </c>
      <c r="I99" s="519" t="s">
        <v>553</v>
      </c>
      <c r="J99" s="43" t="s">
        <v>816</v>
      </c>
      <c r="K99" s="518" t="s">
        <v>1376</v>
      </c>
      <c r="L99" s="573"/>
      <c r="M99" s="573"/>
      <c r="N99" s="573"/>
      <c r="O99" s="573"/>
    </row>
    <row r="100" spans="2:15" ht="13.8">
      <c r="B100" s="10"/>
      <c r="C100" s="43" t="s">
        <v>813</v>
      </c>
      <c r="D100" s="43" t="s">
        <v>814</v>
      </c>
      <c r="E100" s="508" t="s">
        <v>1239</v>
      </c>
      <c r="F100" s="43" t="s">
        <v>583</v>
      </c>
      <c r="G100" s="43" t="s">
        <v>815</v>
      </c>
      <c r="H100" s="508" t="s">
        <v>1239</v>
      </c>
      <c r="I100" s="510" t="s">
        <v>1239</v>
      </c>
      <c r="J100" s="156" t="str">
        <f>'Fund Cover Sheets'!$N$1</f>
        <v>Adopted</v>
      </c>
      <c r="K100" s="508" t="s">
        <v>1239</v>
      </c>
      <c r="L100" s="43" t="s">
        <v>817</v>
      </c>
      <c r="M100" s="43" t="s">
        <v>818</v>
      </c>
      <c r="N100" s="43" t="s">
        <v>819</v>
      </c>
      <c r="O100" s="43" t="s">
        <v>820</v>
      </c>
    </row>
    <row r="101" spans="2:15" ht="14.4" thickBot="1">
      <c r="B101" s="25"/>
      <c r="C101" s="45" t="s">
        <v>1</v>
      </c>
      <c r="D101" s="45" t="s">
        <v>1</v>
      </c>
      <c r="E101" s="509" t="s">
        <v>1240</v>
      </c>
      <c r="F101" s="45" t="s">
        <v>553</v>
      </c>
      <c r="G101" s="45" t="s">
        <v>19</v>
      </c>
      <c r="H101" s="509" t="s">
        <v>1240</v>
      </c>
      <c r="I101" s="511" t="s">
        <v>1240</v>
      </c>
      <c r="J101" s="45" t="s">
        <v>553</v>
      </c>
      <c r="K101" s="509" t="s">
        <v>1240</v>
      </c>
      <c r="L101" s="45" t="s">
        <v>19</v>
      </c>
      <c r="M101" s="45" t="s">
        <v>19</v>
      </c>
      <c r="N101" s="45" t="s">
        <v>19</v>
      </c>
      <c r="O101" s="45" t="s">
        <v>19</v>
      </c>
    </row>
    <row r="102" spans="2:15" ht="13.8">
      <c r="B102" s="9"/>
      <c r="C102" s="15"/>
      <c r="D102" s="15"/>
      <c r="E102" s="15"/>
      <c r="F102" s="15"/>
      <c r="G102" s="15"/>
      <c r="H102" s="15"/>
      <c r="I102" s="512"/>
      <c r="J102" s="15"/>
      <c r="K102" s="15"/>
      <c r="L102" s="15"/>
      <c r="M102" s="15"/>
      <c r="N102" s="15"/>
      <c r="O102" s="15"/>
    </row>
    <row r="103" spans="2:15" ht="13.8">
      <c r="B103" s="21" t="s">
        <v>424</v>
      </c>
      <c r="C103" s="15"/>
      <c r="D103" s="15"/>
      <c r="E103" s="15"/>
      <c r="F103" s="15"/>
      <c r="G103" s="15"/>
      <c r="H103" s="15"/>
      <c r="I103" s="512"/>
      <c r="J103" s="15"/>
      <c r="K103" s="15"/>
      <c r="L103" s="15"/>
      <c r="M103" s="15"/>
      <c r="N103" s="15"/>
      <c r="O103" s="15"/>
    </row>
    <row r="104" spans="2:15" ht="20.100000000000001" customHeight="1">
      <c r="B104" s="11" t="s">
        <v>594</v>
      </c>
      <c r="C104" s="49">
        <f>SUM('Budget Detail FY 2020-27'!M154:M154)</f>
        <v>507395</v>
      </c>
      <c r="D104" s="49">
        <f>SUM('Budget Detail FY 2020-27'!N154:N154)</f>
        <v>530591</v>
      </c>
      <c r="E104" s="122">
        <f>(D104-C104)/C104</f>
        <v>4.5715862395175354E-2</v>
      </c>
      <c r="F104" s="49">
        <f>SUM('Budget Detail FY 2020-27'!O154:O154)</f>
        <v>561611</v>
      </c>
      <c r="G104" s="49">
        <f>SUM('Budget Detail FY 2020-27'!P154:P154)</f>
        <v>613000</v>
      </c>
      <c r="H104" s="122">
        <f>(G104-F104)/F104</f>
        <v>9.15028373731996E-2</v>
      </c>
      <c r="I104" s="513">
        <f>(G104-F104)/F104</f>
        <v>9.15028373731996E-2</v>
      </c>
      <c r="J104" s="49">
        <f>SUM('Budget Detail FY 2020-27'!Q154:Q154)</f>
        <v>743420</v>
      </c>
      <c r="K104" s="122">
        <f>(J104-G104)/G104</f>
        <v>0.2127569331158238</v>
      </c>
      <c r="L104" s="49">
        <f>SUM('Budget Detail FY 2020-27'!R154:R154)</f>
        <v>765723</v>
      </c>
      <c r="M104" s="49">
        <f>SUM('Budget Detail FY 2020-27'!S154:S154)</f>
        <v>788695</v>
      </c>
      <c r="N104" s="49">
        <f>SUM('Budget Detail FY 2020-27'!T154:T154)</f>
        <v>812356</v>
      </c>
      <c r="O104" s="49">
        <f>SUM('Budget Detail FY 2020-27'!U154:U154)</f>
        <v>836727</v>
      </c>
    </row>
    <row r="105" spans="2:15" ht="20.100000000000001" customHeight="1">
      <c r="B105" s="11" t="s">
        <v>595</v>
      </c>
      <c r="C105" s="2">
        <f>SUM('Budget Detail FY 2020-27'!M155:M160)</f>
        <v>189680</v>
      </c>
      <c r="D105" s="2">
        <f>SUM('Budget Detail FY 2020-27'!N155:N160)</f>
        <v>183273</v>
      </c>
      <c r="E105" s="122">
        <f>(D105-C105)/C105</f>
        <v>-3.3777941796710252E-2</v>
      </c>
      <c r="F105" s="2">
        <f>SUM('Budget Detail FY 2020-27'!O155:O160)</f>
        <v>194672</v>
      </c>
      <c r="G105" s="2">
        <f>SUM('Budget Detail FY 2020-27'!P155:P160)</f>
        <v>205841</v>
      </c>
      <c r="H105" s="122">
        <f>(G105-F105)/F105</f>
        <v>5.7373428125256844E-2</v>
      </c>
      <c r="I105" s="513">
        <f>(G105-F105)/F105</f>
        <v>5.7373428125256844E-2</v>
      </c>
      <c r="J105" s="2">
        <f>SUM('Budget Detail FY 2020-27'!Q155:Q160)</f>
        <v>256234</v>
      </c>
      <c r="K105" s="122">
        <f>(J105-G105)/G105</f>
        <v>0.24481517287615198</v>
      </c>
      <c r="L105" s="2">
        <f>SUM('Budget Detail FY 2020-27'!R155:R160)</f>
        <v>272055</v>
      </c>
      <c r="M105" s="2">
        <f>SUM('Budget Detail FY 2020-27'!S155:S160)</f>
        <v>289170</v>
      </c>
      <c r="N105" s="2">
        <f>SUM('Budget Detail FY 2020-27'!T155:T160)</f>
        <v>307400</v>
      </c>
      <c r="O105" s="2">
        <f>SUM('Budget Detail FY 2020-27'!U155:U160)</f>
        <v>326990</v>
      </c>
    </row>
    <row r="106" spans="2:15" ht="20.100000000000001" customHeight="1">
      <c r="B106" s="11" t="s">
        <v>596</v>
      </c>
      <c r="C106" s="2">
        <f>SUM('Budget Detail FY 2020-27'!M161:M173)</f>
        <v>106863</v>
      </c>
      <c r="D106" s="2">
        <f>SUM('Budget Detail FY 2020-27'!N161:N173)</f>
        <v>102055</v>
      </c>
      <c r="E106" s="122">
        <f>(D106-C106)/C106</f>
        <v>-4.4992186257170393E-2</v>
      </c>
      <c r="F106" s="2">
        <f>SUM('Budget Detail FY 2020-27'!O161:O173)</f>
        <v>222980</v>
      </c>
      <c r="G106" s="2">
        <f>SUM('Budget Detail FY 2020-27'!P161:P173)</f>
        <v>323654</v>
      </c>
      <c r="H106" s="122">
        <f>(G106-F106)/F106</f>
        <v>0.45149340748049155</v>
      </c>
      <c r="I106" s="513">
        <f>(G106-F106)/F106</f>
        <v>0.45149340748049155</v>
      </c>
      <c r="J106" s="2">
        <f>SUM('Budget Detail FY 2020-27'!Q161:Q173)</f>
        <v>213093</v>
      </c>
      <c r="K106" s="122">
        <f>(J106-G106)/G106</f>
        <v>-0.34160245200121114</v>
      </c>
      <c r="L106" s="2">
        <f>SUM('Budget Detail FY 2020-27'!R161:R173)</f>
        <v>146469</v>
      </c>
      <c r="M106" s="2">
        <f>SUM('Budget Detail FY 2020-27'!S161:S173)</f>
        <v>148417</v>
      </c>
      <c r="N106" s="2">
        <f>SUM('Budget Detail FY 2020-27'!T161:T173)</f>
        <v>154383</v>
      </c>
      <c r="O106" s="2">
        <f>SUM('Budget Detail FY 2020-27'!U161:U173)</f>
        <v>146598</v>
      </c>
    </row>
    <row r="107" spans="2:15" ht="20.100000000000001" customHeight="1">
      <c r="B107" s="11" t="s">
        <v>597</v>
      </c>
      <c r="C107" s="2">
        <f>SUM('Budget Detail FY 2020-27'!M174:M176)</f>
        <v>12412</v>
      </c>
      <c r="D107" s="2">
        <f>SUM('Budget Detail FY 2020-27'!N174:N176)</f>
        <v>12179</v>
      </c>
      <c r="E107" s="122">
        <f>(D107-C107)/C107</f>
        <v>-1.8772155978085722E-2</v>
      </c>
      <c r="F107" s="2">
        <f>SUM('Budget Detail FY 2020-27'!O174:O176)</f>
        <v>11252</v>
      </c>
      <c r="G107" s="2">
        <f>SUM('Budget Detail FY 2020-27'!P174:P176)</f>
        <v>11252</v>
      </c>
      <c r="H107" s="122">
        <f>(G107-F107)/F107</f>
        <v>0</v>
      </c>
      <c r="I107" s="513">
        <f>(G107-F107)/F107</f>
        <v>0</v>
      </c>
      <c r="J107" s="2">
        <f>SUM('Budget Detail FY 2020-27'!Q174:Q176)</f>
        <v>28000</v>
      </c>
      <c r="K107" s="122">
        <f>(J107-G107)/G107</f>
        <v>1.4884464984002843</v>
      </c>
      <c r="L107" s="2">
        <f>SUM('Budget Detail FY 2020-27'!R174:R176)</f>
        <v>15293</v>
      </c>
      <c r="M107" s="2">
        <f>SUM('Budget Detail FY 2020-27'!S174:S176)</f>
        <v>15874</v>
      </c>
      <c r="N107" s="2">
        <f>SUM('Budget Detail FY 2020-27'!T174:T176)</f>
        <v>16495</v>
      </c>
      <c r="O107" s="2">
        <f>SUM('Budget Detail FY 2020-27'!U174:U176)</f>
        <v>17160</v>
      </c>
    </row>
    <row r="108" spans="2:15" s="70" customFormat="1" ht="20.100000000000001" customHeight="1" thickBot="1">
      <c r="B108" s="71" t="s">
        <v>635</v>
      </c>
      <c r="C108" s="431">
        <f t="shared" ref="C108:M108" si="3">SUM(C104:C107)</f>
        <v>816350</v>
      </c>
      <c r="D108" s="431">
        <f>SUM(D104:D107)</f>
        <v>828098</v>
      </c>
      <c r="E108" s="122">
        <f>(D108-C108)/C108</f>
        <v>1.4390886262019967E-2</v>
      </c>
      <c r="F108" s="431">
        <f t="shared" si="3"/>
        <v>990515</v>
      </c>
      <c r="G108" s="431">
        <f t="shared" si="3"/>
        <v>1153747</v>
      </c>
      <c r="H108" s="122">
        <f>(G108-F108)/F108</f>
        <v>0.16479508134657223</v>
      </c>
      <c r="I108" s="513">
        <f>(G108-F108)/F108</f>
        <v>0.16479508134657223</v>
      </c>
      <c r="J108" s="431">
        <f t="shared" si="3"/>
        <v>1240747</v>
      </c>
      <c r="K108" s="122">
        <f>(J108-G108)/G108</f>
        <v>7.5406479930175338E-2</v>
      </c>
      <c r="L108" s="431">
        <f t="shared" si="3"/>
        <v>1199540</v>
      </c>
      <c r="M108" s="431">
        <f t="shared" si="3"/>
        <v>1242156</v>
      </c>
      <c r="N108" s="431">
        <f>SUM(N104:N107)</f>
        <v>1290634</v>
      </c>
      <c r="O108" s="431">
        <f>SUM(O104:O107)</f>
        <v>1327475</v>
      </c>
    </row>
    <row r="109" spans="2:15" s="70" customFormat="1" ht="14.4" thickTop="1">
      <c r="B109" s="12"/>
      <c r="C109" s="77"/>
      <c r="D109" s="77"/>
      <c r="E109" s="77"/>
      <c r="F109" s="77"/>
      <c r="G109" s="77"/>
      <c r="H109" s="77"/>
      <c r="I109" s="77"/>
      <c r="J109" s="77"/>
      <c r="K109" s="77"/>
      <c r="L109" s="77"/>
      <c r="M109" s="77"/>
      <c r="N109" s="77"/>
      <c r="O109" s="77"/>
    </row>
    <row r="110" spans="2:15" ht="13.8">
      <c r="B110" s="9"/>
      <c r="C110" s="15"/>
      <c r="D110" s="15"/>
      <c r="E110" s="15"/>
      <c r="F110" s="15"/>
      <c r="G110" s="15"/>
      <c r="H110" s="15"/>
      <c r="I110" s="15"/>
      <c r="J110" s="15"/>
      <c r="K110" s="15"/>
      <c r="L110" s="15"/>
      <c r="M110" s="15"/>
      <c r="N110" s="15"/>
      <c r="O110" s="15"/>
    </row>
    <row r="111" spans="2:15" ht="13.8">
      <c r="B111" s="9"/>
      <c r="C111" s="15"/>
      <c r="D111" s="15"/>
      <c r="E111" s="15"/>
      <c r="F111" s="15"/>
      <c r="G111" s="15"/>
      <c r="H111" s="15"/>
      <c r="I111" s="15"/>
      <c r="J111" s="15"/>
      <c r="K111" s="15"/>
      <c r="L111" s="15"/>
      <c r="M111" s="15"/>
      <c r="N111" s="15"/>
      <c r="O111" s="15"/>
    </row>
    <row r="112" spans="2:15" ht="13.8">
      <c r="B112" s="9"/>
      <c r="C112" s="15"/>
      <c r="D112" s="15"/>
      <c r="E112" s="15"/>
      <c r="F112" s="15"/>
      <c r="G112" s="15"/>
      <c r="H112" s="15"/>
      <c r="I112" s="15"/>
      <c r="J112" s="15"/>
      <c r="K112" s="15"/>
      <c r="L112" s="15"/>
      <c r="M112" s="15"/>
      <c r="N112" s="15"/>
      <c r="O112" s="15"/>
    </row>
    <row r="113" spans="2:15" ht="13.8">
      <c r="B113" s="9"/>
      <c r="C113" s="15"/>
      <c r="D113" s="15"/>
      <c r="E113" s="15"/>
      <c r="F113" s="15"/>
      <c r="G113" s="15"/>
      <c r="H113" s="15"/>
      <c r="I113" s="15"/>
      <c r="J113" s="15"/>
      <c r="K113" s="15"/>
      <c r="L113" s="15"/>
      <c r="M113" s="15"/>
      <c r="N113" s="15"/>
      <c r="O113" s="15"/>
    </row>
    <row r="114" spans="2:15" ht="13.8">
      <c r="B114" s="9"/>
      <c r="C114" s="15"/>
      <c r="D114" s="15"/>
      <c r="E114" s="15"/>
      <c r="F114" s="15"/>
      <c r="G114" s="15"/>
      <c r="H114" s="15"/>
      <c r="I114" s="15"/>
      <c r="J114" s="15"/>
      <c r="K114" s="15"/>
      <c r="L114" s="15"/>
      <c r="M114" s="15"/>
      <c r="N114" s="15"/>
      <c r="O114" s="15"/>
    </row>
    <row r="115" spans="2:15" ht="13.8">
      <c r="B115" s="9"/>
      <c r="C115" s="15"/>
      <c r="D115" s="15"/>
      <c r="E115" s="15"/>
      <c r="F115" s="15"/>
      <c r="G115" s="15"/>
      <c r="H115" s="15"/>
      <c r="I115" s="15"/>
      <c r="J115" s="15"/>
      <c r="K115" s="15"/>
      <c r="L115" s="15"/>
      <c r="M115" s="15"/>
      <c r="N115" s="15"/>
      <c r="O115" s="15"/>
    </row>
    <row r="116" spans="2:15" ht="13.8">
      <c r="B116" s="9"/>
      <c r="C116" s="15"/>
      <c r="D116" s="15"/>
      <c r="E116" s="15"/>
      <c r="F116" s="15"/>
      <c r="G116" s="15"/>
      <c r="H116" s="15"/>
      <c r="I116" s="15"/>
      <c r="J116" s="15"/>
      <c r="K116" s="15"/>
      <c r="L116" s="15"/>
      <c r="M116" s="15"/>
      <c r="N116" s="15"/>
      <c r="O116" s="15"/>
    </row>
    <row r="117" spans="2:15" ht="13.8">
      <c r="B117" s="9"/>
      <c r="C117" s="15"/>
      <c r="D117" s="15"/>
      <c r="E117" s="15"/>
      <c r="F117" s="15"/>
      <c r="G117" s="15"/>
      <c r="H117" s="15"/>
      <c r="I117" s="15"/>
      <c r="J117" s="15"/>
      <c r="K117" s="15"/>
      <c r="L117" s="15"/>
      <c r="M117" s="15"/>
      <c r="N117" s="15"/>
      <c r="O117" s="15"/>
    </row>
    <row r="118" spans="2:15" ht="13.8">
      <c r="B118" s="9"/>
      <c r="C118" s="15"/>
      <c r="D118" s="15"/>
      <c r="E118" s="15"/>
      <c r="F118" s="15"/>
      <c r="G118" s="15"/>
      <c r="H118" s="15"/>
      <c r="I118" s="15"/>
      <c r="J118" s="15"/>
      <c r="K118" s="15"/>
      <c r="L118" s="15"/>
      <c r="M118" s="15"/>
      <c r="N118" s="15"/>
      <c r="O118" s="15"/>
    </row>
    <row r="119" spans="2:15" ht="13.8">
      <c r="B119" s="9"/>
      <c r="C119" s="15"/>
      <c r="D119" s="15"/>
      <c r="E119" s="15"/>
      <c r="F119" s="15"/>
      <c r="G119" s="15"/>
      <c r="H119" s="15"/>
      <c r="I119" s="15"/>
      <c r="J119" s="15"/>
      <c r="K119" s="15"/>
      <c r="L119" s="15"/>
      <c r="M119" s="15"/>
      <c r="N119" s="15"/>
      <c r="O119" s="15"/>
    </row>
    <row r="120" spans="2:15" ht="13.8">
      <c r="B120" s="9"/>
      <c r="C120" s="15"/>
      <c r="D120" s="15"/>
      <c r="E120" s="15"/>
      <c r="F120" s="15"/>
      <c r="G120" s="15"/>
      <c r="H120" s="15"/>
      <c r="I120" s="15"/>
      <c r="J120" s="15"/>
      <c r="K120" s="15"/>
      <c r="L120" s="15"/>
      <c r="M120" s="15"/>
      <c r="N120" s="15"/>
      <c r="O120" s="15"/>
    </row>
    <row r="121" spans="2:15" ht="13.8">
      <c r="B121" s="9"/>
      <c r="C121" s="15"/>
      <c r="D121" s="15"/>
      <c r="E121" s="15"/>
      <c r="F121" s="15"/>
      <c r="G121" s="15"/>
      <c r="H121" s="15"/>
      <c r="I121" s="15"/>
      <c r="J121" s="15"/>
      <c r="K121" s="15"/>
      <c r="L121" s="15"/>
      <c r="M121" s="15"/>
      <c r="N121" s="15"/>
      <c r="O121" s="15"/>
    </row>
    <row r="122" spans="2:15" ht="18.75" customHeight="1">
      <c r="B122" s="682" t="s">
        <v>887</v>
      </c>
      <c r="C122" s="682"/>
      <c r="D122" s="682"/>
      <c r="E122" s="682"/>
      <c r="F122" s="682"/>
      <c r="G122" s="682"/>
      <c r="H122" s="682"/>
      <c r="I122" s="682"/>
      <c r="J122" s="682"/>
      <c r="K122" s="682"/>
      <c r="L122" s="682"/>
      <c r="M122" s="682"/>
      <c r="N122" s="682"/>
      <c r="O122" s="682"/>
    </row>
    <row r="123" spans="2:15" ht="13.8">
      <c r="B123" s="29"/>
      <c r="C123" s="38"/>
      <c r="D123" s="39"/>
      <c r="E123" s="39"/>
      <c r="F123" s="39"/>
      <c r="G123" s="15"/>
      <c r="H123" s="15"/>
      <c r="I123" s="15"/>
      <c r="J123" s="15"/>
      <c r="K123" s="15"/>
      <c r="L123" s="15"/>
      <c r="M123" s="15"/>
      <c r="N123" s="15"/>
      <c r="O123" s="15"/>
    </row>
    <row r="124" spans="2:15" ht="12.75" customHeight="1">
      <c r="B124" s="684" t="s">
        <v>636</v>
      </c>
      <c r="C124" s="684"/>
      <c r="D124" s="684"/>
      <c r="E124" s="684"/>
      <c r="F124" s="684"/>
      <c r="G124" s="684"/>
      <c r="H124" s="684"/>
      <c r="I124" s="684"/>
      <c r="J124" s="684"/>
      <c r="K124" s="684"/>
      <c r="L124" s="684"/>
      <c r="M124" s="684"/>
      <c r="N124" s="684"/>
      <c r="O124" s="684"/>
    </row>
    <row r="125" spans="2:15" ht="17.25" customHeight="1">
      <c r="B125" s="684"/>
      <c r="C125" s="684"/>
      <c r="D125" s="684"/>
      <c r="E125" s="684"/>
      <c r="F125" s="684"/>
      <c r="G125" s="684"/>
      <c r="H125" s="684"/>
      <c r="I125" s="684"/>
      <c r="J125" s="684"/>
      <c r="K125" s="684"/>
      <c r="L125" s="684"/>
      <c r="M125" s="684"/>
      <c r="N125" s="684"/>
      <c r="O125" s="684"/>
    </row>
    <row r="126" spans="2:15" ht="13.8">
      <c r="B126" s="30"/>
      <c r="C126" s="40"/>
      <c r="D126" s="40"/>
      <c r="E126" s="40"/>
      <c r="F126" s="40"/>
      <c r="G126" s="15"/>
      <c r="H126" s="15"/>
      <c r="I126" s="15"/>
      <c r="J126" s="15"/>
      <c r="K126" s="15"/>
      <c r="L126" s="15"/>
      <c r="M126" s="15"/>
      <c r="N126" s="15"/>
      <c r="O126" s="15"/>
    </row>
    <row r="127" spans="2:15" ht="13.8">
      <c r="B127" s="9"/>
      <c r="C127" s="43"/>
      <c r="D127" s="573"/>
      <c r="E127" s="518" t="s">
        <v>1263</v>
      </c>
      <c r="F127" s="43" t="s">
        <v>815</v>
      </c>
      <c r="G127" s="573"/>
      <c r="H127" s="518" t="s">
        <v>1264</v>
      </c>
      <c r="I127" s="519" t="s">
        <v>553</v>
      </c>
      <c r="J127" s="43" t="s">
        <v>816</v>
      </c>
      <c r="K127" s="518" t="s">
        <v>1376</v>
      </c>
      <c r="L127" s="573"/>
      <c r="M127" s="573"/>
      <c r="N127" s="573"/>
      <c r="O127" s="573"/>
    </row>
    <row r="128" spans="2:15" ht="13.8">
      <c r="B128" s="10"/>
      <c r="C128" s="43" t="s">
        <v>813</v>
      </c>
      <c r="D128" s="43" t="s">
        <v>814</v>
      </c>
      <c r="E128" s="508" t="s">
        <v>1239</v>
      </c>
      <c r="F128" s="43" t="s">
        <v>583</v>
      </c>
      <c r="G128" s="43" t="s">
        <v>815</v>
      </c>
      <c r="H128" s="508" t="s">
        <v>1239</v>
      </c>
      <c r="I128" s="510" t="s">
        <v>1239</v>
      </c>
      <c r="J128" s="156" t="str">
        <f>'Fund Cover Sheets'!$N$1</f>
        <v>Adopted</v>
      </c>
      <c r="K128" s="508" t="s">
        <v>1239</v>
      </c>
      <c r="L128" s="43" t="s">
        <v>817</v>
      </c>
      <c r="M128" s="43" t="s">
        <v>818</v>
      </c>
      <c r="N128" s="43" t="s">
        <v>819</v>
      </c>
      <c r="O128" s="43" t="s">
        <v>820</v>
      </c>
    </row>
    <row r="129" spans="2:15" ht="14.4" thickBot="1">
      <c r="B129" s="25"/>
      <c r="C129" s="45" t="s">
        <v>1</v>
      </c>
      <c r="D129" s="45" t="s">
        <v>1</v>
      </c>
      <c r="E129" s="509" t="s">
        <v>1240</v>
      </c>
      <c r="F129" s="45" t="s">
        <v>553</v>
      </c>
      <c r="G129" s="45" t="s">
        <v>19</v>
      </c>
      <c r="H129" s="509" t="s">
        <v>1240</v>
      </c>
      <c r="I129" s="511" t="s">
        <v>1240</v>
      </c>
      <c r="J129" s="45" t="s">
        <v>553</v>
      </c>
      <c r="K129" s="509" t="s">
        <v>1240</v>
      </c>
      <c r="L129" s="45" t="s">
        <v>19</v>
      </c>
      <c r="M129" s="45" t="s">
        <v>19</v>
      </c>
      <c r="N129" s="45" t="s">
        <v>19</v>
      </c>
      <c r="O129" s="45" t="s">
        <v>19</v>
      </c>
    </row>
    <row r="130" spans="2:15" ht="13.8">
      <c r="B130" s="9"/>
      <c r="C130" s="15"/>
      <c r="D130" s="15"/>
      <c r="E130" s="15"/>
      <c r="F130" s="15"/>
      <c r="G130" s="15"/>
      <c r="H130" s="15"/>
      <c r="I130" s="512"/>
      <c r="J130" s="15"/>
      <c r="K130" s="15"/>
      <c r="L130" s="15"/>
      <c r="M130" s="15"/>
      <c r="N130" s="15"/>
      <c r="O130" s="15"/>
    </row>
    <row r="131" spans="2:15" ht="13.8">
      <c r="B131" s="21" t="s">
        <v>424</v>
      </c>
      <c r="C131" s="15"/>
      <c r="D131" s="15"/>
      <c r="E131" s="15"/>
      <c r="F131" s="15"/>
      <c r="G131" s="15"/>
      <c r="H131" s="15"/>
      <c r="I131" s="512"/>
      <c r="J131" s="15"/>
      <c r="K131" s="15"/>
      <c r="L131" s="15"/>
      <c r="M131" s="15"/>
      <c r="N131" s="15"/>
      <c r="O131" s="15"/>
    </row>
    <row r="132" spans="2:15" ht="20.100000000000001" customHeight="1">
      <c r="B132" s="11" t="s">
        <v>594</v>
      </c>
      <c r="C132" s="49">
        <f>SUM('Budget Detail FY 2020-27'!M180:M182)</f>
        <v>413395</v>
      </c>
      <c r="D132" s="49">
        <f>SUM('Budget Detail FY 2020-27'!N180:N182)</f>
        <v>466321</v>
      </c>
      <c r="E132" s="122">
        <f>(D132-C132)/C132</f>
        <v>0.12802767329067841</v>
      </c>
      <c r="F132" s="49">
        <f>SUM('Budget Detail FY 2020-27'!O180:O182)</f>
        <v>596797</v>
      </c>
      <c r="G132" s="49">
        <f>SUM('Budget Detail FY 2020-27'!P180:P182)</f>
        <v>556370</v>
      </c>
      <c r="H132" s="122">
        <f>(G132-F132)/F132</f>
        <v>-6.7739951775896992E-2</v>
      </c>
      <c r="I132" s="513">
        <f>(G132-F132)/F132</f>
        <v>-6.7739951775896992E-2</v>
      </c>
      <c r="J132" s="49">
        <f>SUM('Budget Detail FY 2020-27'!Q180:Q182)</f>
        <v>628489</v>
      </c>
      <c r="K132" s="122">
        <f>(J132-G132)/G132</f>
        <v>0.12962417096536477</v>
      </c>
      <c r="L132" s="49">
        <f>SUM('Budget Detail FY 2020-27'!R180:R182)</f>
        <v>646165</v>
      </c>
      <c r="M132" s="49">
        <f>SUM('Budget Detail FY 2020-27'!S180:S182)</f>
        <v>664371</v>
      </c>
      <c r="N132" s="49">
        <f>SUM('Budget Detail FY 2020-27'!T180:T182)</f>
        <v>683123</v>
      </c>
      <c r="O132" s="49">
        <f>SUM('Budget Detail FY 2020-27'!U180:U182)</f>
        <v>702438</v>
      </c>
    </row>
    <row r="133" spans="2:15" ht="20.100000000000001" customHeight="1">
      <c r="B133" s="11" t="s">
        <v>595</v>
      </c>
      <c r="C133" s="2">
        <f>SUM('Budget Detail FY 2020-27'!M183:M188)</f>
        <v>186497</v>
      </c>
      <c r="D133" s="2">
        <f>SUM('Budget Detail FY 2020-27'!N183:N188)</f>
        <v>204868</v>
      </c>
      <c r="E133" s="122">
        <f>(D133-C133)/C133</f>
        <v>9.8505605988300077E-2</v>
      </c>
      <c r="F133" s="2">
        <f>SUM('Budget Detail FY 2020-27'!O183:O188)</f>
        <v>273580</v>
      </c>
      <c r="G133" s="2">
        <f>SUM('Budget Detail FY 2020-27'!P183:P188)</f>
        <v>242391</v>
      </c>
      <c r="H133" s="122">
        <f>(G133-F133)/F133</f>
        <v>-0.11400321660940127</v>
      </c>
      <c r="I133" s="513">
        <f>(G133-F133)/F133</f>
        <v>-0.11400321660940127</v>
      </c>
      <c r="J133" s="2">
        <f>SUM('Budget Detail FY 2020-27'!Q183:Q188)</f>
        <v>265916</v>
      </c>
      <c r="K133" s="122">
        <f>(J133-G133)/G133</f>
        <v>9.7053933520634017E-2</v>
      </c>
      <c r="L133" s="2">
        <f>SUM('Budget Detail FY 2020-27'!R183:R188)</f>
        <v>283117</v>
      </c>
      <c r="M133" s="2">
        <f>SUM('Budget Detail FY 2020-27'!S183:S188)</f>
        <v>301710</v>
      </c>
      <c r="N133" s="2">
        <f>SUM('Budget Detail FY 2020-27'!T183:T188)</f>
        <v>321573</v>
      </c>
      <c r="O133" s="2">
        <f>SUM('Budget Detail FY 2020-27'!U183:U188)</f>
        <v>342936</v>
      </c>
    </row>
    <row r="134" spans="2:15" ht="20.100000000000001" customHeight="1">
      <c r="B134" s="11" t="s">
        <v>596</v>
      </c>
      <c r="C134" s="2">
        <f>SUM('Budget Detail FY 2020-27'!M189:M201)+SUM('Budget Detail FY 2020-27'!M212:M214)</f>
        <v>1417923</v>
      </c>
      <c r="D134" s="2">
        <f>SUM('Budget Detail FY 2020-27'!N189:N201)+SUM('Budget Detail FY 2020-27'!N212:N214)</f>
        <v>2110084</v>
      </c>
      <c r="E134" s="122">
        <f>(D134-C134)/C134</f>
        <v>0.488151331207689</v>
      </c>
      <c r="F134" s="2">
        <f>SUM('Budget Detail FY 2020-27'!O189:O201)+SUM('Budget Detail FY 2020-27'!O212:O214)</f>
        <v>1648528</v>
      </c>
      <c r="G134" s="2">
        <f>SUM('Budget Detail FY 2020-27'!P189:P201)+SUM('Budget Detail FY 2020-27'!P212:P214)</f>
        <v>1713088</v>
      </c>
      <c r="H134" s="122">
        <f>(G134-F134)/F134</f>
        <v>3.9162210165675074E-2</v>
      </c>
      <c r="I134" s="513">
        <f>(G134-F134)/F134</f>
        <v>3.9162210165675074E-2</v>
      </c>
      <c r="J134" s="2">
        <f>SUM('Budget Detail FY 2020-27'!Q189:Q201)+SUM('Budget Detail FY 2020-27'!Q212:Q214)</f>
        <v>2294645</v>
      </c>
      <c r="K134" s="122">
        <f>(J134-G134)/G134</f>
        <v>0.33947876583106062</v>
      </c>
      <c r="L134" s="2">
        <f>SUM('Budget Detail FY 2020-27'!R189:R201)+SUM('Budget Detail FY 2020-27'!R212:R214)</f>
        <v>2211854</v>
      </c>
      <c r="M134" s="2">
        <f>SUM('Budget Detail FY 2020-27'!S189:S201)+SUM('Budget Detail FY 2020-27'!S212:S214)</f>
        <v>2364826</v>
      </c>
      <c r="N134" s="2">
        <f>SUM('Budget Detail FY 2020-27'!T189:T201)+SUM('Budget Detail FY 2020-27'!T212:T214)</f>
        <v>2499708</v>
      </c>
      <c r="O134" s="2">
        <f>SUM('Budget Detail FY 2020-27'!U189:U201)+SUM('Budget Detail FY 2020-27'!U212:U214)</f>
        <v>2628098</v>
      </c>
    </row>
    <row r="135" spans="2:15" ht="20.100000000000001" customHeight="1">
      <c r="B135" s="11" t="s">
        <v>597</v>
      </c>
      <c r="C135" s="2">
        <f>SUM('Budget Detail FY 2020-27'!M202:M208)</f>
        <v>198619</v>
      </c>
      <c r="D135" s="2">
        <f>SUM('Budget Detail FY 2020-27'!N202:N208)</f>
        <v>90590</v>
      </c>
      <c r="E135" s="122">
        <f>(D135-C135)/C135</f>
        <v>-0.54390063387692011</v>
      </c>
      <c r="F135" s="2">
        <f>SUM('Budget Detail FY 2020-27'!O202:O208)</f>
        <v>130380</v>
      </c>
      <c r="G135" s="2">
        <f>SUM('Budget Detail FY 2020-27'!P202:P208)</f>
        <v>132700</v>
      </c>
      <c r="H135" s="122">
        <f>(G135-F135)/F135</f>
        <v>1.7794140205552998E-2</v>
      </c>
      <c r="I135" s="513">
        <f>(G135-F135)/F135</f>
        <v>1.7794140205552998E-2</v>
      </c>
      <c r="J135" s="2">
        <f>SUM('Budget Detail FY 2020-27'!Q202:Q208)</f>
        <v>133300</v>
      </c>
      <c r="K135" s="122">
        <f>(J135-G135)/G135</f>
        <v>4.5214770158251696E-3</v>
      </c>
      <c r="L135" s="2">
        <f>SUM('Budget Detail FY 2020-27'!R202:R208)</f>
        <v>121547</v>
      </c>
      <c r="M135" s="2">
        <f>SUM('Budget Detail FY 2020-27'!S202:S208)</f>
        <v>123951</v>
      </c>
      <c r="N135" s="2">
        <f>SUM('Budget Detail FY 2020-27'!T202:T208)</f>
        <v>126524</v>
      </c>
      <c r="O135" s="2">
        <f>SUM('Budget Detail FY 2020-27'!U202:U208)</f>
        <v>129277</v>
      </c>
    </row>
    <row r="136" spans="2:15" s="70" customFormat="1" ht="20.100000000000001" customHeight="1" thickBot="1">
      <c r="B136" s="71" t="s">
        <v>720</v>
      </c>
      <c r="C136" s="431">
        <f t="shared" ref="C136:O136" si="4">SUM(C132:C135)</f>
        <v>2216434</v>
      </c>
      <c r="D136" s="431">
        <f t="shared" si="4"/>
        <v>2871863</v>
      </c>
      <c r="E136" s="122">
        <f>(D136-C136)/C136</f>
        <v>0.29571329441797051</v>
      </c>
      <c r="F136" s="431">
        <f>SUM(F132:F135)</f>
        <v>2649285</v>
      </c>
      <c r="G136" s="431">
        <f t="shared" si="4"/>
        <v>2644549</v>
      </c>
      <c r="H136" s="122">
        <f>(G136-F136)/F136</f>
        <v>-1.7876521401057265E-3</v>
      </c>
      <c r="I136" s="513">
        <f>(G136-F136)/F136</f>
        <v>-1.7876521401057265E-3</v>
      </c>
      <c r="J136" s="431">
        <f t="shared" si="4"/>
        <v>3322350</v>
      </c>
      <c r="K136" s="122">
        <f>(J136-G136)/G136</f>
        <v>0.25630116893277455</v>
      </c>
      <c r="L136" s="431">
        <f t="shared" si="4"/>
        <v>3262683</v>
      </c>
      <c r="M136" s="431">
        <f t="shared" si="4"/>
        <v>3454858</v>
      </c>
      <c r="N136" s="431">
        <f t="shared" si="4"/>
        <v>3630928</v>
      </c>
      <c r="O136" s="431">
        <f t="shared" si="4"/>
        <v>3802749</v>
      </c>
    </row>
    <row r="137" spans="2:15" ht="12.75" customHeight="1" thickTop="1">
      <c r="B137" s="10"/>
      <c r="C137" s="15"/>
      <c r="D137" s="15"/>
      <c r="E137" s="15"/>
      <c r="F137" s="15"/>
      <c r="G137" s="15"/>
      <c r="H137" s="15"/>
      <c r="I137" s="15"/>
      <c r="J137" s="15"/>
      <c r="K137" s="15"/>
      <c r="L137" s="15"/>
      <c r="M137" s="15"/>
      <c r="N137" s="15"/>
      <c r="O137" s="15"/>
    </row>
    <row r="138" spans="2:15" ht="12.75" customHeight="1">
      <c r="B138" s="10"/>
      <c r="C138" s="15"/>
      <c r="D138" s="15"/>
      <c r="E138" s="15"/>
      <c r="F138" s="15"/>
      <c r="G138" s="15"/>
      <c r="H138" s="15"/>
      <c r="I138" s="15"/>
      <c r="J138" s="15"/>
      <c r="K138" s="15"/>
      <c r="L138" s="15"/>
      <c r="M138" s="15"/>
      <c r="N138" s="15"/>
      <c r="O138" s="15"/>
    </row>
    <row r="139" spans="2:15" ht="17.25" customHeight="1">
      <c r="B139" s="14"/>
      <c r="C139" s="15"/>
      <c r="D139" s="15"/>
      <c r="E139" s="15"/>
      <c r="F139" s="15"/>
      <c r="G139" s="15"/>
      <c r="H139" s="15"/>
      <c r="I139" s="15"/>
      <c r="J139" s="15"/>
      <c r="K139" s="15"/>
      <c r="L139" s="15"/>
      <c r="M139" s="15"/>
      <c r="N139" s="15"/>
      <c r="O139" s="15"/>
    </row>
    <row r="140" spans="2:15" ht="13.8">
      <c r="B140" s="14"/>
      <c r="C140" s="15"/>
      <c r="D140" s="15"/>
      <c r="E140" s="15"/>
      <c r="F140" s="15"/>
      <c r="G140" s="15"/>
      <c r="H140" s="15"/>
      <c r="I140" s="15"/>
      <c r="J140" s="15"/>
      <c r="K140" s="15"/>
      <c r="L140" s="15"/>
      <c r="M140" s="15"/>
      <c r="N140" s="15"/>
      <c r="O140" s="15"/>
    </row>
    <row r="141" spans="2:15" ht="13.8">
      <c r="B141" s="14"/>
      <c r="C141" s="15"/>
      <c r="D141" s="15"/>
      <c r="E141" s="15"/>
      <c r="F141" s="15"/>
      <c r="G141" s="15"/>
      <c r="H141" s="15"/>
      <c r="I141" s="15"/>
      <c r="J141" s="15"/>
      <c r="K141" s="15"/>
      <c r="L141" s="15"/>
      <c r="M141" s="15"/>
      <c r="N141" s="15"/>
      <c r="O141" s="15"/>
    </row>
    <row r="142" spans="2:15" ht="13.8">
      <c r="B142" s="14"/>
      <c r="C142" s="15"/>
      <c r="D142" s="15"/>
      <c r="E142" s="15"/>
      <c r="F142" s="15"/>
      <c r="G142" s="15"/>
      <c r="H142" s="15"/>
      <c r="I142" s="15"/>
      <c r="J142" s="15"/>
      <c r="K142" s="15"/>
      <c r="L142" s="15"/>
      <c r="M142" s="15"/>
      <c r="N142" s="15"/>
      <c r="O142" s="15"/>
    </row>
    <row r="143" spans="2:15" ht="13.8">
      <c r="B143" s="14"/>
      <c r="C143" s="15"/>
      <c r="D143" s="15"/>
      <c r="E143" s="15"/>
      <c r="F143" s="15"/>
      <c r="G143" s="15"/>
      <c r="H143" s="15"/>
      <c r="I143" s="15"/>
      <c r="J143" s="15"/>
      <c r="K143" s="15"/>
      <c r="L143" s="15"/>
      <c r="M143" s="15"/>
      <c r="N143" s="15"/>
      <c r="O143" s="15"/>
    </row>
    <row r="144" spans="2:15" ht="13.8">
      <c r="B144" s="14"/>
      <c r="C144" s="15"/>
      <c r="D144" s="15"/>
      <c r="E144" s="15"/>
      <c r="F144" s="15"/>
      <c r="G144" s="15"/>
      <c r="H144" s="15"/>
      <c r="I144" s="15"/>
      <c r="J144" s="15"/>
      <c r="K144" s="15"/>
      <c r="L144" s="15"/>
      <c r="M144" s="15"/>
      <c r="N144" s="15"/>
      <c r="O144" s="15"/>
    </row>
    <row r="145" spans="2:15" ht="13.8">
      <c r="B145" s="14"/>
      <c r="C145" s="15"/>
      <c r="D145" s="15"/>
      <c r="E145" s="15"/>
      <c r="F145" s="15"/>
      <c r="G145" s="15"/>
      <c r="H145" s="15"/>
      <c r="I145" s="15"/>
      <c r="J145" s="15"/>
      <c r="K145" s="15"/>
      <c r="L145" s="15"/>
      <c r="M145" s="15"/>
      <c r="N145" s="15"/>
      <c r="O145" s="15"/>
    </row>
    <row r="146" spans="2:15" ht="13.8">
      <c r="B146" s="14"/>
      <c r="C146" s="15"/>
      <c r="D146" s="15"/>
      <c r="E146" s="15"/>
      <c r="F146" s="15"/>
      <c r="G146" s="15"/>
      <c r="H146" s="15"/>
      <c r="I146" s="15"/>
      <c r="J146" s="15"/>
      <c r="K146" s="15"/>
      <c r="L146" s="15"/>
      <c r="M146" s="15"/>
      <c r="N146" s="15"/>
      <c r="O146" s="15"/>
    </row>
    <row r="147" spans="2:15" ht="13.8">
      <c r="B147" s="14"/>
      <c r="C147" s="15"/>
      <c r="D147" s="15"/>
      <c r="E147" s="15"/>
      <c r="F147" s="15"/>
      <c r="G147" s="15"/>
      <c r="H147" s="15"/>
      <c r="I147" s="15"/>
      <c r="J147" s="15"/>
      <c r="K147" s="15"/>
      <c r="L147" s="15"/>
      <c r="M147" s="15"/>
      <c r="N147" s="15"/>
      <c r="O147" s="15"/>
    </row>
    <row r="148" spans="2:15" ht="13.8">
      <c r="B148" s="14"/>
      <c r="C148" s="15"/>
      <c r="D148" s="15"/>
      <c r="E148" s="15"/>
      <c r="F148" s="15"/>
      <c r="G148" s="15"/>
      <c r="H148" s="15"/>
      <c r="I148" s="15"/>
      <c r="J148" s="15"/>
      <c r="K148" s="15"/>
      <c r="L148" s="15"/>
      <c r="M148" s="15"/>
      <c r="N148" s="15"/>
      <c r="O148" s="15"/>
    </row>
    <row r="149" spans="2:15" ht="13.8">
      <c r="B149" s="14"/>
      <c r="C149" s="15"/>
      <c r="D149" s="15"/>
      <c r="E149" s="15"/>
      <c r="F149" s="15"/>
      <c r="G149" s="15"/>
      <c r="H149" s="15"/>
      <c r="I149" s="15"/>
      <c r="J149" s="15"/>
      <c r="K149" s="15"/>
      <c r="L149" s="15"/>
      <c r="M149" s="15"/>
      <c r="N149" s="15"/>
      <c r="O149" s="15"/>
    </row>
    <row r="150" spans="2:15" ht="13.8">
      <c r="B150" s="14"/>
      <c r="C150" s="15"/>
      <c r="D150" s="15"/>
      <c r="E150" s="15"/>
      <c r="F150" s="15"/>
      <c r="G150" s="15"/>
      <c r="H150" s="15"/>
      <c r="I150" s="15"/>
      <c r="J150" s="15"/>
      <c r="K150" s="15"/>
      <c r="L150" s="15"/>
      <c r="M150" s="15"/>
      <c r="N150" s="15"/>
      <c r="O150" s="15"/>
    </row>
    <row r="151" spans="2:15" ht="13.8">
      <c r="B151" s="14"/>
      <c r="C151" s="15"/>
      <c r="D151" s="15"/>
      <c r="E151" s="15"/>
      <c r="F151" s="15"/>
      <c r="G151" s="15"/>
      <c r="H151" s="15"/>
      <c r="I151" s="15"/>
      <c r="J151" s="15"/>
      <c r="K151" s="15"/>
      <c r="L151" s="15"/>
      <c r="M151" s="15"/>
      <c r="N151" s="15"/>
      <c r="O151" s="15"/>
    </row>
    <row r="152" spans="2:15" ht="13.8">
      <c r="B152" s="14"/>
      <c r="C152" s="15"/>
      <c r="D152" s="15"/>
      <c r="E152" s="15"/>
      <c r="F152" s="15"/>
      <c r="G152" s="15"/>
      <c r="H152" s="15"/>
      <c r="I152" s="15"/>
      <c r="J152" s="15"/>
      <c r="K152" s="15"/>
      <c r="L152" s="15"/>
      <c r="M152" s="15"/>
      <c r="N152" s="15"/>
      <c r="O152" s="15"/>
    </row>
    <row r="153" spans="2:15" ht="18.75" customHeight="1">
      <c r="B153" s="682" t="s">
        <v>637</v>
      </c>
      <c r="C153" s="682"/>
      <c r="D153" s="682"/>
      <c r="E153" s="682"/>
      <c r="F153" s="682"/>
      <c r="G153" s="682"/>
      <c r="H153" s="682"/>
      <c r="I153" s="682"/>
      <c r="J153" s="682"/>
      <c r="K153" s="682"/>
      <c r="L153" s="682"/>
      <c r="M153" s="682"/>
      <c r="N153" s="682"/>
      <c r="O153" s="682"/>
    </row>
    <row r="154" spans="2:15" ht="13.8">
      <c r="B154" s="10"/>
      <c r="C154" s="15"/>
      <c r="D154" s="15"/>
      <c r="E154" s="15"/>
      <c r="F154" s="15"/>
      <c r="G154" s="15"/>
      <c r="H154" s="15"/>
      <c r="I154" s="15"/>
      <c r="J154" s="15"/>
      <c r="K154" s="15"/>
      <c r="L154" s="15"/>
      <c r="M154" s="15"/>
      <c r="N154" s="15"/>
      <c r="O154" s="15"/>
    </row>
    <row r="155" spans="2:15" ht="12.75" customHeight="1">
      <c r="B155" s="683" t="s">
        <v>1169</v>
      </c>
      <c r="C155" s="683"/>
      <c r="D155" s="683"/>
      <c r="E155" s="683"/>
      <c r="F155" s="683"/>
      <c r="G155" s="683"/>
      <c r="H155" s="683"/>
      <c r="I155" s="683"/>
      <c r="J155" s="683"/>
      <c r="K155" s="683"/>
      <c r="L155" s="683"/>
      <c r="M155" s="683"/>
      <c r="N155" s="683"/>
      <c r="O155" s="683"/>
    </row>
    <row r="156" spans="2:15" ht="19.5" customHeight="1">
      <c r="B156" s="683"/>
      <c r="C156" s="683"/>
      <c r="D156" s="683"/>
      <c r="E156" s="683"/>
      <c r="F156" s="683"/>
      <c r="G156" s="683"/>
      <c r="H156" s="683"/>
      <c r="I156" s="683"/>
      <c r="J156" s="683"/>
      <c r="K156" s="683"/>
      <c r="L156" s="683"/>
      <c r="M156" s="683"/>
      <c r="N156" s="683"/>
      <c r="O156" s="683"/>
    </row>
    <row r="157" spans="2:15" ht="13.8">
      <c r="B157" s="31"/>
      <c r="C157" s="41"/>
      <c r="D157" s="41"/>
      <c r="E157" s="41"/>
      <c r="F157" s="41"/>
      <c r="G157" s="15"/>
      <c r="H157" s="15"/>
      <c r="I157" s="15"/>
      <c r="J157" s="15"/>
      <c r="K157" s="15"/>
      <c r="L157" s="15"/>
      <c r="M157" s="15"/>
      <c r="N157" s="15"/>
      <c r="O157" s="15"/>
    </row>
    <row r="158" spans="2:15" ht="13.8">
      <c r="B158" s="32"/>
      <c r="C158" s="43"/>
      <c r="D158" s="573"/>
      <c r="E158" s="518" t="s">
        <v>1263</v>
      </c>
      <c r="F158" s="43" t="s">
        <v>815</v>
      </c>
      <c r="G158" s="573"/>
      <c r="H158" s="518" t="s">
        <v>1264</v>
      </c>
      <c r="I158" s="519" t="s">
        <v>553</v>
      </c>
      <c r="J158" s="43" t="s">
        <v>816</v>
      </c>
      <c r="K158" s="518" t="s">
        <v>1376</v>
      </c>
      <c r="L158" s="573"/>
      <c r="M158" s="573"/>
      <c r="N158" s="573"/>
      <c r="O158" s="573"/>
    </row>
    <row r="159" spans="2:15" ht="13.8">
      <c r="B159" s="10"/>
      <c r="C159" s="43" t="s">
        <v>813</v>
      </c>
      <c r="D159" s="43" t="s">
        <v>814</v>
      </c>
      <c r="E159" s="508" t="s">
        <v>1239</v>
      </c>
      <c r="F159" s="43" t="s">
        <v>583</v>
      </c>
      <c r="G159" s="43" t="s">
        <v>815</v>
      </c>
      <c r="H159" s="508" t="s">
        <v>1239</v>
      </c>
      <c r="I159" s="510" t="s">
        <v>1239</v>
      </c>
      <c r="J159" s="156" t="str">
        <f>'Fund Cover Sheets'!$N$1</f>
        <v>Adopted</v>
      </c>
      <c r="K159" s="508" t="s">
        <v>1239</v>
      </c>
      <c r="L159" s="43" t="s">
        <v>817</v>
      </c>
      <c r="M159" s="43" t="s">
        <v>818</v>
      </c>
      <c r="N159" s="43" t="s">
        <v>819</v>
      </c>
      <c r="O159" s="43" t="s">
        <v>820</v>
      </c>
    </row>
    <row r="160" spans="2:15" ht="14.4" thickBot="1">
      <c r="B160" s="25"/>
      <c r="C160" s="45" t="s">
        <v>1</v>
      </c>
      <c r="D160" s="45" t="s">
        <v>1</v>
      </c>
      <c r="E160" s="509" t="s">
        <v>1240</v>
      </c>
      <c r="F160" s="45" t="s">
        <v>553</v>
      </c>
      <c r="G160" s="45" t="s">
        <v>19</v>
      </c>
      <c r="H160" s="509" t="s">
        <v>1240</v>
      </c>
      <c r="I160" s="511" t="s">
        <v>1240</v>
      </c>
      <c r="J160" s="45" t="s">
        <v>553</v>
      </c>
      <c r="K160" s="509" t="s">
        <v>1240</v>
      </c>
      <c r="L160" s="45" t="s">
        <v>19</v>
      </c>
      <c r="M160" s="45" t="s">
        <v>19</v>
      </c>
      <c r="N160" s="45" t="s">
        <v>19</v>
      </c>
      <c r="O160" s="45" t="s">
        <v>19</v>
      </c>
    </row>
    <row r="161" spans="2:15" ht="13.8">
      <c r="B161" s="9"/>
      <c r="C161" s="15"/>
      <c r="D161" s="15"/>
      <c r="E161" s="15"/>
      <c r="F161" s="15"/>
      <c r="G161" s="15"/>
      <c r="H161" s="15"/>
      <c r="I161" s="512"/>
      <c r="J161" s="15"/>
      <c r="K161" s="15"/>
      <c r="L161" s="15"/>
      <c r="M161" s="15"/>
      <c r="N161" s="15"/>
      <c r="O161" s="15"/>
    </row>
    <row r="162" spans="2:15" ht="13.8">
      <c r="B162" s="21" t="s">
        <v>424</v>
      </c>
      <c r="C162" s="15"/>
      <c r="D162" s="15"/>
      <c r="E162" s="15"/>
      <c r="F162" s="15"/>
      <c r="G162" s="15"/>
      <c r="H162" s="15"/>
      <c r="I162" s="512"/>
      <c r="J162" s="15"/>
      <c r="K162" s="15"/>
      <c r="L162" s="15"/>
      <c r="M162" s="15"/>
      <c r="N162" s="15"/>
      <c r="O162" s="15"/>
    </row>
    <row r="163" spans="2:15" ht="20.100000000000001" customHeight="1">
      <c r="B163" s="11" t="s">
        <v>594</v>
      </c>
      <c r="C163" s="49">
        <f>'Budget Detail FY 2020-27'!M220</f>
        <v>5615</v>
      </c>
      <c r="D163" s="49">
        <f>'Budget Detail FY 2020-27'!N220</f>
        <v>1350</v>
      </c>
      <c r="E163" s="122"/>
      <c r="F163" s="49">
        <f>'Budget Detail FY 2020-27'!O220</f>
        <v>500</v>
      </c>
      <c r="G163" s="49">
        <f>'Budget Detail FY 2020-27'!P220</f>
        <v>2753</v>
      </c>
      <c r="H163" s="122"/>
      <c r="I163" s="513"/>
      <c r="J163" s="49">
        <f>'Budget Detail FY 2020-27'!Q220</f>
        <v>2000</v>
      </c>
      <c r="K163" s="122"/>
      <c r="L163" s="49">
        <f>'Budget Detail FY 2020-27'!R220</f>
        <v>2000</v>
      </c>
      <c r="M163" s="49">
        <f>'Budget Detail FY 2020-27'!S220</f>
        <v>2000</v>
      </c>
      <c r="N163" s="49">
        <f>'Budget Detail FY 2020-27'!T220</f>
        <v>2000</v>
      </c>
      <c r="O163" s="49">
        <f>'Budget Detail FY 2020-27'!U220</f>
        <v>2000</v>
      </c>
    </row>
    <row r="164" spans="2:15" ht="20.100000000000001" customHeight="1">
      <c r="B164" s="11" t="s">
        <v>595</v>
      </c>
      <c r="C164" s="2">
        <f>SUM('Budget Detail FY 2020-27'!M221:M225)</f>
        <v>359027</v>
      </c>
      <c r="D164" s="2">
        <f>SUM('Budget Detail FY 2020-27'!N221:N225)</f>
        <v>373291</v>
      </c>
      <c r="E164" s="122">
        <f t="shared" ref="E164:E171" si="5">(D164-C164)/C164</f>
        <v>3.9729602509003502E-2</v>
      </c>
      <c r="F164" s="2">
        <f>SUM('Budget Detail FY 2020-27'!O221:O225)</f>
        <v>407520</v>
      </c>
      <c r="G164" s="2">
        <f>SUM('Budget Detail FY 2020-27'!P221:P225)</f>
        <v>425482.73</v>
      </c>
      <c r="H164" s="122">
        <f t="shared" ref="H164:H171" si="6">(G164-F164)/F164</f>
        <v>4.4078155673341141E-2</v>
      </c>
      <c r="I164" s="513">
        <f t="shared" ref="I164:I171" si="7">(G164-F164)/F164</f>
        <v>4.4078155673341141E-2</v>
      </c>
      <c r="J164" s="2">
        <f>SUM('Budget Detail FY 2020-27'!Q221:Q225)</f>
        <v>466981</v>
      </c>
      <c r="K164" s="122">
        <f t="shared" ref="K164:K171" si="8">(J164-G164)/G164</f>
        <v>9.7532207711462274E-2</v>
      </c>
      <c r="L164" s="2">
        <f>SUM('Budget Detail FY 2020-27'!R221:R225)</f>
        <v>491285</v>
      </c>
      <c r="M164" s="2">
        <f>SUM('Budget Detail FY 2020-27'!S221:S225)</f>
        <v>517047</v>
      </c>
      <c r="N164" s="2">
        <f>SUM('Budget Detail FY 2020-27'!T221:T225)</f>
        <v>544355</v>
      </c>
      <c r="O164" s="2">
        <f>SUM('Budget Detail FY 2020-27'!U221:U225)</f>
        <v>573301</v>
      </c>
    </row>
    <row r="165" spans="2:15" ht="20.100000000000001" customHeight="1">
      <c r="B165" s="11" t="s">
        <v>596</v>
      </c>
      <c r="C165" s="2">
        <f>SUM('Budget Detail FY 2020-27'!M226:M250)</f>
        <v>2791311</v>
      </c>
      <c r="D165" s="2">
        <f>SUM('Budget Detail FY 2020-27'!N226:N250)</f>
        <v>3365805</v>
      </c>
      <c r="E165" s="122">
        <f t="shared" si="5"/>
        <v>0.20581511698266514</v>
      </c>
      <c r="F165" s="2">
        <f>SUM('Budget Detail FY 2020-27'!O226:O250)</f>
        <v>3272288</v>
      </c>
      <c r="G165" s="2">
        <f>SUM('Budget Detail FY 2020-27'!P226:P250)</f>
        <v>3415896</v>
      </c>
      <c r="H165" s="122">
        <f t="shared" si="6"/>
        <v>4.3886112713795361E-2</v>
      </c>
      <c r="I165" s="513">
        <f t="shared" si="7"/>
        <v>4.3886112713795361E-2</v>
      </c>
      <c r="J165" s="2">
        <f>SUM('Budget Detail FY 2020-27'!Q226:Q250)</f>
        <v>3589123</v>
      </c>
      <c r="K165" s="122">
        <f t="shared" si="8"/>
        <v>5.0712024019466638E-2</v>
      </c>
      <c r="L165" s="2">
        <f>SUM('Budget Detail FY 2020-27'!R226:R250)</f>
        <v>3575726</v>
      </c>
      <c r="M165" s="2">
        <f>SUM('Budget Detail FY 2020-27'!S226:S250)</f>
        <v>3468178</v>
      </c>
      <c r="N165" s="2">
        <f>SUM('Budget Detail FY 2020-27'!T226:T250)</f>
        <v>3537697</v>
      </c>
      <c r="O165" s="2">
        <f>SUM('Budget Detail FY 2020-27'!U226:U250)</f>
        <v>3454895</v>
      </c>
    </row>
    <row r="166" spans="2:15" ht="20.100000000000001" customHeight="1">
      <c r="B166" s="11" t="s">
        <v>597</v>
      </c>
      <c r="C166" s="2">
        <f>'Budget Detail FY 2020-27'!M251</f>
        <v>5226</v>
      </c>
      <c r="D166" s="2">
        <f>'Budget Detail FY 2020-27'!N251</f>
        <v>0</v>
      </c>
      <c r="E166" s="122">
        <f t="shared" si="5"/>
        <v>-1</v>
      </c>
      <c r="F166" s="2">
        <f>'Budget Detail FY 2020-27'!O251</f>
        <v>15000</v>
      </c>
      <c r="G166" s="2">
        <f>'Budget Detail FY 2020-27'!P251</f>
        <v>5000</v>
      </c>
      <c r="H166" s="122">
        <f t="shared" si="6"/>
        <v>-0.66666666666666663</v>
      </c>
      <c r="I166" s="513">
        <f t="shared" si="7"/>
        <v>-0.66666666666666663</v>
      </c>
      <c r="J166" s="2">
        <f>'Budget Detail FY 2020-27'!Q251</f>
        <v>10000</v>
      </c>
      <c r="K166" s="122">
        <f t="shared" si="8"/>
        <v>1</v>
      </c>
      <c r="L166" s="2">
        <f>'Budget Detail FY 2020-27'!R251</f>
        <v>10000</v>
      </c>
      <c r="M166" s="2">
        <f>'Budget Detail FY 2020-27'!S251</f>
        <v>10000</v>
      </c>
      <c r="N166" s="2">
        <f>'Budget Detail FY 2020-27'!T251</f>
        <v>10000</v>
      </c>
      <c r="O166" s="2">
        <f>'Budget Detail FY 2020-27'!U251</f>
        <v>10000</v>
      </c>
    </row>
    <row r="167" spans="2:15" ht="20.100000000000001" customHeight="1">
      <c r="B167" s="506" t="s">
        <v>1165</v>
      </c>
      <c r="C167" s="65">
        <f>'Budget Detail FY 2020-27'!M252</f>
        <v>0</v>
      </c>
      <c r="D167" s="65">
        <f>'Budget Detail FY 2020-27'!N252</f>
        <v>0</v>
      </c>
      <c r="E167" s="122"/>
      <c r="F167" s="65">
        <f>'Budget Detail FY 2020-27'!O252</f>
        <v>44000</v>
      </c>
      <c r="G167" s="65">
        <f>'Budget Detail FY 2020-27'!P252</f>
        <v>0</v>
      </c>
      <c r="H167" s="122"/>
      <c r="I167" s="513"/>
      <c r="J167" s="65">
        <f>'Budget Detail FY 2020-27'!Q252</f>
        <v>75000</v>
      </c>
      <c r="K167" s="122"/>
      <c r="L167" s="65">
        <f>'Budget Detail FY 2020-27'!R252</f>
        <v>75000</v>
      </c>
      <c r="M167" s="65">
        <f>'Budget Detail FY 2020-27'!S252</f>
        <v>75000</v>
      </c>
      <c r="N167" s="65">
        <f>'Budget Detail FY 2020-27'!T252</f>
        <v>75000</v>
      </c>
      <c r="O167" s="65">
        <f>'Budget Detail FY 2020-27'!U252</f>
        <v>75000</v>
      </c>
    </row>
    <row r="168" spans="2:15" ht="20.100000000000001" customHeight="1">
      <c r="B168" s="507" t="s">
        <v>600</v>
      </c>
      <c r="C168" s="514">
        <f>SUM(C163:C167)</f>
        <v>3161179</v>
      </c>
      <c r="D168" s="514">
        <f t="shared" ref="D168:O168" si="9">SUM(D163:D167)</f>
        <v>3740446</v>
      </c>
      <c r="E168" s="122">
        <f t="shared" si="5"/>
        <v>0.18324397321379143</v>
      </c>
      <c r="F168" s="514">
        <f t="shared" si="9"/>
        <v>3739308</v>
      </c>
      <c r="G168" s="514">
        <f t="shared" si="9"/>
        <v>3849131.73</v>
      </c>
      <c r="H168" s="122">
        <f t="shared" si="6"/>
        <v>2.9370067937703977E-2</v>
      </c>
      <c r="I168" s="513">
        <f t="shared" si="7"/>
        <v>2.9370067937703977E-2</v>
      </c>
      <c r="J168" s="514">
        <f t="shared" si="9"/>
        <v>4143104</v>
      </c>
      <c r="K168" s="122">
        <f t="shared" si="8"/>
        <v>7.6373657910637424E-2</v>
      </c>
      <c r="L168" s="514">
        <f t="shared" si="9"/>
        <v>4154011</v>
      </c>
      <c r="M168" s="514">
        <f t="shared" si="9"/>
        <v>4072225</v>
      </c>
      <c r="N168" s="514">
        <f t="shared" si="9"/>
        <v>4169052</v>
      </c>
      <c r="O168" s="514">
        <f t="shared" si="9"/>
        <v>4115196</v>
      </c>
    </row>
    <row r="169" spans="2:15" ht="6.9" customHeight="1">
      <c r="B169" s="134"/>
      <c r="C169" s="2"/>
      <c r="D169" s="2"/>
      <c r="E169" s="122"/>
      <c r="F169" s="2"/>
      <c r="G169" s="2"/>
      <c r="H169" s="122"/>
      <c r="I169" s="513"/>
      <c r="J169" s="2"/>
      <c r="K169" s="122"/>
      <c r="L169" s="2"/>
      <c r="M169" s="2"/>
      <c r="N169" s="2"/>
      <c r="O169" s="2"/>
    </row>
    <row r="170" spans="2:15" ht="20.100000000000001" customHeight="1">
      <c r="B170" s="11" t="s">
        <v>599</v>
      </c>
      <c r="C170" s="2">
        <f>SUM('Budget Detail FY 2020-27'!M255:M260)</f>
        <v>2566540</v>
      </c>
      <c r="D170" s="2">
        <f>SUM('Budget Detail FY 2020-27'!N255:N260)</f>
        <v>3426628</v>
      </c>
      <c r="E170" s="122">
        <f t="shared" si="5"/>
        <v>0.33511575895953305</v>
      </c>
      <c r="F170" s="2">
        <f>SUM('Budget Detail FY 2020-27'!O255:O260)</f>
        <v>3008425</v>
      </c>
      <c r="G170" s="2">
        <f>SUM('Budget Detail FY 2020-27'!P255:P260)</f>
        <v>6874060</v>
      </c>
      <c r="H170" s="122">
        <f t="shared" si="6"/>
        <v>1.2849364700798591</v>
      </c>
      <c r="I170" s="513">
        <f t="shared" si="7"/>
        <v>1.2849364700798591</v>
      </c>
      <c r="J170" s="2">
        <f>SUM('Budget Detail FY 2020-27'!Q255:Q260)</f>
        <v>5706405</v>
      </c>
      <c r="K170" s="122">
        <f t="shared" si="8"/>
        <v>-0.16986395230766096</v>
      </c>
      <c r="L170" s="2">
        <f>SUM('Budget Detail FY 2020-27'!R255:R260)</f>
        <v>5299460</v>
      </c>
      <c r="M170" s="2">
        <f>SUM('Budget Detail FY 2020-27'!S255:S260)</f>
        <v>4767851</v>
      </c>
      <c r="N170" s="2">
        <f>SUM('Budget Detail FY 2020-27'!T255:T260)</f>
        <v>4861135</v>
      </c>
      <c r="O170" s="2">
        <f>SUM('Budget Detail FY 2020-27'!U255:U260)</f>
        <v>4566806</v>
      </c>
    </row>
    <row r="171" spans="2:15" s="70" customFormat="1" ht="20.100000000000001" customHeight="1" thickBot="1">
      <c r="B171" s="72" t="s">
        <v>721</v>
      </c>
      <c r="C171" s="431">
        <f>C168+C170</f>
        <v>5727719</v>
      </c>
      <c r="D171" s="431">
        <f t="shared" ref="D171:O171" si="10">D168+D170</f>
        <v>7167074</v>
      </c>
      <c r="E171" s="122">
        <f t="shared" si="5"/>
        <v>0.25129637120815457</v>
      </c>
      <c r="F171" s="431">
        <f t="shared" si="10"/>
        <v>6747733</v>
      </c>
      <c r="G171" s="431">
        <f t="shared" si="10"/>
        <v>10723191.73</v>
      </c>
      <c r="H171" s="122">
        <f t="shared" si="6"/>
        <v>0.58915471759181948</v>
      </c>
      <c r="I171" s="513">
        <f t="shared" si="7"/>
        <v>0.58915471759181948</v>
      </c>
      <c r="J171" s="431">
        <f t="shared" si="10"/>
        <v>9849509</v>
      </c>
      <c r="K171" s="122">
        <f t="shared" si="8"/>
        <v>-8.1475996326328903E-2</v>
      </c>
      <c r="L171" s="431">
        <f t="shared" si="10"/>
        <v>9453471</v>
      </c>
      <c r="M171" s="431">
        <f t="shared" si="10"/>
        <v>8840076</v>
      </c>
      <c r="N171" s="431">
        <f t="shared" si="10"/>
        <v>9030187</v>
      </c>
      <c r="O171" s="431">
        <f t="shared" si="10"/>
        <v>8682002</v>
      </c>
    </row>
    <row r="172" spans="2:15" ht="14.4" thickTop="1">
      <c r="B172" s="9"/>
      <c r="C172" s="15"/>
      <c r="D172" s="15"/>
      <c r="E172" s="15"/>
      <c r="F172" s="15"/>
      <c r="G172" s="15"/>
      <c r="H172" s="15"/>
      <c r="I172" s="15"/>
      <c r="J172" s="15"/>
      <c r="K172" s="15"/>
      <c r="L172" s="15"/>
      <c r="M172" s="15"/>
      <c r="N172" s="15"/>
      <c r="O172" s="15"/>
    </row>
    <row r="173" spans="2:15" ht="13.8">
      <c r="B173" s="9"/>
      <c r="C173" s="15"/>
      <c r="D173" s="15"/>
      <c r="E173" s="15"/>
      <c r="F173" s="15"/>
      <c r="G173" s="15"/>
      <c r="H173" s="15"/>
      <c r="I173" s="15"/>
      <c r="J173" s="15"/>
      <c r="K173" s="15"/>
      <c r="L173" s="15"/>
      <c r="M173" s="15"/>
      <c r="N173" s="15"/>
      <c r="O173" s="15"/>
    </row>
    <row r="174" spans="2:15" ht="13.8">
      <c r="B174" s="9"/>
      <c r="C174" s="15"/>
      <c r="D174" s="15"/>
      <c r="E174" s="15"/>
      <c r="F174" s="15"/>
      <c r="G174" s="15"/>
      <c r="H174" s="15"/>
      <c r="I174" s="15"/>
      <c r="J174" s="15"/>
      <c r="K174" s="15"/>
      <c r="L174" s="15"/>
      <c r="M174" s="15"/>
      <c r="N174" s="15"/>
      <c r="O174" s="15"/>
    </row>
    <row r="175" spans="2:15" ht="13.8">
      <c r="B175" s="9"/>
      <c r="C175" s="15"/>
      <c r="D175" s="15"/>
      <c r="E175" s="15"/>
      <c r="F175" s="15"/>
      <c r="G175" s="15"/>
      <c r="H175" s="15"/>
      <c r="I175" s="15"/>
      <c r="J175" s="15"/>
      <c r="K175" s="15"/>
      <c r="L175" s="15"/>
      <c r="M175" s="15"/>
      <c r="N175" s="15"/>
      <c r="O175" s="15"/>
    </row>
    <row r="176" spans="2:15" ht="13.8">
      <c r="B176" s="9"/>
      <c r="C176" s="15"/>
      <c r="D176" s="15"/>
      <c r="E176" s="15"/>
      <c r="F176" s="15"/>
      <c r="G176" s="15"/>
      <c r="H176" s="15"/>
      <c r="I176" s="15"/>
      <c r="J176" s="15"/>
      <c r="K176" s="15"/>
      <c r="L176" s="15"/>
      <c r="M176" s="15"/>
      <c r="N176" s="15"/>
      <c r="O176" s="15"/>
    </row>
    <row r="177" spans="2:15" ht="13.8">
      <c r="B177" s="9"/>
      <c r="C177" s="15"/>
      <c r="D177" s="15"/>
      <c r="E177" s="15"/>
      <c r="F177" s="15"/>
      <c r="G177" s="15"/>
      <c r="H177" s="15"/>
      <c r="I177" s="15"/>
      <c r="J177" s="15"/>
      <c r="K177" s="15"/>
      <c r="L177" s="15"/>
      <c r="M177" s="15"/>
      <c r="N177" s="15"/>
      <c r="O177" s="15"/>
    </row>
    <row r="178" spans="2:15" ht="13.8">
      <c r="B178" s="9"/>
      <c r="C178" s="15"/>
      <c r="D178" s="15"/>
      <c r="E178" s="15"/>
      <c r="F178" s="15"/>
      <c r="G178" s="15"/>
      <c r="H178" s="15"/>
      <c r="I178" s="15"/>
      <c r="J178" s="15"/>
      <c r="K178" s="15"/>
      <c r="L178" s="15"/>
      <c r="M178" s="15"/>
      <c r="N178" s="15"/>
      <c r="O178" s="15"/>
    </row>
    <row r="179" spans="2:15" ht="12.75" customHeight="1">
      <c r="B179" s="9"/>
      <c r="C179" s="15"/>
      <c r="D179" s="15"/>
      <c r="E179" s="15"/>
      <c r="F179" s="15"/>
      <c r="G179" s="15"/>
      <c r="H179" s="15"/>
      <c r="I179" s="15"/>
      <c r="J179" s="15"/>
      <c r="K179" s="15"/>
      <c r="L179" s="15"/>
      <c r="M179" s="15"/>
      <c r="N179" s="15"/>
      <c r="O179" s="15"/>
    </row>
    <row r="180" spans="2:15" ht="18" customHeight="1">
      <c r="B180" s="9"/>
      <c r="C180" s="15"/>
      <c r="D180" s="15"/>
      <c r="E180" s="15"/>
      <c r="F180" s="15"/>
      <c r="G180" s="15"/>
      <c r="H180" s="15"/>
      <c r="I180" s="15"/>
      <c r="J180" s="15"/>
      <c r="K180" s="15"/>
      <c r="L180" s="15"/>
      <c r="M180" s="15"/>
      <c r="N180" s="15"/>
      <c r="O180" s="15"/>
    </row>
    <row r="181" spans="2:15" ht="13.8">
      <c r="B181" s="9"/>
      <c r="C181" s="15"/>
      <c r="D181" s="15"/>
      <c r="E181" s="15"/>
      <c r="F181" s="15"/>
      <c r="G181" s="15"/>
      <c r="H181" s="15"/>
      <c r="I181" s="15"/>
      <c r="J181" s="15"/>
      <c r="K181" s="15"/>
      <c r="L181" s="15"/>
      <c r="M181" s="15"/>
      <c r="N181" s="15"/>
      <c r="O181" s="15"/>
    </row>
    <row r="182" spans="2:15" ht="13.8">
      <c r="B182" s="9"/>
      <c r="C182" s="15"/>
      <c r="D182" s="15"/>
      <c r="E182" s="15"/>
      <c r="F182" s="15"/>
      <c r="G182" s="15"/>
      <c r="H182" s="15"/>
      <c r="I182" s="15"/>
      <c r="J182" s="15"/>
      <c r="K182" s="15"/>
      <c r="L182" s="15"/>
      <c r="M182" s="15"/>
      <c r="N182" s="15"/>
      <c r="O182" s="15"/>
    </row>
    <row r="183" spans="2:15" ht="13.8">
      <c r="B183" s="9"/>
      <c r="C183" s="15"/>
      <c r="D183" s="15"/>
      <c r="E183" s="15"/>
      <c r="F183" s="15"/>
      <c r="G183" s="15"/>
      <c r="H183" s="15"/>
      <c r="I183" s="15"/>
      <c r="J183" s="15"/>
      <c r="K183" s="15"/>
      <c r="L183" s="15"/>
      <c r="M183" s="15"/>
      <c r="N183" s="15"/>
      <c r="O183" s="15"/>
    </row>
    <row r="184" spans="2:15" ht="13.8">
      <c r="B184" s="9"/>
      <c r="C184" s="15"/>
      <c r="D184" s="15"/>
      <c r="E184" s="15"/>
      <c r="F184" s="15"/>
      <c r="G184" s="15"/>
      <c r="H184" s="15"/>
      <c r="I184" s="15"/>
      <c r="J184" s="15"/>
      <c r="K184" s="15"/>
      <c r="L184" s="15"/>
      <c r="M184" s="15"/>
      <c r="N184" s="15"/>
      <c r="O184" s="15"/>
    </row>
    <row r="185" spans="2:15" ht="13.8">
      <c r="B185" s="9"/>
      <c r="C185" s="15"/>
      <c r="D185" s="15"/>
      <c r="E185" s="15"/>
      <c r="F185" s="15"/>
      <c r="G185" s="15"/>
      <c r="H185" s="15"/>
      <c r="I185" s="15"/>
      <c r="J185" s="15"/>
      <c r="K185" s="15"/>
      <c r="L185" s="15"/>
      <c r="M185" s="15"/>
      <c r="N185" s="15"/>
      <c r="O185" s="15"/>
    </row>
    <row r="186" spans="2:15" ht="13.8">
      <c r="B186" s="9"/>
      <c r="C186" s="15"/>
      <c r="D186" s="15"/>
      <c r="E186" s="15"/>
      <c r="F186" s="15"/>
      <c r="G186" s="15"/>
      <c r="H186" s="15"/>
      <c r="I186" s="15"/>
      <c r="J186" s="15"/>
      <c r="K186" s="15"/>
      <c r="L186" s="15"/>
      <c r="M186" s="15"/>
      <c r="N186" s="15"/>
      <c r="O186" s="15"/>
    </row>
    <row r="187" spans="2:15" ht="13.8">
      <c r="B187" s="9"/>
      <c r="C187" s="15"/>
      <c r="D187" s="15"/>
      <c r="E187" s="15"/>
      <c r="F187" s="15"/>
      <c r="G187" s="15"/>
      <c r="H187" s="15"/>
      <c r="I187" s="15"/>
      <c r="J187" s="15"/>
      <c r="K187" s="15"/>
      <c r="L187" s="15"/>
      <c r="M187" s="15"/>
      <c r="N187" s="15"/>
      <c r="O187" s="15"/>
    </row>
    <row r="188" spans="2:15" ht="13.8">
      <c r="B188" s="9"/>
      <c r="C188" s="15"/>
      <c r="D188" s="15"/>
      <c r="E188" s="15"/>
      <c r="F188" s="15"/>
      <c r="G188" s="15"/>
      <c r="H188" s="15"/>
      <c r="I188" s="15"/>
      <c r="J188" s="15"/>
      <c r="K188" s="15"/>
      <c r="L188" s="15"/>
      <c r="M188" s="15"/>
      <c r="N188" s="15"/>
      <c r="O188" s="15"/>
    </row>
    <row r="189" spans="2:15" ht="13.8">
      <c r="B189" s="12"/>
      <c r="C189" s="15"/>
      <c r="D189" s="15"/>
      <c r="E189" s="15"/>
      <c r="F189" s="15"/>
      <c r="G189" s="15"/>
      <c r="H189" s="15"/>
      <c r="I189" s="15"/>
      <c r="J189" s="15"/>
      <c r="K189" s="15"/>
      <c r="L189" s="15"/>
      <c r="M189" s="15"/>
      <c r="N189" s="15"/>
      <c r="O189" s="15"/>
    </row>
    <row r="190" spans="2:15" ht="13.8">
      <c r="B190" s="12"/>
      <c r="C190" s="15"/>
      <c r="D190" s="15"/>
      <c r="E190" s="15"/>
      <c r="F190" s="15"/>
      <c r="G190" s="15"/>
      <c r="H190" s="15"/>
      <c r="I190" s="15"/>
      <c r="J190" s="15"/>
      <c r="K190" s="15"/>
      <c r="L190" s="15"/>
      <c r="M190" s="15"/>
      <c r="N190" s="15"/>
      <c r="O190" s="15"/>
    </row>
    <row r="191" spans="2:15" ht="13.8">
      <c r="B191" s="13"/>
      <c r="C191" s="15"/>
      <c r="D191" s="15"/>
      <c r="E191" s="15"/>
      <c r="F191" s="15"/>
      <c r="G191" s="15"/>
      <c r="H191" s="15"/>
      <c r="I191" s="15"/>
      <c r="J191" s="15"/>
      <c r="K191" s="15"/>
      <c r="L191" s="15"/>
      <c r="M191" s="15"/>
      <c r="N191" s="15"/>
      <c r="O191" s="15"/>
    </row>
    <row r="192" spans="2:15" ht="13.8">
      <c r="B192" s="13"/>
      <c r="C192" s="15"/>
      <c r="D192" s="15"/>
      <c r="E192" s="15"/>
      <c r="F192" s="15"/>
      <c r="G192" s="15"/>
      <c r="H192" s="15"/>
      <c r="I192" s="15"/>
      <c r="J192" s="15"/>
      <c r="K192" s="15"/>
      <c r="L192" s="15"/>
      <c r="M192" s="15"/>
      <c r="N192" s="15"/>
      <c r="O192" s="15"/>
    </row>
    <row r="193" spans="2:15" ht="13.8">
      <c r="B193" s="21"/>
      <c r="C193" s="15"/>
      <c r="D193" s="15"/>
      <c r="E193" s="15"/>
      <c r="F193" s="15"/>
      <c r="G193" s="15"/>
      <c r="H193" s="15"/>
      <c r="I193" s="15"/>
      <c r="J193" s="15"/>
      <c r="K193" s="15"/>
      <c r="L193" s="15"/>
      <c r="M193" s="15"/>
      <c r="N193" s="15"/>
      <c r="O193" s="15"/>
    </row>
    <row r="194" spans="2:15" ht="13.8">
      <c r="B194" s="14"/>
      <c r="C194" s="15"/>
      <c r="D194" s="15"/>
      <c r="E194" s="15"/>
      <c r="F194" s="15"/>
      <c r="G194" s="15"/>
      <c r="H194" s="15"/>
      <c r="I194" s="15"/>
      <c r="J194" s="15"/>
      <c r="K194" s="15"/>
      <c r="L194" s="15"/>
      <c r="M194" s="15"/>
      <c r="N194" s="15"/>
      <c r="O194" s="15"/>
    </row>
    <row r="195" spans="2:15" ht="13.8">
      <c r="B195" s="14"/>
      <c r="C195" s="15"/>
      <c r="D195" s="15"/>
      <c r="E195" s="15"/>
      <c r="F195" s="15"/>
      <c r="G195" s="15"/>
      <c r="H195" s="15"/>
      <c r="I195" s="15"/>
      <c r="J195" s="15"/>
      <c r="K195" s="15"/>
      <c r="L195" s="15"/>
      <c r="M195" s="15"/>
      <c r="N195" s="15"/>
      <c r="O195" s="15"/>
    </row>
    <row r="196" spans="2:15" ht="13.8">
      <c r="B196" s="9"/>
      <c r="C196" s="15"/>
      <c r="D196" s="15"/>
      <c r="E196" s="15"/>
      <c r="F196" s="15"/>
      <c r="G196" s="15"/>
      <c r="H196" s="15"/>
      <c r="I196" s="15"/>
      <c r="J196" s="15"/>
      <c r="K196" s="15"/>
      <c r="L196" s="15"/>
      <c r="M196" s="15"/>
      <c r="N196" s="15"/>
      <c r="O196" s="15"/>
    </row>
    <row r="197" spans="2:15" ht="13.8">
      <c r="B197" s="9"/>
      <c r="C197" s="15"/>
      <c r="D197" s="15"/>
      <c r="E197" s="15"/>
      <c r="F197" s="15"/>
      <c r="G197" s="15"/>
      <c r="H197" s="15"/>
      <c r="I197" s="15"/>
      <c r="J197" s="15"/>
      <c r="K197" s="15"/>
      <c r="L197" s="15"/>
      <c r="M197" s="15"/>
      <c r="N197" s="15"/>
      <c r="O197" s="15"/>
    </row>
    <row r="198" spans="2:15" ht="13.8">
      <c r="B198" s="9"/>
      <c r="C198" s="15"/>
      <c r="D198" s="15"/>
      <c r="E198" s="15"/>
      <c r="F198" s="15"/>
      <c r="G198" s="15"/>
      <c r="H198" s="15"/>
      <c r="I198" s="15"/>
      <c r="J198" s="15"/>
      <c r="K198" s="15"/>
      <c r="L198" s="15"/>
      <c r="M198" s="15"/>
      <c r="N198" s="15"/>
      <c r="O198" s="15"/>
    </row>
    <row r="199" spans="2:15" ht="13.8">
      <c r="B199" s="9"/>
      <c r="C199" s="15"/>
      <c r="D199" s="15"/>
      <c r="E199" s="15"/>
      <c r="F199" s="15"/>
      <c r="G199" s="15"/>
      <c r="H199" s="15"/>
      <c r="I199" s="15"/>
      <c r="J199" s="15"/>
      <c r="K199" s="15"/>
      <c r="L199" s="15"/>
      <c r="M199" s="15"/>
      <c r="N199" s="15"/>
      <c r="O199" s="15"/>
    </row>
    <row r="200" spans="2:15" ht="13.8">
      <c r="B200" s="9"/>
      <c r="C200" s="15"/>
      <c r="D200" s="15"/>
      <c r="E200" s="15"/>
      <c r="F200" s="15"/>
      <c r="G200" s="15"/>
      <c r="H200" s="15"/>
      <c r="I200" s="15"/>
      <c r="J200" s="15"/>
      <c r="K200" s="15"/>
      <c r="L200" s="15"/>
      <c r="M200" s="15"/>
      <c r="N200" s="15"/>
      <c r="O200" s="15"/>
    </row>
    <row r="201" spans="2:15" ht="13.8">
      <c r="B201" s="9"/>
      <c r="C201" s="15"/>
      <c r="D201" s="15"/>
      <c r="E201" s="15"/>
      <c r="F201" s="15"/>
      <c r="G201" s="15"/>
      <c r="H201" s="15"/>
      <c r="I201" s="15"/>
      <c r="J201" s="15"/>
      <c r="K201" s="15"/>
      <c r="L201" s="15"/>
      <c r="M201" s="15"/>
      <c r="N201" s="15"/>
      <c r="O201" s="15"/>
    </row>
    <row r="202" spans="2:15" ht="13.8">
      <c r="B202" s="9"/>
      <c r="C202" s="15"/>
      <c r="D202" s="15"/>
      <c r="E202" s="15"/>
      <c r="F202" s="15"/>
      <c r="G202" s="15"/>
      <c r="H202" s="15"/>
      <c r="I202" s="15"/>
      <c r="J202" s="15"/>
      <c r="K202" s="15"/>
      <c r="L202" s="15"/>
      <c r="M202" s="15"/>
      <c r="N202" s="15"/>
      <c r="O202" s="15"/>
    </row>
    <row r="203" spans="2:15" ht="13.8">
      <c r="B203" s="9"/>
      <c r="C203" s="15"/>
      <c r="D203" s="15"/>
      <c r="E203" s="15"/>
      <c r="F203" s="15"/>
      <c r="G203" s="15"/>
      <c r="H203" s="15"/>
      <c r="I203" s="15"/>
      <c r="J203" s="15"/>
      <c r="K203" s="15"/>
      <c r="L203" s="15"/>
      <c r="M203" s="15"/>
      <c r="N203" s="15"/>
      <c r="O203" s="15"/>
    </row>
    <row r="204" spans="2:15" ht="13.8">
      <c r="B204" s="9"/>
      <c r="C204" s="15"/>
      <c r="D204" s="15"/>
      <c r="E204" s="15"/>
      <c r="F204" s="15"/>
      <c r="G204" s="15"/>
      <c r="H204" s="15"/>
      <c r="I204" s="15"/>
      <c r="J204" s="15"/>
      <c r="K204" s="15"/>
      <c r="L204" s="15"/>
      <c r="M204" s="15"/>
      <c r="N204" s="15"/>
      <c r="O204" s="15"/>
    </row>
    <row r="205" spans="2:15" ht="13.8">
      <c r="B205" s="9"/>
      <c r="C205" s="15"/>
      <c r="D205" s="15"/>
      <c r="E205" s="15"/>
      <c r="F205" s="15"/>
      <c r="G205" s="15"/>
      <c r="H205" s="15"/>
      <c r="I205" s="15"/>
      <c r="J205" s="15"/>
      <c r="K205" s="15"/>
      <c r="L205" s="15"/>
      <c r="M205" s="15"/>
      <c r="N205" s="15"/>
      <c r="O205" s="15"/>
    </row>
    <row r="208" spans="2:15" ht="17.399999999999999">
      <c r="B208" s="682"/>
      <c r="C208" s="682"/>
      <c r="D208" s="682"/>
      <c r="E208" s="682"/>
      <c r="F208" s="682"/>
      <c r="G208" s="682"/>
      <c r="H208" s="682"/>
      <c r="I208" s="682"/>
      <c r="J208" s="682"/>
      <c r="K208" s="682"/>
      <c r="L208" s="682"/>
      <c r="M208" s="682"/>
      <c r="N208" s="682"/>
      <c r="O208"/>
    </row>
    <row r="209" spans="2:15" ht="13.8">
      <c r="B209" s="10"/>
      <c r="C209" s="15"/>
      <c r="D209" s="15"/>
      <c r="E209" s="15"/>
      <c r="F209" s="15"/>
      <c r="G209" s="15"/>
      <c r="H209" s="15"/>
      <c r="I209" s="15"/>
      <c r="J209" s="15"/>
      <c r="K209" s="15"/>
      <c r="L209" s="15"/>
      <c r="M209" s="15"/>
      <c r="N209" s="15"/>
      <c r="O209" s="15"/>
    </row>
    <row r="210" spans="2:15">
      <c r="B210" s="683"/>
      <c r="C210" s="683"/>
      <c r="D210" s="683"/>
      <c r="E210" s="683"/>
      <c r="F210" s="683"/>
      <c r="G210" s="683"/>
      <c r="H210" s="683"/>
      <c r="I210" s="683"/>
      <c r="J210" s="683"/>
      <c r="K210" s="683"/>
      <c r="L210" s="683"/>
      <c r="M210" s="683"/>
      <c r="N210" s="683"/>
      <c r="O210"/>
    </row>
    <row r="211" spans="2:15" ht="20.25" customHeight="1">
      <c r="B211" s="683"/>
      <c r="C211" s="683"/>
      <c r="D211" s="683"/>
      <c r="E211" s="683"/>
      <c r="F211" s="683"/>
      <c r="G211" s="683"/>
      <c r="H211" s="683"/>
      <c r="I211" s="683"/>
      <c r="J211" s="683"/>
      <c r="K211" s="683"/>
      <c r="L211" s="683"/>
      <c r="M211" s="683"/>
      <c r="N211" s="683"/>
      <c r="O211"/>
    </row>
    <row r="212" spans="2:15" ht="13.8">
      <c r="B212" s="19"/>
      <c r="C212" s="16"/>
      <c r="D212" s="16"/>
      <c r="E212" s="16"/>
      <c r="F212" s="16"/>
      <c r="G212" s="16"/>
      <c r="H212" s="16"/>
      <c r="I212" s="16"/>
      <c r="J212" s="16"/>
      <c r="K212" s="16"/>
      <c r="L212" s="15"/>
      <c r="M212" s="15"/>
      <c r="N212" s="15"/>
      <c r="O212" s="15"/>
    </row>
    <row r="213" spans="2:15" ht="13.8">
      <c r="B213" s="4"/>
      <c r="C213" s="15"/>
      <c r="D213" s="17"/>
      <c r="E213" s="17"/>
      <c r="F213" s="17"/>
      <c r="G213" s="17"/>
      <c r="H213" s="17"/>
      <c r="I213" s="17"/>
      <c r="J213" s="15"/>
      <c r="K213" s="15"/>
      <c r="L213" s="15"/>
      <c r="M213" s="15"/>
      <c r="N213" s="15"/>
      <c r="O213" s="15"/>
    </row>
    <row r="214" spans="2:15" ht="13.8">
      <c r="B214" s="10"/>
      <c r="C214" s="17"/>
      <c r="D214" s="17"/>
      <c r="E214" s="17"/>
      <c r="F214" s="17"/>
      <c r="G214" s="17"/>
      <c r="H214" s="17"/>
      <c r="I214" s="17"/>
      <c r="J214" s="17"/>
      <c r="K214" s="17"/>
      <c r="L214" s="17"/>
      <c r="M214" s="17"/>
      <c r="N214" s="17"/>
      <c r="O214" s="17"/>
    </row>
    <row r="215" spans="2:15" ht="13.8">
      <c r="B215" s="9"/>
      <c r="C215" s="17"/>
      <c r="D215" s="17"/>
      <c r="E215" s="17"/>
      <c r="F215" s="20"/>
      <c r="G215" s="20"/>
      <c r="H215" s="20"/>
      <c r="I215" s="20"/>
      <c r="J215" s="20"/>
      <c r="K215" s="20"/>
      <c r="L215" s="20"/>
      <c r="M215" s="20"/>
      <c r="N215" s="20"/>
      <c r="O215" s="20"/>
    </row>
    <row r="216" spans="2:15" ht="13.8">
      <c r="B216" s="9"/>
      <c r="C216" s="17"/>
      <c r="D216" s="15"/>
      <c r="E216" s="15"/>
      <c r="F216" s="15"/>
      <c r="G216" s="15"/>
      <c r="H216" s="15"/>
      <c r="I216" s="15"/>
      <c r="J216" s="15"/>
      <c r="K216" s="15"/>
      <c r="L216" s="15"/>
      <c r="M216" s="15"/>
      <c r="N216" s="15"/>
      <c r="O216" s="15"/>
    </row>
    <row r="217" spans="2:15" ht="13.8">
      <c r="B217" s="21"/>
      <c r="C217" s="15"/>
      <c r="D217" s="15"/>
      <c r="E217" s="15"/>
      <c r="F217" s="15"/>
      <c r="G217" s="15"/>
      <c r="H217" s="15"/>
      <c r="I217" s="15"/>
      <c r="J217" s="15"/>
      <c r="K217" s="15"/>
      <c r="L217" s="15"/>
      <c r="M217" s="15"/>
      <c r="N217" s="15"/>
      <c r="O217" s="15"/>
    </row>
    <row r="218" spans="2:15" ht="13.8">
      <c r="B218" s="11"/>
      <c r="C218" s="15"/>
      <c r="D218" s="15"/>
      <c r="E218" s="15"/>
      <c r="F218" s="15"/>
      <c r="G218" s="15"/>
      <c r="H218" s="15"/>
      <c r="I218" s="15"/>
      <c r="J218" s="15"/>
      <c r="K218" s="15"/>
      <c r="L218" s="15"/>
      <c r="M218" s="15"/>
      <c r="N218" s="15"/>
      <c r="O218" s="15"/>
    </row>
    <row r="219" spans="2:15" ht="13.8">
      <c r="B219" s="11"/>
      <c r="C219" s="15"/>
      <c r="D219" s="15"/>
      <c r="E219" s="15"/>
      <c r="F219" s="15"/>
      <c r="G219" s="15"/>
      <c r="H219" s="15"/>
      <c r="I219" s="15"/>
      <c r="J219" s="15"/>
      <c r="K219" s="15"/>
      <c r="L219" s="15"/>
      <c r="M219" s="15"/>
      <c r="N219" s="15"/>
      <c r="O219" s="15"/>
    </row>
    <row r="220" spans="2:15" ht="13.8">
      <c r="B220" s="11"/>
      <c r="C220" s="15"/>
      <c r="D220" s="15"/>
      <c r="E220" s="15"/>
      <c r="F220" s="15"/>
      <c r="G220" s="15"/>
      <c r="H220" s="15"/>
      <c r="I220" s="15"/>
      <c r="J220" s="15"/>
      <c r="K220" s="15"/>
      <c r="L220" s="15"/>
      <c r="M220" s="15"/>
      <c r="N220" s="15"/>
      <c r="O220" s="15"/>
    </row>
    <row r="221" spans="2:15" ht="13.8">
      <c r="B221" s="11"/>
      <c r="C221" s="15"/>
      <c r="D221" s="15"/>
      <c r="E221" s="15"/>
      <c r="F221" s="15"/>
      <c r="G221" s="15"/>
      <c r="H221" s="15"/>
      <c r="I221" s="15"/>
      <c r="J221" s="15"/>
      <c r="K221" s="15"/>
      <c r="L221" s="15"/>
      <c r="M221" s="15"/>
      <c r="N221" s="15"/>
      <c r="O221" s="15"/>
    </row>
    <row r="222" spans="2:15" ht="13.8">
      <c r="B222" s="12"/>
      <c r="C222" s="15"/>
      <c r="D222" s="15"/>
      <c r="E222" s="15"/>
      <c r="F222" s="15"/>
      <c r="G222" s="15"/>
      <c r="H222" s="15"/>
      <c r="I222" s="15"/>
      <c r="J222" s="15"/>
      <c r="K222" s="15"/>
      <c r="L222" s="15"/>
      <c r="M222" s="15"/>
      <c r="N222" s="15"/>
      <c r="O222" s="15"/>
    </row>
    <row r="223" spans="2:15" ht="13.8">
      <c r="B223" s="9"/>
      <c r="C223" s="15"/>
      <c r="D223" s="15"/>
      <c r="E223" s="15"/>
      <c r="F223" s="15"/>
      <c r="G223" s="15"/>
      <c r="H223" s="15"/>
      <c r="I223" s="15"/>
      <c r="J223" s="15"/>
      <c r="K223" s="15"/>
      <c r="L223" s="15"/>
      <c r="M223" s="15"/>
      <c r="N223" s="15"/>
      <c r="O223" s="15"/>
    </row>
    <row r="224" spans="2:15" ht="13.8">
      <c r="B224" s="21"/>
      <c r="C224" s="15"/>
      <c r="D224" s="15"/>
      <c r="E224" s="15"/>
      <c r="F224" s="15"/>
      <c r="G224" s="15"/>
      <c r="H224" s="15"/>
      <c r="I224" s="15"/>
      <c r="J224" s="15"/>
      <c r="K224" s="15"/>
      <c r="L224" s="15"/>
      <c r="M224" s="15"/>
      <c r="N224" s="15"/>
      <c r="O224" s="15"/>
    </row>
    <row r="225" spans="2:15" ht="13.8">
      <c r="B225" s="11"/>
      <c r="C225" s="15"/>
      <c r="D225" s="15"/>
      <c r="E225" s="15"/>
      <c r="F225" s="15"/>
      <c r="G225" s="15"/>
      <c r="H225" s="15"/>
      <c r="I225" s="15"/>
      <c r="J225" s="15"/>
      <c r="K225" s="15"/>
      <c r="L225" s="15"/>
      <c r="M225" s="15"/>
      <c r="N225" s="15"/>
      <c r="O225" s="15"/>
    </row>
    <row r="226" spans="2:15" ht="13.8">
      <c r="B226" s="11"/>
      <c r="C226" s="15"/>
      <c r="D226" s="15"/>
      <c r="E226" s="15"/>
      <c r="F226" s="15"/>
      <c r="G226" s="15"/>
      <c r="H226" s="15"/>
      <c r="I226" s="15"/>
      <c r="J226" s="15"/>
      <c r="K226" s="15"/>
      <c r="L226" s="15"/>
      <c r="M226" s="15"/>
      <c r="N226" s="15"/>
      <c r="O226" s="15"/>
    </row>
    <row r="227" spans="2:15" ht="13.8">
      <c r="B227" s="12"/>
      <c r="C227" s="15"/>
      <c r="D227" s="15"/>
      <c r="E227" s="15"/>
      <c r="F227" s="15"/>
      <c r="G227" s="15"/>
      <c r="H227" s="15"/>
      <c r="I227" s="15"/>
      <c r="J227" s="15"/>
      <c r="K227" s="15"/>
      <c r="L227" s="15"/>
      <c r="M227" s="15"/>
      <c r="N227" s="15"/>
      <c r="O227" s="15"/>
    </row>
    <row r="228" spans="2:15" ht="13.8">
      <c r="B228" s="12"/>
      <c r="C228" s="15"/>
      <c r="D228" s="15"/>
      <c r="E228" s="15"/>
      <c r="F228" s="15"/>
      <c r="G228" s="15"/>
      <c r="H228" s="15"/>
      <c r="I228" s="15"/>
      <c r="J228" s="15"/>
      <c r="K228" s="15"/>
      <c r="L228" s="15"/>
      <c r="M228" s="15"/>
      <c r="N228" s="15"/>
      <c r="O228" s="15"/>
    </row>
    <row r="229" spans="2:15" ht="13.8">
      <c r="B229" s="13"/>
      <c r="C229" s="15"/>
      <c r="D229" s="15"/>
      <c r="E229" s="15"/>
      <c r="F229" s="15"/>
      <c r="G229" s="15"/>
      <c r="H229" s="15"/>
      <c r="I229" s="15"/>
      <c r="J229" s="15"/>
      <c r="K229" s="15"/>
      <c r="L229" s="15"/>
      <c r="M229" s="15"/>
      <c r="N229" s="15"/>
      <c r="O229" s="15"/>
    </row>
    <row r="230" spans="2:15" ht="13.8">
      <c r="B230" s="13"/>
      <c r="C230" s="15"/>
      <c r="D230" s="15"/>
      <c r="E230" s="15"/>
      <c r="F230" s="15"/>
      <c r="G230" s="15"/>
      <c r="H230" s="15"/>
      <c r="I230" s="15"/>
      <c r="J230" s="15"/>
      <c r="K230" s="15"/>
      <c r="L230" s="15"/>
      <c r="M230" s="15"/>
      <c r="N230" s="15"/>
      <c r="O230" s="15"/>
    </row>
    <row r="231" spans="2:15" ht="13.8">
      <c r="B231" s="21"/>
      <c r="C231" s="15"/>
      <c r="D231" s="15"/>
      <c r="E231" s="15"/>
      <c r="F231" s="15"/>
      <c r="G231" s="15"/>
      <c r="H231" s="15"/>
      <c r="I231" s="15"/>
      <c r="J231" s="15"/>
      <c r="K231" s="15"/>
      <c r="L231" s="15"/>
      <c r="M231" s="15"/>
      <c r="N231" s="15"/>
      <c r="O231" s="15"/>
    </row>
    <row r="232" spans="2:15" ht="13.8">
      <c r="B232" s="14"/>
      <c r="C232" s="15"/>
      <c r="D232" s="15"/>
      <c r="E232" s="15"/>
      <c r="F232" s="15"/>
      <c r="G232" s="15"/>
      <c r="H232" s="15"/>
      <c r="I232" s="15"/>
      <c r="J232" s="15"/>
      <c r="K232" s="15"/>
      <c r="L232" s="15"/>
      <c r="M232" s="15"/>
      <c r="N232" s="15"/>
      <c r="O232" s="15"/>
    </row>
    <row r="233" spans="2:15" ht="13.8">
      <c r="B233" s="9"/>
      <c r="C233" s="15"/>
      <c r="D233" s="15"/>
      <c r="E233" s="15"/>
      <c r="F233" s="15"/>
      <c r="G233" s="15"/>
      <c r="H233" s="15"/>
      <c r="I233" s="15"/>
      <c r="J233" s="15"/>
      <c r="K233" s="15"/>
      <c r="L233" s="15"/>
      <c r="M233" s="15"/>
      <c r="N233" s="15"/>
      <c r="O233" s="15"/>
    </row>
    <row r="234" spans="2:15" ht="13.8">
      <c r="B234" s="9"/>
      <c r="C234" s="15"/>
      <c r="D234" s="15"/>
      <c r="E234" s="15"/>
      <c r="F234" s="15"/>
      <c r="G234" s="15"/>
      <c r="H234" s="15"/>
      <c r="I234" s="15"/>
      <c r="J234" s="15"/>
      <c r="K234" s="15"/>
      <c r="L234" s="15"/>
      <c r="M234" s="15"/>
      <c r="N234" s="15"/>
      <c r="O234" s="15"/>
    </row>
    <row r="235" spans="2:15" ht="13.8">
      <c r="B235" s="9"/>
      <c r="C235" s="15"/>
      <c r="D235" s="15"/>
      <c r="E235" s="15"/>
      <c r="F235" s="15"/>
      <c r="G235" s="15"/>
      <c r="H235" s="15"/>
      <c r="I235" s="15"/>
      <c r="J235" s="15"/>
      <c r="K235" s="15"/>
      <c r="L235" s="15"/>
      <c r="M235" s="15"/>
      <c r="N235" s="15"/>
      <c r="O235" s="15"/>
    </row>
    <row r="236" spans="2:15" ht="13.8">
      <c r="B236" s="9"/>
      <c r="C236" s="15"/>
      <c r="D236" s="15"/>
      <c r="E236" s="15"/>
      <c r="F236" s="15"/>
      <c r="G236" s="15"/>
      <c r="H236" s="15"/>
      <c r="I236" s="15"/>
      <c r="J236" s="15"/>
      <c r="K236" s="15"/>
      <c r="L236" s="15"/>
      <c r="M236" s="15"/>
      <c r="N236" s="15"/>
      <c r="O236" s="15"/>
    </row>
    <row r="237" spans="2:15" ht="13.8">
      <c r="B237" s="9"/>
      <c r="C237" s="15"/>
      <c r="D237" s="15"/>
      <c r="E237" s="15"/>
      <c r="F237" s="15"/>
      <c r="G237" s="15"/>
      <c r="H237" s="15"/>
      <c r="I237" s="15"/>
      <c r="J237" s="15"/>
      <c r="K237" s="15"/>
      <c r="L237" s="15"/>
      <c r="M237" s="15"/>
      <c r="N237" s="15"/>
      <c r="O237" s="15"/>
    </row>
    <row r="238" spans="2:15" ht="13.8">
      <c r="B238" s="9"/>
      <c r="C238" s="15"/>
      <c r="D238" s="15"/>
      <c r="E238" s="15"/>
      <c r="F238" s="15"/>
      <c r="G238" s="15"/>
      <c r="H238" s="15"/>
      <c r="I238" s="15"/>
      <c r="J238" s="15"/>
      <c r="K238" s="15"/>
      <c r="L238" s="15"/>
      <c r="M238" s="15"/>
      <c r="N238" s="15"/>
      <c r="O238" s="15"/>
    </row>
    <row r="239" spans="2:15" ht="13.8">
      <c r="B239" s="9"/>
      <c r="C239" s="15"/>
      <c r="D239" s="15"/>
      <c r="E239" s="15"/>
      <c r="F239" s="15"/>
      <c r="G239" s="15"/>
      <c r="H239" s="15"/>
      <c r="I239" s="15"/>
      <c r="J239" s="15"/>
      <c r="K239" s="15"/>
      <c r="L239" s="15"/>
      <c r="M239" s="15"/>
      <c r="N239" s="15"/>
      <c r="O239" s="15"/>
    </row>
    <row r="240" spans="2:15" ht="13.8">
      <c r="B240" s="9"/>
      <c r="C240" s="15"/>
      <c r="D240" s="15"/>
      <c r="E240" s="15"/>
      <c r="F240" s="15"/>
      <c r="G240" s="15"/>
      <c r="H240" s="15"/>
      <c r="I240" s="15"/>
      <c r="J240" s="15"/>
      <c r="K240" s="15"/>
      <c r="L240" s="15"/>
      <c r="M240" s="15"/>
      <c r="N240" s="15"/>
      <c r="O240" s="15"/>
    </row>
    <row r="241" spans="2:15" ht="13.8">
      <c r="B241" s="9"/>
      <c r="C241" s="15"/>
      <c r="D241" s="15"/>
      <c r="E241" s="15"/>
      <c r="F241" s="15"/>
      <c r="G241" s="15"/>
      <c r="H241" s="15"/>
      <c r="I241" s="15"/>
      <c r="J241" s="15"/>
      <c r="K241" s="15"/>
      <c r="L241" s="15"/>
      <c r="M241" s="15"/>
      <c r="N241" s="15"/>
      <c r="O241" s="15"/>
    </row>
    <row r="242" spans="2:15" ht="13.8">
      <c r="B242" s="9"/>
      <c r="C242" s="15"/>
      <c r="D242" s="15"/>
      <c r="E242" s="15"/>
      <c r="F242" s="15"/>
      <c r="G242" s="15"/>
      <c r="H242" s="15"/>
      <c r="I242" s="15"/>
      <c r="J242" s="15"/>
      <c r="K242" s="15"/>
      <c r="L242" s="15"/>
      <c r="M242" s="15"/>
      <c r="N242" s="15"/>
      <c r="O242" s="15"/>
    </row>
    <row r="243" spans="2:15" ht="13.8">
      <c r="B243" s="9"/>
      <c r="C243" s="15"/>
      <c r="D243" s="15"/>
      <c r="E243" s="15"/>
      <c r="F243" s="15"/>
      <c r="G243" s="15"/>
      <c r="H243" s="15"/>
      <c r="I243" s="15"/>
      <c r="J243" s="15"/>
      <c r="K243" s="15"/>
      <c r="L243" s="15"/>
      <c r="M243" s="15"/>
      <c r="N243" s="15"/>
      <c r="O243" s="15"/>
    </row>
    <row r="245" spans="2:15" ht="17.399999999999999">
      <c r="B245" s="682"/>
      <c r="C245" s="682"/>
      <c r="D245" s="682"/>
      <c r="E245" s="682"/>
      <c r="F245" s="682"/>
      <c r="G245" s="682"/>
      <c r="H245" s="682"/>
      <c r="I245" s="682"/>
      <c r="J245" s="682"/>
      <c r="K245" s="682"/>
      <c r="L245" s="682"/>
      <c r="M245" s="682"/>
      <c r="N245" s="682"/>
      <c r="O245"/>
    </row>
    <row r="246" spans="2:15" ht="13.8">
      <c r="B246" s="10"/>
      <c r="C246" s="15"/>
      <c r="D246" s="15"/>
      <c r="E246" s="15"/>
      <c r="F246" s="15"/>
      <c r="G246" s="15"/>
      <c r="H246" s="15"/>
      <c r="I246" s="15"/>
      <c r="J246" s="15"/>
      <c r="K246" s="15"/>
      <c r="L246" s="15"/>
      <c r="M246" s="15"/>
      <c r="N246" s="15"/>
      <c r="O246" s="15"/>
    </row>
    <row r="247" spans="2:15" ht="13.8">
      <c r="B247" s="683"/>
      <c r="C247" s="683"/>
      <c r="D247" s="683"/>
      <c r="E247" s="683"/>
      <c r="F247" s="683"/>
      <c r="G247" s="683"/>
      <c r="H247" s="683"/>
      <c r="I247" s="683"/>
      <c r="J247" s="683"/>
      <c r="K247" s="683"/>
      <c r="L247" s="683"/>
      <c r="M247" s="683"/>
      <c r="N247" s="683"/>
      <c r="O247"/>
    </row>
    <row r="248" spans="2:15" ht="13.8">
      <c r="B248" s="19"/>
      <c r="C248" s="16"/>
      <c r="D248" s="16"/>
      <c r="E248" s="16"/>
      <c r="F248" s="16"/>
      <c r="G248" s="16"/>
      <c r="H248" s="16"/>
      <c r="I248" s="16"/>
      <c r="J248" s="16"/>
      <c r="K248" s="16"/>
      <c r="L248" s="15"/>
      <c r="M248" s="15"/>
      <c r="N248" s="15"/>
      <c r="O248" s="15"/>
    </row>
    <row r="249" spans="2:15" ht="13.8">
      <c r="B249" s="4"/>
      <c r="C249" s="15"/>
      <c r="D249" s="17"/>
      <c r="E249" s="17"/>
      <c r="F249" s="17"/>
      <c r="G249" s="17"/>
      <c r="H249" s="17"/>
      <c r="I249" s="17"/>
      <c r="J249" s="15"/>
      <c r="K249" s="15"/>
      <c r="L249" s="15"/>
      <c r="M249" s="15"/>
      <c r="N249" s="15"/>
      <c r="O249" s="15"/>
    </row>
    <row r="250" spans="2:15" ht="13.8">
      <c r="B250" s="10"/>
      <c r="C250" s="17"/>
      <c r="D250" s="17"/>
      <c r="E250" s="17"/>
      <c r="F250" s="17"/>
      <c r="G250" s="17"/>
      <c r="H250" s="17"/>
      <c r="I250" s="17"/>
      <c r="J250" s="17"/>
      <c r="K250" s="17"/>
      <c r="L250" s="17"/>
      <c r="M250" s="17"/>
      <c r="N250" s="17"/>
      <c r="O250" s="17"/>
    </row>
    <row r="251" spans="2:15" ht="13.8">
      <c r="B251" s="9"/>
      <c r="C251" s="17"/>
      <c r="D251" s="17"/>
      <c r="E251" s="17"/>
      <c r="F251" s="20"/>
      <c r="G251" s="20"/>
      <c r="H251" s="20"/>
      <c r="I251" s="20"/>
      <c r="J251" s="20"/>
      <c r="K251" s="20"/>
      <c r="L251" s="20"/>
      <c r="M251" s="20"/>
      <c r="N251" s="20"/>
      <c r="O251" s="20"/>
    </row>
    <row r="252" spans="2:15" ht="13.8">
      <c r="B252" s="9"/>
      <c r="C252" s="17"/>
      <c r="D252" s="15"/>
      <c r="E252" s="15"/>
      <c r="F252" s="15"/>
      <c r="G252" s="15"/>
      <c r="H252" s="15"/>
      <c r="I252" s="15"/>
      <c r="J252" s="15"/>
      <c r="K252" s="15"/>
      <c r="L252" s="15"/>
      <c r="M252" s="15"/>
      <c r="N252" s="15"/>
      <c r="O252" s="15"/>
    </row>
    <row r="253" spans="2:15" ht="13.8">
      <c r="B253" s="21"/>
      <c r="C253" s="15"/>
      <c r="D253" s="15"/>
      <c r="E253" s="15"/>
      <c r="F253" s="15"/>
      <c r="G253" s="15"/>
      <c r="H253" s="15"/>
      <c r="I253" s="15"/>
      <c r="J253" s="15"/>
      <c r="K253" s="15"/>
      <c r="L253" s="15"/>
      <c r="M253" s="15"/>
      <c r="N253" s="15"/>
      <c r="O253" s="15"/>
    </row>
    <row r="254" spans="2:15" ht="13.8">
      <c r="B254" s="11"/>
      <c r="C254" s="15"/>
      <c r="D254" s="15"/>
      <c r="E254" s="15"/>
      <c r="F254" s="15"/>
      <c r="G254" s="15"/>
      <c r="H254" s="15"/>
      <c r="I254" s="15"/>
      <c r="J254" s="15"/>
      <c r="K254" s="15"/>
      <c r="L254" s="15"/>
      <c r="M254" s="15"/>
      <c r="N254" s="15"/>
      <c r="O254" s="15"/>
    </row>
    <row r="255" spans="2:15" ht="13.8">
      <c r="B255" s="11"/>
      <c r="C255" s="15"/>
      <c r="D255" s="15"/>
      <c r="E255" s="15"/>
      <c r="F255" s="15"/>
      <c r="G255" s="15"/>
      <c r="H255" s="15"/>
      <c r="I255" s="15"/>
      <c r="J255" s="15"/>
      <c r="K255" s="15"/>
      <c r="L255" s="15"/>
      <c r="M255" s="15"/>
      <c r="N255" s="15"/>
      <c r="O255" s="15"/>
    </row>
    <row r="256" spans="2:15" ht="13.8">
      <c r="B256" s="11"/>
      <c r="C256" s="15"/>
      <c r="D256" s="15"/>
      <c r="E256" s="15"/>
      <c r="F256" s="15"/>
      <c r="G256" s="15"/>
      <c r="H256" s="15"/>
      <c r="I256" s="15"/>
      <c r="J256" s="15"/>
      <c r="K256" s="15"/>
      <c r="L256" s="15"/>
      <c r="M256" s="15"/>
      <c r="N256" s="15"/>
      <c r="O256" s="15"/>
    </row>
    <row r="257" spans="2:15" ht="13.8">
      <c r="B257" s="11"/>
      <c r="C257" s="15"/>
      <c r="D257" s="15"/>
      <c r="E257" s="15"/>
      <c r="F257" s="15"/>
      <c r="G257" s="15"/>
      <c r="H257" s="15"/>
      <c r="I257" s="15"/>
      <c r="J257" s="15"/>
      <c r="K257" s="15"/>
      <c r="L257" s="15"/>
      <c r="M257" s="15"/>
      <c r="N257" s="15"/>
      <c r="O257" s="15"/>
    </row>
    <row r="258" spans="2:15" ht="13.8">
      <c r="B258" s="11"/>
      <c r="C258" s="15"/>
      <c r="D258" s="15"/>
      <c r="E258" s="15"/>
      <c r="F258" s="15"/>
      <c r="G258" s="15"/>
      <c r="H258" s="15"/>
      <c r="I258" s="15"/>
      <c r="J258" s="15"/>
      <c r="K258" s="15"/>
      <c r="L258" s="15"/>
      <c r="M258" s="15"/>
      <c r="N258" s="15"/>
      <c r="O258" s="15"/>
    </row>
    <row r="259" spans="2:15" ht="13.8">
      <c r="B259" s="11"/>
      <c r="C259" s="15"/>
      <c r="D259" s="15"/>
      <c r="E259" s="15"/>
      <c r="F259" s="15"/>
      <c r="G259" s="15"/>
      <c r="H259" s="15"/>
      <c r="I259" s="15"/>
      <c r="J259" s="15"/>
      <c r="K259" s="15"/>
      <c r="L259" s="15"/>
      <c r="M259" s="15"/>
      <c r="N259" s="15"/>
      <c r="O259" s="15"/>
    </row>
    <row r="260" spans="2:15" ht="13.8">
      <c r="B260" s="12"/>
      <c r="C260" s="15"/>
      <c r="D260" s="15"/>
      <c r="E260" s="15"/>
      <c r="F260" s="15"/>
      <c r="G260" s="15"/>
      <c r="H260" s="15"/>
      <c r="I260" s="15"/>
      <c r="J260" s="15"/>
      <c r="K260" s="15"/>
      <c r="L260" s="15"/>
      <c r="M260" s="15"/>
      <c r="N260" s="15"/>
      <c r="O260" s="15"/>
    </row>
    <row r="261" spans="2:15" ht="13.8">
      <c r="B261" s="9"/>
      <c r="C261" s="15"/>
      <c r="D261" s="15"/>
      <c r="E261" s="15"/>
      <c r="F261" s="15"/>
      <c r="G261" s="15"/>
      <c r="H261" s="15"/>
      <c r="I261" s="15"/>
      <c r="J261" s="15"/>
      <c r="K261" s="15"/>
      <c r="L261" s="15"/>
      <c r="M261" s="15"/>
      <c r="N261" s="15"/>
      <c r="O261" s="15"/>
    </row>
    <row r="262" spans="2:15" ht="13.8">
      <c r="B262" s="21"/>
      <c r="C262" s="15"/>
      <c r="D262" s="15"/>
      <c r="E262" s="15"/>
      <c r="F262" s="15"/>
      <c r="G262" s="15"/>
      <c r="H262" s="15"/>
      <c r="I262" s="15"/>
      <c r="J262" s="15"/>
      <c r="K262" s="15"/>
      <c r="L262" s="15"/>
      <c r="M262" s="15"/>
      <c r="N262" s="15"/>
      <c r="O262" s="15"/>
    </row>
    <row r="263" spans="2:15" ht="13.8">
      <c r="B263" s="11"/>
      <c r="C263" s="15"/>
      <c r="D263" s="15"/>
      <c r="E263" s="15"/>
      <c r="F263" s="15"/>
      <c r="G263" s="15"/>
      <c r="H263" s="15"/>
      <c r="I263" s="15"/>
      <c r="J263" s="15"/>
      <c r="K263" s="15"/>
      <c r="L263" s="15"/>
      <c r="M263" s="15"/>
      <c r="N263" s="15"/>
      <c r="O263" s="15"/>
    </row>
    <row r="264" spans="2:15" ht="13.8">
      <c r="B264" s="11"/>
      <c r="C264" s="15"/>
      <c r="D264" s="15"/>
      <c r="E264" s="15"/>
      <c r="F264" s="15"/>
      <c r="G264" s="15"/>
      <c r="H264" s="15"/>
      <c r="I264" s="15"/>
      <c r="J264" s="15"/>
      <c r="K264" s="15"/>
      <c r="L264" s="15"/>
      <c r="M264" s="15"/>
      <c r="N264" s="15"/>
      <c r="O264" s="15"/>
    </row>
    <row r="265" spans="2:15" ht="13.8">
      <c r="B265" s="11"/>
      <c r="C265" s="15"/>
      <c r="D265" s="15"/>
      <c r="E265" s="15"/>
      <c r="F265" s="15"/>
      <c r="G265" s="15"/>
      <c r="H265" s="15"/>
      <c r="I265" s="15"/>
      <c r="J265" s="15"/>
      <c r="K265" s="15"/>
      <c r="L265" s="15"/>
      <c r="M265" s="15"/>
      <c r="N265" s="15"/>
      <c r="O265" s="15"/>
    </row>
    <row r="266" spans="2:15" ht="13.8">
      <c r="B266" s="12"/>
      <c r="C266" s="15"/>
      <c r="D266" s="15"/>
      <c r="E266" s="15"/>
      <c r="F266" s="15"/>
      <c r="G266" s="15"/>
      <c r="H266" s="15"/>
      <c r="I266" s="15"/>
      <c r="J266" s="15"/>
      <c r="K266" s="15"/>
      <c r="L266" s="15"/>
      <c r="M266" s="15"/>
      <c r="N266" s="15"/>
      <c r="O266" s="15"/>
    </row>
    <row r="267" spans="2:15" ht="13.8">
      <c r="B267" s="12"/>
      <c r="C267" s="15"/>
      <c r="D267" s="15"/>
      <c r="E267" s="15"/>
      <c r="F267" s="15"/>
      <c r="G267" s="15"/>
      <c r="H267" s="15"/>
      <c r="I267" s="15"/>
      <c r="J267" s="15"/>
      <c r="K267" s="15"/>
      <c r="L267" s="15"/>
      <c r="M267" s="15"/>
      <c r="N267" s="15"/>
      <c r="O267" s="15"/>
    </row>
    <row r="268" spans="2:15" ht="13.8">
      <c r="B268" s="13"/>
      <c r="C268" s="15"/>
      <c r="D268" s="15"/>
      <c r="E268" s="15"/>
      <c r="F268" s="15"/>
      <c r="G268" s="15"/>
      <c r="H268" s="15"/>
      <c r="I268" s="15"/>
      <c r="J268" s="15"/>
      <c r="K268" s="15"/>
      <c r="L268" s="15"/>
      <c r="M268" s="15"/>
      <c r="N268" s="15"/>
      <c r="O268" s="15"/>
    </row>
    <row r="269" spans="2:15" ht="13.8">
      <c r="B269" s="13"/>
      <c r="C269" s="15"/>
      <c r="D269" s="15"/>
      <c r="E269" s="15"/>
      <c r="F269" s="15"/>
      <c r="G269" s="15"/>
      <c r="H269" s="15"/>
      <c r="I269" s="15"/>
      <c r="J269" s="15"/>
      <c r="K269" s="15"/>
      <c r="L269" s="15"/>
      <c r="M269" s="15"/>
      <c r="N269" s="15"/>
      <c r="O269" s="15"/>
    </row>
    <row r="270" spans="2:15" ht="13.8">
      <c r="B270" s="21"/>
      <c r="C270" s="15"/>
      <c r="D270" s="15"/>
      <c r="E270" s="15"/>
      <c r="F270" s="15"/>
      <c r="G270" s="15"/>
      <c r="H270" s="15"/>
      <c r="I270" s="15"/>
      <c r="J270" s="15"/>
      <c r="K270" s="15"/>
      <c r="L270" s="15"/>
      <c r="M270" s="15"/>
      <c r="N270" s="15"/>
      <c r="O270" s="15"/>
    </row>
    <row r="271" spans="2:15" ht="13.8">
      <c r="B271" s="14"/>
      <c r="C271" s="15"/>
      <c r="D271" s="15"/>
      <c r="E271" s="15"/>
      <c r="F271" s="15"/>
      <c r="G271" s="15"/>
      <c r="H271" s="15"/>
      <c r="I271" s="15"/>
      <c r="J271" s="15"/>
      <c r="K271" s="15"/>
      <c r="L271" s="15"/>
      <c r="M271" s="15"/>
      <c r="N271" s="15"/>
      <c r="O271" s="15"/>
    </row>
    <row r="272" spans="2:15" ht="13.8">
      <c r="B272" s="14"/>
      <c r="C272" s="15"/>
      <c r="D272" s="15"/>
      <c r="E272" s="15"/>
      <c r="F272" s="15"/>
      <c r="G272" s="15"/>
      <c r="H272" s="15"/>
      <c r="I272" s="15"/>
      <c r="J272" s="15"/>
      <c r="K272" s="15"/>
      <c r="L272" s="15"/>
      <c r="M272" s="15"/>
      <c r="N272" s="15"/>
      <c r="O272" s="15"/>
    </row>
    <row r="273" spans="2:15" ht="13.8">
      <c r="B273" s="9"/>
      <c r="C273" s="15"/>
      <c r="D273" s="15"/>
      <c r="E273" s="15"/>
      <c r="F273" s="15"/>
      <c r="G273" s="15"/>
      <c r="H273" s="15"/>
      <c r="I273" s="15"/>
      <c r="J273" s="15"/>
      <c r="K273" s="15"/>
      <c r="L273" s="15"/>
      <c r="M273" s="15"/>
      <c r="N273" s="15"/>
      <c r="O273" s="15"/>
    </row>
    <row r="274" spans="2:15" ht="13.8">
      <c r="B274" s="9"/>
      <c r="C274" s="15"/>
      <c r="D274" s="15"/>
      <c r="E274" s="15"/>
      <c r="F274" s="15"/>
      <c r="G274" s="15"/>
      <c r="H274" s="15"/>
      <c r="I274" s="15"/>
      <c r="J274" s="15"/>
      <c r="K274" s="15"/>
      <c r="L274" s="15"/>
      <c r="M274" s="15"/>
      <c r="N274" s="15"/>
      <c r="O274" s="15"/>
    </row>
    <row r="275" spans="2:15" ht="13.8">
      <c r="B275" s="9"/>
      <c r="C275" s="15"/>
      <c r="D275" s="15"/>
      <c r="E275" s="15"/>
      <c r="F275" s="15"/>
      <c r="G275" s="15"/>
      <c r="H275" s="15"/>
      <c r="I275" s="15"/>
      <c r="J275" s="15"/>
      <c r="K275" s="15"/>
      <c r="L275" s="15"/>
      <c r="M275" s="15"/>
      <c r="N275" s="15"/>
      <c r="O275" s="15"/>
    </row>
    <row r="276" spans="2:15" ht="13.8">
      <c r="B276" s="9"/>
      <c r="C276" s="15"/>
      <c r="D276" s="15"/>
      <c r="E276" s="15"/>
      <c r="F276" s="15"/>
      <c r="G276" s="15"/>
      <c r="H276" s="15"/>
      <c r="I276" s="15"/>
      <c r="J276" s="15"/>
      <c r="K276" s="15"/>
      <c r="L276" s="15"/>
      <c r="M276" s="15"/>
      <c r="N276" s="15"/>
      <c r="O276" s="15"/>
    </row>
    <row r="277" spans="2:15" ht="13.8">
      <c r="B277" s="9"/>
      <c r="C277" s="15"/>
      <c r="D277" s="15"/>
      <c r="E277" s="15"/>
      <c r="F277" s="15"/>
      <c r="G277" s="15"/>
      <c r="H277" s="15"/>
      <c r="I277" s="15"/>
      <c r="J277" s="15"/>
      <c r="K277" s="15"/>
      <c r="L277" s="15"/>
      <c r="M277" s="15"/>
      <c r="N277" s="15"/>
      <c r="O277" s="15"/>
    </row>
    <row r="278" spans="2:15" ht="13.8">
      <c r="B278" s="9"/>
      <c r="C278" s="15"/>
      <c r="D278" s="15"/>
      <c r="E278" s="15"/>
      <c r="F278" s="15"/>
      <c r="G278" s="15"/>
      <c r="H278" s="15"/>
      <c r="I278" s="15"/>
      <c r="J278" s="15"/>
      <c r="K278" s="15"/>
      <c r="L278" s="15"/>
      <c r="M278" s="15"/>
      <c r="N278" s="15"/>
      <c r="O278" s="15"/>
    </row>
    <row r="279" spans="2:15" ht="13.8">
      <c r="B279" s="9"/>
      <c r="C279" s="15"/>
      <c r="D279" s="15"/>
      <c r="E279" s="15"/>
      <c r="F279" s="15"/>
      <c r="G279" s="15"/>
      <c r="H279" s="15"/>
      <c r="I279" s="15"/>
      <c r="J279" s="15"/>
      <c r="K279" s="15"/>
      <c r="L279" s="15"/>
      <c r="M279" s="15"/>
      <c r="N279" s="15"/>
      <c r="O279" s="15"/>
    </row>
    <row r="280" spans="2:15" ht="13.8">
      <c r="B280" s="9"/>
      <c r="C280" s="15"/>
      <c r="D280" s="15"/>
      <c r="E280" s="15"/>
      <c r="F280" s="15"/>
      <c r="G280" s="15"/>
      <c r="H280" s="15"/>
      <c r="I280" s="15"/>
      <c r="J280" s="15"/>
      <c r="K280" s="15"/>
      <c r="L280" s="15"/>
      <c r="M280" s="15"/>
      <c r="N280" s="15"/>
      <c r="O280" s="15"/>
    </row>
    <row r="281" spans="2:15" ht="13.8">
      <c r="B281" s="9"/>
      <c r="C281" s="15"/>
      <c r="D281" s="15"/>
      <c r="E281" s="15"/>
      <c r="F281" s="15"/>
      <c r="G281" s="15"/>
      <c r="H281" s="15"/>
      <c r="I281" s="15"/>
      <c r="J281" s="15"/>
      <c r="K281" s="15"/>
      <c r="L281" s="15"/>
      <c r="M281" s="15"/>
      <c r="N281" s="15"/>
      <c r="O281" s="15"/>
    </row>
    <row r="282" spans="2:15" ht="13.8">
      <c r="B282" s="9"/>
      <c r="C282" s="15"/>
      <c r="D282" s="15"/>
      <c r="E282" s="15"/>
      <c r="F282" s="15"/>
      <c r="G282" s="15"/>
      <c r="H282" s="15"/>
      <c r="I282" s="15"/>
      <c r="J282" s="15"/>
      <c r="K282" s="15"/>
      <c r="L282" s="15"/>
      <c r="M282" s="15"/>
      <c r="N282" s="15"/>
      <c r="O282" s="15"/>
    </row>
    <row r="285" spans="2:15" ht="17.399999999999999">
      <c r="B285" s="682"/>
      <c r="C285" s="682"/>
      <c r="D285" s="682"/>
      <c r="E285" s="682"/>
      <c r="F285" s="682"/>
      <c r="G285" s="682"/>
      <c r="H285" s="682"/>
      <c r="I285" s="682"/>
      <c r="J285" s="682"/>
      <c r="K285" s="682"/>
      <c r="L285" s="682"/>
      <c r="M285" s="682"/>
      <c r="N285" s="682"/>
      <c r="O285"/>
    </row>
    <row r="286" spans="2:15" ht="13.8">
      <c r="B286" s="10"/>
      <c r="C286" s="15"/>
      <c r="D286" s="15"/>
      <c r="E286" s="15"/>
      <c r="F286" s="15"/>
      <c r="G286" s="15"/>
      <c r="H286" s="15"/>
      <c r="I286" s="15"/>
      <c r="J286" s="15"/>
      <c r="K286" s="15"/>
      <c r="L286" s="15"/>
      <c r="M286" s="15"/>
      <c r="N286" s="15"/>
      <c r="O286" s="15"/>
    </row>
    <row r="287" spans="2:15">
      <c r="B287" s="683"/>
      <c r="C287" s="683"/>
      <c r="D287" s="683"/>
      <c r="E287" s="683"/>
      <c r="F287" s="683"/>
      <c r="G287" s="683"/>
      <c r="H287" s="683"/>
      <c r="I287" s="683"/>
      <c r="J287" s="683"/>
      <c r="K287" s="683"/>
      <c r="L287" s="683"/>
      <c r="M287" s="683"/>
      <c r="N287" s="683"/>
      <c r="O287"/>
    </row>
    <row r="288" spans="2:15" ht="20.25" customHeight="1">
      <c r="B288" s="683"/>
      <c r="C288" s="683"/>
      <c r="D288" s="683"/>
      <c r="E288" s="683"/>
      <c r="F288" s="683"/>
      <c r="G288" s="683"/>
      <c r="H288" s="683"/>
      <c r="I288" s="683"/>
      <c r="J288" s="683"/>
      <c r="K288" s="683"/>
      <c r="L288" s="683"/>
      <c r="M288" s="683"/>
      <c r="N288" s="683"/>
      <c r="O288"/>
    </row>
    <row r="289" spans="2:15" ht="13.8">
      <c r="B289" s="19"/>
      <c r="C289" s="16"/>
      <c r="D289" s="16"/>
      <c r="E289" s="16"/>
      <c r="F289" s="16"/>
      <c r="G289" s="16"/>
      <c r="H289" s="16"/>
      <c r="I289" s="16"/>
      <c r="J289" s="16"/>
      <c r="K289" s="16"/>
      <c r="L289" s="16"/>
      <c r="M289" s="16"/>
      <c r="N289" s="16"/>
      <c r="O289" s="16"/>
    </row>
    <row r="290" spans="2:15" ht="13.8">
      <c r="B290" s="4"/>
      <c r="C290" s="15"/>
      <c r="D290" s="17"/>
      <c r="E290" s="17"/>
      <c r="F290" s="15"/>
      <c r="G290" s="17"/>
      <c r="H290" s="17"/>
      <c r="I290" s="17"/>
      <c r="J290" s="15"/>
      <c r="K290" s="15"/>
      <c r="L290" s="15"/>
      <c r="M290" s="15"/>
      <c r="N290" s="15"/>
      <c r="O290" s="15"/>
    </row>
    <row r="291" spans="2:15" ht="13.8">
      <c r="B291" s="10"/>
      <c r="C291" s="17"/>
      <c r="D291" s="17"/>
      <c r="E291" s="17"/>
      <c r="F291" s="17"/>
      <c r="G291" s="17"/>
      <c r="H291" s="17"/>
      <c r="I291" s="17"/>
      <c r="J291" s="17"/>
      <c r="K291" s="17"/>
      <c r="L291" s="17"/>
      <c r="M291" s="17"/>
      <c r="N291" s="17"/>
      <c r="O291" s="17"/>
    </row>
    <row r="292" spans="2:15" ht="13.8">
      <c r="B292" s="9"/>
      <c r="C292" s="17"/>
      <c r="D292" s="17"/>
      <c r="E292" s="17"/>
      <c r="F292" s="20"/>
      <c r="G292" s="20"/>
      <c r="H292" s="20"/>
      <c r="I292" s="20"/>
      <c r="J292" s="20"/>
      <c r="K292" s="20"/>
      <c r="L292" s="20"/>
      <c r="M292" s="20"/>
      <c r="N292" s="20"/>
      <c r="O292" s="20"/>
    </row>
    <row r="293" spans="2:15" ht="13.8">
      <c r="B293" s="9"/>
      <c r="C293" s="17"/>
      <c r="D293" s="15"/>
      <c r="E293" s="15"/>
      <c r="F293" s="15"/>
      <c r="G293" s="15"/>
      <c r="H293" s="15"/>
      <c r="I293" s="15"/>
      <c r="J293" s="15"/>
      <c r="K293" s="15"/>
      <c r="L293" s="15"/>
      <c r="M293" s="15"/>
      <c r="N293" s="15"/>
      <c r="O293" s="15"/>
    </row>
    <row r="294" spans="2:15" ht="13.8">
      <c r="B294" s="21"/>
      <c r="C294" s="15"/>
      <c r="D294" s="15"/>
      <c r="E294" s="15"/>
      <c r="F294" s="15"/>
      <c r="G294" s="15"/>
      <c r="H294" s="15"/>
      <c r="I294" s="15"/>
      <c r="J294" s="15"/>
      <c r="K294" s="15"/>
      <c r="L294" s="15"/>
      <c r="M294" s="15"/>
      <c r="N294" s="15"/>
      <c r="O294" s="15"/>
    </row>
    <row r="295" spans="2:15" ht="13.8">
      <c r="B295" s="22"/>
      <c r="C295" s="15"/>
      <c r="D295" s="15"/>
      <c r="E295" s="15"/>
      <c r="F295" s="15"/>
      <c r="G295" s="15"/>
      <c r="H295" s="15"/>
      <c r="I295" s="15"/>
      <c r="J295" s="15"/>
      <c r="K295" s="15"/>
      <c r="L295" s="15"/>
      <c r="M295" s="15"/>
      <c r="N295" s="15"/>
      <c r="O295" s="15"/>
    </row>
    <row r="296" spans="2:15" ht="13.8">
      <c r="B296" s="22"/>
      <c r="C296" s="15"/>
      <c r="D296" s="15"/>
      <c r="E296" s="15"/>
      <c r="F296" s="15"/>
      <c r="G296" s="15"/>
      <c r="H296" s="15"/>
      <c r="I296" s="15"/>
      <c r="J296" s="15"/>
      <c r="K296" s="15"/>
      <c r="L296" s="15"/>
      <c r="M296" s="15"/>
      <c r="N296" s="15"/>
      <c r="O296" s="15"/>
    </row>
    <row r="297" spans="2:15" ht="13.8">
      <c r="B297" s="11"/>
      <c r="C297" s="15"/>
      <c r="D297" s="15"/>
      <c r="E297" s="15"/>
      <c r="F297" s="15"/>
      <c r="G297" s="15"/>
      <c r="H297" s="15"/>
      <c r="I297" s="15"/>
      <c r="J297" s="15"/>
      <c r="K297" s="15"/>
      <c r="L297" s="15"/>
      <c r="M297" s="15"/>
      <c r="N297" s="15"/>
      <c r="O297" s="15"/>
    </row>
    <row r="298" spans="2:15" ht="13.8">
      <c r="B298" s="11"/>
      <c r="C298" s="15"/>
      <c r="D298" s="15"/>
      <c r="E298" s="15"/>
      <c r="F298" s="15"/>
      <c r="G298" s="15"/>
      <c r="H298" s="15"/>
      <c r="I298" s="15"/>
      <c r="J298" s="15"/>
      <c r="K298" s="15"/>
      <c r="L298" s="15"/>
      <c r="M298" s="15"/>
      <c r="N298" s="15"/>
      <c r="O298" s="15"/>
    </row>
    <row r="299" spans="2:15" ht="13.8">
      <c r="B299" s="12"/>
      <c r="C299" s="15"/>
      <c r="D299" s="15"/>
      <c r="E299" s="15"/>
      <c r="F299" s="15"/>
      <c r="G299" s="15"/>
      <c r="H299" s="15"/>
      <c r="I299" s="15"/>
      <c r="J299" s="15"/>
      <c r="K299" s="15"/>
      <c r="L299" s="15"/>
      <c r="M299" s="15"/>
      <c r="N299" s="15"/>
      <c r="O299" s="15"/>
    </row>
    <row r="300" spans="2:15" ht="13.8">
      <c r="B300" s="9"/>
      <c r="C300" s="15"/>
      <c r="D300" s="15"/>
      <c r="E300" s="15"/>
      <c r="F300" s="15"/>
      <c r="G300" s="15"/>
      <c r="H300" s="15"/>
      <c r="I300" s="15"/>
      <c r="J300" s="15"/>
      <c r="K300" s="15"/>
      <c r="L300" s="15"/>
      <c r="M300" s="15"/>
      <c r="N300" s="15"/>
      <c r="O300" s="15"/>
    </row>
    <row r="301" spans="2:15" ht="13.8">
      <c r="B301" s="21"/>
      <c r="C301" s="15"/>
      <c r="D301" s="15"/>
      <c r="E301" s="15"/>
      <c r="F301" s="15"/>
      <c r="G301" s="15"/>
      <c r="H301" s="15"/>
      <c r="I301" s="15"/>
      <c r="J301" s="15"/>
      <c r="K301" s="15"/>
      <c r="L301" s="15"/>
      <c r="M301" s="15"/>
      <c r="N301" s="15"/>
      <c r="O301" s="15"/>
    </row>
    <row r="302" spans="2:15" ht="13.8">
      <c r="B302" s="11"/>
      <c r="C302" s="15"/>
      <c r="D302" s="15"/>
      <c r="E302" s="15"/>
      <c r="F302" s="15"/>
      <c r="G302" s="15"/>
      <c r="H302" s="15"/>
      <c r="I302" s="15"/>
      <c r="J302" s="15"/>
      <c r="K302" s="15"/>
      <c r="L302" s="15"/>
      <c r="M302" s="15"/>
      <c r="N302" s="15"/>
      <c r="O302" s="15"/>
    </row>
    <row r="303" spans="2:15" ht="13.8">
      <c r="B303" s="11"/>
      <c r="C303" s="15"/>
      <c r="D303" s="15"/>
      <c r="E303" s="15"/>
      <c r="F303" s="15"/>
      <c r="G303" s="15"/>
      <c r="H303" s="15"/>
      <c r="I303" s="15"/>
      <c r="J303" s="15"/>
      <c r="K303" s="15"/>
      <c r="L303" s="15"/>
      <c r="M303" s="15"/>
      <c r="N303" s="15"/>
      <c r="O303" s="15"/>
    </row>
    <row r="304" spans="2:15" ht="13.8">
      <c r="B304" s="12"/>
      <c r="C304" s="15"/>
      <c r="D304" s="15"/>
      <c r="E304" s="15"/>
      <c r="F304" s="15"/>
      <c r="G304" s="15"/>
      <c r="H304" s="15"/>
      <c r="I304" s="15"/>
      <c r="J304" s="15"/>
      <c r="K304" s="15"/>
      <c r="L304" s="15"/>
      <c r="M304" s="15"/>
      <c r="N304" s="15"/>
      <c r="O304" s="15"/>
    </row>
    <row r="305" spans="2:15" ht="13.8">
      <c r="B305" s="12"/>
      <c r="C305" s="15"/>
      <c r="D305" s="15"/>
      <c r="E305" s="15"/>
      <c r="F305" s="15"/>
      <c r="G305" s="15"/>
      <c r="H305" s="15"/>
      <c r="I305" s="15"/>
      <c r="J305" s="15"/>
      <c r="K305" s="15"/>
      <c r="L305" s="15"/>
      <c r="M305" s="15"/>
      <c r="N305" s="15"/>
      <c r="O305" s="15"/>
    </row>
    <row r="306" spans="2:15" ht="13.8">
      <c r="B306" s="13"/>
      <c r="C306" s="15"/>
      <c r="D306" s="15"/>
      <c r="E306" s="15"/>
      <c r="F306" s="15"/>
      <c r="G306" s="15"/>
      <c r="H306" s="15"/>
      <c r="I306" s="15"/>
      <c r="J306" s="15"/>
      <c r="K306" s="15"/>
      <c r="L306" s="15"/>
      <c r="M306" s="15"/>
      <c r="N306" s="15"/>
      <c r="O306" s="15"/>
    </row>
    <row r="307" spans="2:15" ht="13.8">
      <c r="B307" s="13"/>
      <c r="C307" s="15"/>
      <c r="D307" s="15"/>
      <c r="E307" s="15"/>
      <c r="F307" s="15"/>
      <c r="G307" s="15"/>
      <c r="H307" s="15"/>
      <c r="I307" s="15"/>
      <c r="J307" s="15"/>
      <c r="K307" s="15"/>
      <c r="L307" s="15"/>
      <c r="M307" s="15"/>
      <c r="N307" s="15"/>
      <c r="O307" s="15"/>
    </row>
    <row r="308" spans="2:15" ht="13.8">
      <c r="B308" s="21"/>
      <c r="C308" s="15"/>
      <c r="D308" s="15"/>
      <c r="E308" s="15"/>
      <c r="F308" s="15"/>
      <c r="G308" s="15"/>
      <c r="H308" s="15"/>
      <c r="I308" s="15"/>
      <c r="J308" s="15"/>
      <c r="K308" s="15"/>
      <c r="L308" s="15"/>
      <c r="M308" s="15"/>
      <c r="N308" s="15"/>
      <c r="O308" s="15"/>
    </row>
    <row r="309" spans="2:15" ht="13.8">
      <c r="B309" s="14"/>
      <c r="C309" s="15"/>
      <c r="D309" s="15"/>
      <c r="E309" s="15"/>
      <c r="F309" s="15"/>
      <c r="G309" s="15"/>
      <c r="H309" s="15"/>
      <c r="I309" s="15"/>
      <c r="J309" s="15"/>
      <c r="K309" s="15"/>
      <c r="L309" s="15"/>
      <c r="M309" s="15"/>
      <c r="N309" s="15"/>
      <c r="O309" s="15"/>
    </row>
    <row r="310" spans="2:15" ht="13.8">
      <c r="B310" s="14"/>
      <c r="C310" s="15"/>
      <c r="D310" s="15"/>
      <c r="E310" s="15"/>
      <c r="F310" s="15"/>
      <c r="G310" s="15"/>
      <c r="H310" s="15"/>
      <c r="I310" s="15"/>
      <c r="J310" s="15"/>
      <c r="K310" s="15"/>
      <c r="L310" s="15"/>
      <c r="M310" s="15"/>
      <c r="N310" s="15"/>
      <c r="O310" s="15"/>
    </row>
    <row r="311" spans="2:15" ht="13.8">
      <c r="B311" s="9"/>
      <c r="C311" s="15"/>
      <c r="D311" s="15"/>
      <c r="E311" s="15"/>
      <c r="F311" s="15"/>
      <c r="G311" s="15"/>
      <c r="H311" s="15"/>
      <c r="I311" s="15"/>
      <c r="J311" s="15"/>
      <c r="K311" s="15"/>
      <c r="L311" s="15"/>
      <c r="M311" s="15"/>
      <c r="N311" s="15"/>
      <c r="O311" s="15"/>
    </row>
    <row r="312" spans="2:15" ht="13.8">
      <c r="B312" s="9"/>
      <c r="C312" s="15"/>
      <c r="D312" s="15"/>
      <c r="E312" s="15"/>
      <c r="F312" s="15"/>
      <c r="G312" s="15"/>
      <c r="H312" s="15"/>
      <c r="I312" s="15"/>
      <c r="J312" s="15"/>
      <c r="K312" s="15"/>
      <c r="L312" s="15"/>
      <c r="M312" s="15"/>
      <c r="N312" s="15"/>
      <c r="O312" s="15"/>
    </row>
    <row r="313" spans="2:15" ht="13.8">
      <c r="B313" s="9"/>
      <c r="C313" s="15"/>
      <c r="D313" s="15"/>
      <c r="E313" s="15"/>
      <c r="F313" s="15"/>
      <c r="G313" s="15"/>
      <c r="H313" s="15"/>
      <c r="I313" s="15"/>
      <c r="J313" s="15"/>
      <c r="K313" s="15"/>
      <c r="L313" s="15"/>
      <c r="M313" s="15"/>
      <c r="N313" s="15"/>
      <c r="O313" s="15"/>
    </row>
    <row r="314" spans="2:15" ht="13.8">
      <c r="B314" s="9"/>
      <c r="C314" s="15"/>
      <c r="D314" s="15"/>
      <c r="E314" s="15"/>
      <c r="F314" s="15"/>
      <c r="G314" s="15"/>
      <c r="H314" s="15"/>
      <c r="I314" s="15"/>
      <c r="J314" s="15"/>
      <c r="K314" s="15"/>
      <c r="L314" s="15"/>
      <c r="M314" s="15"/>
      <c r="N314" s="15"/>
      <c r="O314" s="15"/>
    </row>
    <row r="315" spans="2:15" ht="13.8">
      <c r="B315" s="9"/>
      <c r="C315" s="15"/>
      <c r="D315" s="15"/>
      <c r="E315" s="15"/>
      <c r="F315" s="15"/>
      <c r="G315" s="15"/>
      <c r="H315" s="15"/>
      <c r="I315" s="15"/>
      <c r="J315" s="15"/>
      <c r="K315" s="15"/>
      <c r="L315" s="15"/>
      <c r="M315" s="15"/>
      <c r="N315" s="15"/>
      <c r="O315" s="15"/>
    </row>
    <row r="316" spans="2:15" ht="13.8">
      <c r="B316" s="9"/>
      <c r="C316" s="15"/>
      <c r="D316" s="15"/>
      <c r="E316" s="15"/>
      <c r="F316" s="15"/>
      <c r="G316" s="15"/>
      <c r="H316" s="15"/>
      <c r="I316" s="15"/>
      <c r="J316" s="15"/>
      <c r="K316" s="15"/>
      <c r="L316" s="15"/>
      <c r="M316" s="15"/>
      <c r="N316" s="15"/>
      <c r="O316" s="15"/>
    </row>
    <row r="317" spans="2:15" ht="13.8">
      <c r="B317" s="9"/>
      <c r="C317" s="15"/>
      <c r="D317" s="15"/>
      <c r="E317" s="15"/>
      <c r="F317" s="15"/>
      <c r="G317" s="15"/>
      <c r="H317" s="15"/>
      <c r="I317" s="15"/>
      <c r="J317" s="15"/>
      <c r="K317" s="15"/>
      <c r="L317" s="15"/>
      <c r="M317" s="15"/>
      <c r="N317" s="15"/>
      <c r="O317" s="15"/>
    </row>
    <row r="318" spans="2:15" ht="13.8">
      <c r="B318" s="9"/>
      <c r="C318" s="15"/>
      <c r="D318" s="15"/>
      <c r="E318" s="15"/>
      <c r="F318" s="15"/>
      <c r="G318" s="15"/>
      <c r="H318" s="15"/>
      <c r="I318" s="15"/>
      <c r="J318" s="15"/>
      <c r="K318" s="15"/>
      <c r="L318" s="15"/>
      <c r="M318" s="15"/>
      <c r="N318" s="15"/>
      <c r="O318" s="15"/>
    </row>
    <row r="319" spans="2:15" ht="13.8">
      <c r="B319" s="9"/>
      <c r="C319" s="15"/>
      <c r="D319" s="15"/>
      <c r="E319" s="15"/>
      <c r="F319" s="15"/>
      <c r="G319" s="15"/>
      <c r="H319" s="15"/>
      <c r="I319" s="15"/>
      <c r="J319" s="15"/>
      <c r="K319" s="15"/>
      <c r="L319" s="15"/>
      <c r="M319" s="15"/>
      <c r="N319" s="15"/>
      <c r="O319" s="15"/>
    </row>
    <row r="320" spans="2:15" ht="13.8">
      <c r="B320" s="9"/>
      <c r="C320" s="15"/>
      <c r="D320" s="15"/>
      <c r="E320" s="15"/>
      <c r="F320" s="15"/>
      <c r="G320" s="15"/>
      <c r="H320" s="15"/>
      <c r="I320" s="15"/>
      <c r="J320" s="15"/>
      <c r="K320" s="15"/>
      <c r="L320" s="15"/>
      <c r="M320" s="15"/>
      <c r="N320" s="15"/>
      <c r="O320" s="15"/>
    </row>
    <row r="323" spans="2:15" ht="17.399999999999999">
      <c r="B323" s="682"/>
      <c r="C323" s="682"/>
      <c r="D323" s="682"/>
      <c r="E323" s="682"/>
      <c r="F323" s="682"/>
      <c r="G323" s="682"/>
      <c r="H323" s="682"/>
      <c r="I323" s="682"/>
      <c r="J323" s="682"/>
      <c r="K323" s="682"/>
      <c r="L323" s="682"/>
      <c r="M323" s="682"/>
      <c r="N323" s="682"/>
      <c r="O323"/>
    </row>
    <row r="324" spans="2:15" ht="13.8">
      <c r="B324" s="10"/>
      <c r="C324" s="15"/>
      <c r="D324" s="15"/>
      <c r="E324" s="15"/>
      <c r="F324" s="15"/>
      <c r="G324" s="15"/>
      <c r="H324" s="15"/>
      <c r="I324" s="15"/>
      <c r="J324" s="15"/>
      <c r="K324" s="15"/>
      <c r="L324" s="15"/>
      <c r="M324" s="15"/>
      <c r="N324" s="15"/>
      <c r="O324" s="15"/>
    </row>
    <row r="325" spans="2:15">
      <c r="B325" s="683"/>
      <c r="C325" s="683"/>
      <c r="D325" s="683"/>
      <c r="E325" s="683"/>
      <c r="F325" s="683"/>
      <c r="G325" s="683"/>
      <c r="H325" s="683"/>
      <c r="I325" s="683"/>
      <c r="J325" s="683"/>
      <c r="K325" s="683"/>
      <c r="L325" s="683"/>
      <c r="M325" s="683"/>
      <c r="N325" s="683"/>
      <c r="O325"/>
    </row>
    <row r="326" spans="2:15" ht="18" customHeight="1">
      <c r="B326" s="683"/>
      <c r="C326" s="683"/>
      <c r="D326" s="683"/>
      <c r="E326" s="683"/>
      <c r="F326" s="683"/>
      <c r="G326" s="683"/>
      <c r="H326" s="683"/>
      <c r="I326" s="683"/>
      <c r="J326" s="683"/>
      <c r="K326" s="683"/>
      <c r="L326" s="683"/>
      <c r="M326" s="683"/>
      <c r="N326" s="683"/>
      <c r="O326"/>
    </row>
    <row r="327" spans="2:15" ht="13.8">
      <c r="B327" s="19"/>
      <c r="C327" s="16"/>
      <c r="D327" s="16"/>
      <c r="E327" s="16"/>
      <c r="F327" s="16"/>
      <c r="G327" s="15"/>
      <c r="H327" s="15"/>
      <c r="I327" s="15"/>
      <c r="J327" s="15"/>
      <c r="K327" s="15"/>
      <c r="L327" s="15"/>
      <c r="M327" s="15"/>
      <c r="N327" s="15"/>
      <c r="O327" s="15"/>
    </row>
    <row r="328" spans="2:15" ht="13.8">
      <c r="B328" s="4"/>
      <c r="C328" s="15"/>
      <c r="D328" s="17"/>
      <c r="E328" s="17"/>
      <c r="F328" s="15"/>
      <c r="G328" s="17"/>
      <c r="H328" s="17"/>
      <c r="I328" s="17"/>
      <c r="J328" s="15"/>
      <c r="K328" s="15"/>
      <c r="L328" s="15"/>
      <c r="M328" s="15"/>
      <c r="N328" s="15"/>
      <c r="O328" s="15"/>
    </row>
    <row r="329" spans="2:15" ht="13.8">
      <c r="B329" s="10"/>
      <c r="C329" s="17"/>
      <c r="D329" s="17"/>
      <c r="E329" s="17"/>
      <c r="F329" s="17"/>
      <c r="G329" s="17"/>
      <c r="H329" s="17"/>
      <c r="I329" s="17"/>
      <c r="J329" s="17"/>
      <c r="K329" s="17"/>
      <c r="L329" s="17"/>
      <c r="M329" s="17"/>
      <c r="N329" s="17"/>
      <c r="O329" s="17"/>
    </row>
    <row r="330" spans="2:15" ht="13.8">
      <c r="B330" s="9"/>
      <c r="C330" s="17"/>
      <c r="D330" s="17"/>
      <c r="E330" s="17"/>
      <c r="F330" s="20"/>
      <c r="G330" s="20"/>
      <c r="H330" s="20"/>
      <c r="I330" s="20"/>
      <c r="J330" s="20"/>
      <c r="K330" s="20"/>
      <c r="L330" s="20"/>
      <c r="M330" s="20"/>
      <c r="N330" s="20"/>
      <c r="O330" s="20"/>
    </row>
    <row r="331" spans="2:15" ht="13.8">
      <c r="B331" s="9"/>
      <c r="C331" s="17"/>
      <c r="D331" s="15"/>
      <c r="E331" s="15"/>
      <c r="F331" s="15"/>
      <c r="G331" s="15"/>
      <c r="H331" s="15"/>
      <c r="I331" s="15"/>
      <c r="J331" s="15"/>
      <c r="K331" s="15"/>
      <c r="L331" s="15"/>
      <c r="M331" s="15"/>
      <c r="N331" s="15"/>
      <c r="O331" s="15"/>
    </row>
    <row r="332" spans="2:15" ht="13.8">
      <c r="B332" s="21"/>
      <c r="C332" s="15"/>
      <c r="D332" s="15"/>
      <c r="E332" s="15"/>
      <c r="F332" s="15"/>
      <c r="G332" s="15"/>
      <c r="H332" s="15"/>
      <c r="I332" s="15"/>
      <c r="J332" s="15"/>
      <c r="K332" s="15"/>
      <c r="L332" s="15"/>
      <c r="M332" s="15"/>
      <c r="N332" s="15"/>
      <c r="O332" s="15"/>
    </row>
    <row r="333" spans="2:15" ht="13.8">
      <c r="B333" s="11"/>
      <c r="C333" s="15"/>
      <c r="D333" s="15"/>
      <c r="E333" s="15"/>
      <c r="F333" s="15"/>
      <c r="G333" s="15"/>
      <c r="H333" s="15"/>
      <c r="I333" s="15"/>
      <c r="J333" s="15"/>
      <c r="K333" s="15"/>
      <c r="L333" s="15"/>
      <c r="M333" s="15"/>
      <c r="N333" s="15"/>
      <c r="O333" s="15"/>
    </row>
    <row r="334" spans="2:15" ht="13.8">
      <c r="B334" s="11"/>
      <c r="C334" s="15"/>
      <c r="D334" s="15"/>
      <c r="E334" s="15"/>
      <c r="F334" s="15"/>
      <c r="G334" s="15"/>
      <c r="H334" s="15"/>
      <c r="I334" s="15"/>
      <c r="J334" s="15"/>
      <c r="K334" s="15"/>
      <c r="L334" s="15"/>
      <c r="M334" s="15"/>
      <c r="N334" s="15"/>
      <c r="O334" s="15"/>
    </row>
    <row r="335" spans="2:15" ht="13.8">
      <c r="B335" s="11"/>
      <c r="C335" s="15"/>
      <c r="D335" s="15"/>
      <c r="E335" s="15"/>
      <c r="F335" s="15"/>
      <c r="G335" s="15"/>
      <c r="H335" s="15"/>
      <c r="I335" s="15"/>
      <c r="J335" s="15"/>
      <c r="K335" s="15"/>
      <c r="L335" s="15"/>
      <c r="M335" s="15"/>
      <c r="N335" s="15"/>
      <c r="O335" s="15"/>
    </row>
    <row r="336" spans="2:15" ht="13.8">
      <c r="B336" s="11"/>
      <c r="C336" s="15"/>
      <c r="D336" s="15"/>
      <c r="E336" s="15"/>
      <c r="F336" s="15"/>
      <c r="G336" s="15"/>
      <c r="H336" s="15"/>
      <c r="I336" s="15"/>
      <c r="J336" s="15"/>
      <c r="K336" s="15"/>
      <c r="L336" s="15"/>
      <c r="M336" s="15"/>
      <c r="N336" s="15"/>
      <c r="O336" s="15"/>
    </row>
    <row r="337" spans="2:15" ht="13.8">
      <c r="B337" s="11"/>
      <c r="C337" s="15"/>
      <c r="D337" s="15"/>
      <c r="E337" s="15"/>
      <c r="F337" s="15"/>
      <c r="G337" s="15"/>
      <c r="H337" s="15"/>
      <c r="I337" s="15"/>
      <c r="J337" s="15"/>
      <c r="K337" s="15"/>
      <c r="L337" s="15"/>
      <c r="M337" s="15"/>
      <c r="N337" s="15"/>
      <c r="O337" s="15"/>
    </row>
    <row r="338" spans="2:15" ht="13.8">
      <c r="B338" s="11"/>
      <c r="C338" s="15"/>
      <c r="D338" s="15"/>
      <c r="E338" s="15"/>
      <c r="F338" s="15"/>
      <c r="G338" s="15"/>
      <c r="H338" s="15"/>
      <c r="I338" s="15"/>
      <c r="J338" s="15"/>
      <c r="K338" s="15"/>
      <c r="L338" s="15"/>
      <c r="M338" s="15"/>
      <c r="N338" s="15"/>
      <c r="O338" s="15"/>
    </row>
    <row r="339" spans="2:15" ht="13.8">
      <c r="B339" s="12"/>
      <c r="C339" s="15"/>
      <c r="D339" s="15"/>
      <c r="E339" s="15"/>
      <c r="F339" s="15"/>
      <c r="G339" s="15"/>
      <c r="H339" s="15"/>
      <c r="I339" s="15"/>
      <c r="J339" s="15"/>
      <c r="K339" s="15"/>
      <c r="L339" s="15"/>
      <c r="M339" s="15"/>
      <c r="N339" s="15"/>
      <c r="O339" s="15"/>
    </row>
    <row r="340" spans="2:15" ht="13.8">
      <c r="B340" s="9"/>
      <c r="C340" s="15"/>
      <c r="D340" s="15"/>
      <c r="E340" s="15"/>
      <c r="F340" s="15"/>
      <c r="G340" s="15"/>
      <c r="H340" s="15"/>
      <c r="I340" s="15"/>
      <c r="J340" s="15"/>
      <c r="K340" s="15"/>
      <c r="L340" s="15"/>
      <c r="M340" s="15"/>
      <c r="N340" s="15"/>
      <c r="O340" s="15"/>
    </row>
    <row r="341" spans="2:15" ht="13.8">
      <c r="B341" s="21"/>
      <c r="C341" s="15"/>
      <c r="D341" s="15"/>
      <c r="E341" s="15"/>
      <c r="F341" s="15"/>
      <c r="G341" s="15"/>
      <c r="H341" s="15"/>
      <c r="I341" s="15"/>
      <c r="J341" s="15"/>
      <c r="K341" s="15"/>
      <c r="L341" s="15"/>
      <c r="M341" s="15"/>
      <c r="N341" s="15"/>
      <c r="O341" s="15"/>
    </row>
    <row r="342" spans="2:15" ht="13.8">
      <c r="B342" s="11"/>
      <c r="C342" s="15"/>
      <c r="D342" s="15"/>
      <c r="E342" s="15"/>
      <c r="F342" s="15"/>
      <c r="G342" s="15"/>
      <c r="H342" s="15"/>
      <c r="I342" s="15"/>
      <c r="J342" s="15"/>
      <c r="K342" s="15"/>
      <c r="L342" s="15"/>
      <c r="M342" s="15"/>
      <c r="N342" s="15"/>
      <c r="O342" s="15"/>
    </row>
    <row r="343" spans="2:15" ht="13.8">
      <c r="B343" s="11"/>
      <c r="C343" s="15"/>
      <c r="D343" s="15"/>
      <c r="E343" s="15"/>
      <c r="F343" s="15"/>
      <c r="G343" s="15"/>
      <c r="H343" s="15"/>
      <c r="I343" s="15"/>
      <c r="J343" s="15"/>
      <c r="K343" s="15"/>
      <c r="L343" s="15"/>
      <c r="M343" s="15"/>
      <c r="N343" s="15"/>
      <c r="O343" s="15"/>
    </row>
    <row r="344" spans="2:15" ht="13.8">
      <c r="B344" s="11"/>
      <c r="C344" s="15"/>
      <c r="D344" s="15"/>
      <c r="E344" s="15"/>
      <c r="F344" s="15"/>
      <c r="G344" s="15"/>
      <c r="H344" s="15"/>
      <c r="I344" s="15"/>
      <c r="J344" s="15"/>
      <c r="K344" s="15"/>
      <c r="L344" s="15"/>
      <c r="M344" s="15"/>
      <c r="N344" s="15"/>
      <c r="O344" s="15"/>
    </row>
    <row r="345" spans="2:15" ht="13.8">
      <c r="B345" s="11"/>
      <c r="C345" s="15"/>
      <c r="D345" s="15"/>
      <c r="E345" s="15"/>
      <c r="F345" s="15"/>
      <c r="G345" s="15"/>
      <c r="H345" s="15"/>
      <c r="I345" s="15"/>
      <c r="J345" s="15"/>
      <c r="K345" s="15"/>
      <c r="L345" s="15"/>
      <c r="M345" s="15"/>
      <c r="N345" s="15"/>
      <c r="O345" s="15"/>
    </row>
    <row r="346" spans="2:15" ht="13.8">
      <c r="B346" s="11"/>
      <c r="C346" s="15"/>
      <c r="D346" s="15"/>
      <c r="E346" s="15"/>
      <c r="F346" s="15"/>
      <c r="G346" s="15"/>
      <c r="H346" s="15"/>
      <c r="I346" s="15"/>
      <c r="J346" s="15"/>
      <c r="K346" s="15"/>
      <c r="L346" s="15"/>
      <c r="M346" s="15"/>
      <c r="N346" s="15"/>
      <c r="O346" s="15"/>
    </row>
    <row r="347" spans="2:15" ht="13.8">
      <c r="B347" s="11"/>
      <c r="C347" s="15"/>
      <c r="D347" s="15"/>
      <c r="E347" s="15"/>
      <c r="F347" s="15"/>
      <c r="G347" s="15"/>
      <c r="H347" s="15"/>
      <c r="I347" s="15"/>
      <c r="J347" s="15"/>
      <c r="K347" s="15"/>
      <c r="L347" s="15"/>
      <c r="M347" s="15"/>
      <c r="N347" s="15"/>
      <c r="O347" s="15"/>
    </row>
    <row r="348" spans="2:15" ht="13.8">
      <c r="B348" s="11"/>
      <c r="C348" s="15"/>
      <c r="D348" s="15"/>
      <c r="E348" s="15"/>
      <c r="F348" s="15"/>
      <c r="G348" s="15"/>
      <c r="H348" s="15"/>
      <c r="I348" s="15"/>
      <c r="J348" s="15"/>
      <c r="K348" s="15"/>
      <c r="L348" s="15"/>
      <c r="M348" s="15"/>
      <c r="N348" s="15"/>
      <c r="O348" s="15"/>
    </row>
    <row r="349" spans="2:15" ht="13.8">
      <c r="B349" s="11"/>
      <c r="C349" s="15"/>
      <c r="D349" s="15"/>
      <c r="E349" s="15"/>
      <c r="F349" s="15"/>
      <c r="G349" s="15"/>
      <c r="H349" s="15"/>
      <c r="I349" s="15"/>
      <c r="J349" s="15"/>
      <c r="K349" s="15"/>
      <c r="L349" s="15"/>
      <c r="M349" s="15"/>
      <c r="N349" s="15"/>
      <c r="O349" s="15"/>
    </row>
    <row r="350" spans="2:15" ht="13.8">
      <c r="B350" s="11"/>
      <c r="C350" s="15"/>
      <c r="D350" s="15"/>
      <c r="E350" s="15"/>
      <c r="F350" s="15"/>
      <c r="G350" s="15"/>
      <c r="H350" s="15"/>
      <c r="I350" s="15"/>
      <c r="J350" s="15"/>
      <c r="K350" s="15"/>
      <c r="L350" s="15"/>
      <c r="M350" s="15"/>
      <c r="N350" s="15"/>
      <c r="O350" s="15"/>
    </row>
    <row r="351" spans="2:15" ht="13.8">
      <c r="B351" s="12"/>
      <c r="C351" s="15"/>
      <c r="D351" s="15"/>
      <c r="E351" s="15"/>
      <c r="F351" s="15"/>
      <c r="G351" s="15"/>
      <c r="H351" s="15"/>
      <c r="I351" s="15"/>
      <c r="J351" s="15"/>
      <c r="K351" s="15"/>
      <c r="L351" s="15"/>
      <c r="M351" s="15"/>
      <c r="N351" s="15"/>
      <c r="O351" s="15"/>
    </row>
    <row r="352" spans="2:15" ht="13.8">
      <c r="B352" s="12"/>
      <c r="C352" s="15"/>
      <c r="D352" s="15"/>
      <c r="E352" s="15"/>
      <c r="F352" s="15"/>
      <c r="G352" s="15"/>
      <c r="H352" s="15"/>
      <c r="I352" s="15"/>
      <c r="J352" s="15"/>
      <c r="K352" s="15"/>
      <c r="L352" s="15"/>
      <c r="M352" s="15"/>
      <c r="N352" s="15"/>
      <c r="O352" s="15"/>
    </row>
    <row r="353" spans="2:15" ht="13.8">
      <c r="B353" s="13"/>
      <c r="C353" s="15"/>
      <c r="D353" s="15"/>
      <c r="E353" s="15"/>
      <c r="F353" s="15"/>
      <c r="G353" s="15"/>
      <c r="H353" s="15"/>
      <c r="I353" s="15"/>
      <c r="J353" s="15"/>
      <c r="K353" s="15"/>
      <c r="L353" s="15"/>
      <c r="M353" s="15"/>
      <c r="N353" s="15"/>
      <c r="O353" s="15"/>
    </row>
    <row r="354" spans="2:15" ht="13.8">
      <c r="B354" s="13"/>
      <c r="C354" s="15"/>
      <c r="D354" s="15"/>
      <c r="E354" s="15"/>
      <c r="F354" s="15"/>
      <c r="G354" s="15"/>
      <c r="H354" s="15"/>
      <c r="I354" s="15"/>
      <c r="J354" s="15"/>
      <c r="K354" s="15"/>
      <c r="L354" s="15"/>
      <c r="M354" s="15"/>
      <c r="N354" s="15"/>
      <c r="O354" s="15"/>
    </row>
    <row r="355" spans="2:15" ht="13.8">
      <c r="B355" s="21"/>
      <c r="C355" s="2"/>
      <c r="D355" s="2"/>
      <c r="E355" s="2"/>
      <c r="F355" s="2"/>
      <c r="G355" s="2"/>
      <c r="H355" s="2"/>
      <c r="I355" s="2"/>
      <c r="J355" s="2"/>
      <c r="K355" s="2"/>
      <c r="L355" s="2"/>
      <c r="M355" s="2"/>
      <c r="N355" s="2"/>
      <c r="O355" s="2"/>
    </row>
    <row r="356" spans="2:15" ht="13.8">
      <c r="B356" s="14"/>
      <c r="C356" s="15"/>
      <c r="D356" s="15"/>
      <c r="E356" s="15"/>
      <c r="F356" s="15"/>
      <c r="G356" s="15"/>
      <c r="H356" s="15"/>
      <c r="I356" s="15"/>
      <c r="J356" s="15"/>
      <c r="K356" s="15"/>
      <c r="L356" s="15"/>
      <c r="M356" s="15"/>
      <c r="N356" s="15"/>
      <c r="O356" s="15"/>
    </row>
    <row r="357" spans="2:15" ht="13.8">
      <c r="B357" s="14"/>
      <c r="C357" s="15"/>
      <c r="D357" s="15"/>
      <c r="E357" s="15"/>
      <c r="F357" s="15"/>
      <c r="G357" s="15"/>
      <c r="H357" s="15"/>
      <c r="I357" s="15"/>
      <c r="J357" s="15"/>
      <c r="K357" s="15"/>
      <c r="L357" s="15"/>
      <c r="M357" s="15"/>
      <c r="N357" s="15"/>
      <c r="O357" s="15"/>
    </row>
    <row r="358" spans="2:15" ht="13.8">
      <c r="B358" s="9"/>
      <c r="C358" s="15"/>
      <c r="D358" s="15"/>
      <c r="E358" s="15"/>
      <c r="F358" s="15"/>
      <c r="G358" s="15"/>
      <c r="H358" s="15"/>
      <c r="I358" s="15"/>
      <c r="J358" s="15"/>
      <c r="K358" s="15"/>
      <c r="L358" s="15"/>
      <c r="M358" s="15"/>
      <c r="N358" s="15"/>
      <c r="O358" s="15"/>
    </row>
    <row r="359" spans="2:15" ht="13.8">
      <c r="B359" s="9"/>
      <c r="C359" s="15"/>
      <c r="D359" s="15"/>
      <c r="E359" s="15"/>
      <c r="F359" s="15"/>
      <c r="G359" s="15"/>
      <c r="H359" s="15"/>
      <c r="I359" s="15"/>
      <c r="J359" s="15"/>
      <c r="K359" s="15"/>
      <c r="L359" s="15"/>
      <c r="M359" s="15"/>
      <c r="N359" s="15"/>
      <c r="O359" s="15"/>
    </row>
    <row r="360" spans="2:15" ht="13.8">
      <c r="B360" s="9"/>
      <c r="C360" s="15"/>
      <c r="D360" s="15"/>
      <c r="E360" s="15"/>
      <c r="F360" s="15"/>
      <c r="G360" s="15"/>
      <c r="H360" s="15"/>
      <c r="I360" s="15"/>
      <c r="J360" s="15"/>
      <c r="K360" s="15"/>
      <c r="L360" s="15"/>
      <c r="M360" s="15"/>
      <c r="N360" s="15"/>
      <c r="O360" s="15"/>
    </row>
    <row r="361" spans="2:15" ht="13.8">
      <c r="B361" s="9"/>
      <c r="C361" s="15"/>
      <c r="D361" s="15"/>
      <c r="E361" s="15"/>
      <c r="F361" s="15"/>
      <c r="G361" s="15"/>
      <c r="H361" s="15"/>
      <c r="I361" s="15"/>
      <c r="J361" s="15"/>
      <c r="K361" s="15"/>
      <c r="L361" s="15"/>
      <c r="M361" s="15"/>
      <c r="N361" s="15"/>
      <c r="O361" s="15"/>
    </row>
    <row r="362" spans="2:15" ht="13.8">
      <c r="B362" s="9"/>
      <c r="C362" s="15"/>
      <c r="D362" s="15"/>
      <c r="E362" s="15"/>
      <c r="F362" s="15"/>
      <c r="G362" s="15"/>
      <c r="H362" s="15"/>
      <c r="I362" s="15"/>
      <c r="J362" s="15"/>
      <c r="K362" s="15"/>
      <c r="L362" s="15"/>
      <c r="M362" s="15"/>
      <c r="N362" s="15"/>
      <c r="O362" s="15"/>
    </row>
    <row r="363" spans="2:15" ht="13.8">
      <c r="B363" s="9"/>
      <c r="C363" s="15"/>
      <c r="D363" s="15"/>
      <c r="E363" s="15"/>
      <c r="F363" s="15"/>
      <c r="G363" s="15"/>
      <c r="H363" s="15"/>
      <c r="I363" s="15"/>
      <c r="J363" s="15"/>
      <c r="K363" s="15"/>
      <c r="L363" s="15"/>
      <c r="M363" s="15"/>
      <c r="N363" s="15"/>
      <c r="O363" s="15"/>
    </row>
    <row r="364" spans="2:15" ht="13.8">
      <c r="B364" s="9"/>
      <c r="C364" s="15"/>
      <c r="D364" s="15"/>
      <c r="E364" s="15"/>
      <c r="F364" s="15"/>
      <c r="G364" s="15"/>
      <c r="H364" s="15"/>
      <c r="I364" s="15"/>
      <c r="J364" s="15"/>
      <c r="K364" s="15"/>
      <c r="L364" s="15"/>
      <c r="M364" s="15"/>
      <c r="N364" s="15"/>
      <c r="O364" s="15"/>
    </row>
    <row r="365" spans="2:15" ht="13.8">
      <c r="B365" s="9"/>
      <c r="C365" s="15"/>
      <c r="D365" s="15"/>
      <c r="E365" s="15"/>
      <c r="F365" s="15"/>
      <c r="G365" s="15"/>
      <c r="H365" s="15"/>
      <c r="I365" s="15"/>
      <c r="J365" s="15"/>
      <c r="K365" s="15"/>
      <c r="L365" s="15"/>
      <c r="M365" s="15"/>
      <c r="N365" s="15"/>
      <c r="O365" s="15"/>
    </row>
    <row r="366" spans="2:15" ht="13.8">
      <c r="B366" s="9"/>
      <c r="C366" s="15"/>
      <c r="D366" s="15"/>
      <c r="E366" s="15"/>
      <c r="F366" s="15"/>
      <c r="G366" s="15"/>
      <c r="H366" s="15"/>
      <c r="I366" s="15"/>
      <c r="J366" s="15"/>
      <c r="K366" s="15"/>
      <c r="L366" s="15"/>
      <c r="M366" s="15"/>
      <c r="N366" s="15"/>
      <c r="O366" s="15"/>
    </row>
    <row r="367" spans="2:15" ht="13.8">
      <c r="B367" s="9"/>
      <c r="C367" s="15"/>
      <c r="D367" s="15"/>
      <c r="E367" s="15"/>
      <c r="F367" s="15"/>
      <c r="G367" s="15"/>
      <c r="H367" s="15"/>
      <c r="I367" s="15"/>
      <c r="J367" s="15"/>
      <c r="K367" s="15"/>
      <c r="L367" s="15"/>
      <c r="M367" s="15"/>
      <c r="N367" s="15"/>
      <c r="O367" s="15"/>
    </row>
    <row r="368" spans="2:15" ht="13.8">
      <c r="B368" s="9"/>
      <c r="C368" s="15"/>
      <c r="D368" s="15"/>
      <c r="E368" s="15"/>
      <c r="F368" s="15"/>
      <c r="G368" s="15"/>
      <c r="H368" s="15"/>
      <c r="I368" s="15"/>
      <c r="J368" s="15"/>
      <c r="K368" s="15"/>
      <c r="L368" s="15"/>
      <c r="M368" s="15"/>
      <c r="N368" s="15"/>
      <c r="O368" s="15"/>
    </row>
    <row r="371" spans="2:24" ht="17.399999999999999">
      <c r="B371" s="682"/>
      <c r="C371" s="682"/>
      <c r="D371" s="682"/>
      <c r="E371" s="682"/>
      <c r="F371" s="682"/>
      <c r="G371" s="682"/>
      <c r="H371" s="682"/>
      <c r="I371" s="682"/>
      <c r="J371" s="682"/>
      <c r="K371" s="682"/>
      <c r="L371" s="682"/>
      <c r="M371" s="682"/>
      <c r="N371" s="682"/>
      <c r="O371"/>
    </row>
    <row r="372" spans="2:24" ht="13.8">
      <c r="B372" s="10"/>
      <c r="C372" s="15"/>
      <c r="D372" s="15"/>
      <c r="E372" s="15"/>
      <c r="F372" s="15"/>
      <c r="G372" s="15"/>
      <c r="H372" s="15"/>
      <c r="I372" s="15"/>
      <c r="J372" s="15"/>
      <c r="K372" s="15"/>
      <c r="L372" s="15"/>
      <c r="M372" s="15"/>
      <c r="N372" s="15"/>
      <c r="O372" s="15"/>
    </row>
    <row r="373" spans="2:24">
      <c r="B373" s="683"/>
      <c r="C373" s="683"/>
      <c r="D373" s="683"/>
      <c r="E373" s="683"/>
      <c r="F373" s="683"/>
      <c r="G373" s="683"/>
      <c r="H373" s="683"/>
      <c r="I373" s="683"/>
      <c r="J373" s="683"/>
      <c r="K373" s="683"/>
      <c r="L373" s="683"/>
      <c r="M373" s="683"/>
      <c r="N373" s="683"/>
      <c r="O373"/>
    </row>
    <row r="374" spans="2:24" ht="18" customHeight="1">
      <c r="B374" s="683"/>
      <c r="C374" s="683"/>
      <c r="D374" s="683"/>
      <c r="E374" s="683"/>
      <c r="F374" s="683"/>
      <c r="G374" s="683"/>
      <c r="H374" s="683"/>
      <c r="I374" s="683"/>
      <c r="J374" s="683"/>
      <c r="K374" s="683"/>
      <c r="L374" s="683"/>
      <c r="M374" s="683"/>
      <c r="N374" s="683"/>
      <c r="O374"/>
    </row>
    <row r="375" spans="2:24" ht="13.8">
      <c r="B375" s="19"/>
      <c r="C375" s="16"/>
      <c r="D375" s="16"/>
      <c r="E375" s="16"/>
      <c r="F375" s="16"/>
      <c r="G375" s="15"/>
      <c r="H375" s="15"/>
      <c r="I375" s="15"/>
      <c r="J375" s="15"/>
      <c r="K375" s="15"/>
      <c r="L375" s="15"/>
      <c r="M375" s="15"/>
      <c r="N375" s="15"/>
      <c r="O375" s="15"/>
    </row>
    <row r="376" spans="2:24" ht="13.8">
      <c r="B376" s="4"/>
      <c r="C376" s="15"/>
      <c r="D376" s="17"/>
      <c r="E376" s="17"/>
      <c r="F376" s="17"/>
      <c r="G376" s="17"/>
      <c r="H376" s="17"/>
      <c r="I376" s="17"/>
      <c r="J376" s="15"/>
      <c r="K376" s="15"/>
      <c r="L376" s="15"/>
      <c r="M376" s="15"/>
      <c r="N376" s="15"/>
      <c r="O376" s="15"/>
    </row>
    <row r="377" spans="2:24" ht="13.8">
      <c r="B377" s="10"/>
      <c r="C377" s="17"/>
      <c r="D377" s="17"/>
      <c r="E377" s="17"/>
      <c r="F377" s="17"/>
      <c r="G377" s="17"/>
      <c r="H377" s="17"/>
      <c r="I377" s="17"/>
      <c r="J377" s="17"/>
      <c r="K377" s="17"/>
      <c r="L377" s="17"/>
      <c r="M377" s="17"/>
      <c r="N377" s="17"/>
      <c r="O377" s="17"/>
    </row>
    <row r="378" spans="2:24" ht="13.8">
      <c r="B378" s="9"/>
      <c r="C378" s="17"/>
      <c r="D378" s="17"/>
      <c r="E378" s="17"/>
      <c r="F378" s="20"/>
      <c r="G378" s="20"/>
      <c r="H378" s="20"/>
      <c r="I378" s="20"/>
      <c r="J378" s="20"/>
      <c r="K378" s="20"/>
      <c r="L378" s="20"/>
      <c r="M378" s="20"/>
      <c r="N378" s="20"/>
      <c r="O378" s="20"/>
    </row>
    <row r="379" spans="2:24" ht="13.8">
      <c r="B379" s="9"/>
      <c r="C379" s="17"/>
      <c r="D379" s="15"/>
      <c r="E379" s="15"/>
      <c r="F379" s="15"/>
      <c r="G379" s="15"/>
      <c r="H379" s="15"/>
      <c r="I379" s="15"/>
      <c r="J379" s="15"/>
      <c r="K379" s="15"/>
      <c r="L379" s="15"/>
      <c r="M379" s="15"/>
      <c r="N379" s="15"/>
      <c r="O379" s="15"/>
    </row>
    <row r="380" spans="2:24" ht="13.8">
      <c r="B380" s="21"/>
      <c r="C380" s="15"/>
      <c r="D380" s="15"/>
      <c r="E380" s="15"/>
      <c r="F380" s="15"/>
      <c r="G380" s="15"/>
      <c r="H380" s="15"/>
      <c r="I380" s="15"/>
      <c r="J380" s="15"/>
      <c r="K380" s="15"/>
      <c r="L380" s="15"/>
      <c r="M380" s="15"/>
      <c r="N380" s="15"/>
      <c r="O380" s="15"/>
    </row>
    <row r="381" spans="2:24" ht="13.8">
      <c r="B381" s="11"/>
      <c r="C381" s="15"/>
      <c r="D381" s="15"/>
      <c r="E381" s="15"/>
      <c r="F381" s="15"/>
      <c r="G381" s="15"/>
      <c r="H381" s="15"/>
      <c r="I381" s="15"/>
      <c r="J381" s="15"/>
      <c r="K381" s="15"/>
      <c r="L381" s="15"/>
      <c r="M381" s="15"/>
      <c r="N381" s="15"/>
      <c r="O381" s="15"/>
    </row>
    <row r="382" spans="2:24" ht="13.8">
      <c r="B382" s="11"/>
      <c r="C382" s="15"/>
      <c r="D382" s="15"/>
      <c r="E382" s="15"/>
      <c r="F382" s="15"/>
      <c r="G382" s="15"/>
      <c r="H382" s="15"/>
      <c r="I382" s="15"/>
      <c r="J382" s="15"/>
      <c r="K382" s="15"/>
      <c r="L382" s="15"/>
      <c r="M382" s="15"/>
      <c r="N382" s="15"/>
      <c r="O382" s="15"/>
    </row>
    <row r="383" spans="2:24" ht="13.8">
      <c r="B383" s="11"/>
      <c r="C383" s="15"/>
      <c r="D383" s="15"/>
      <c r="E383" s="15"/>
      <c r="F383" s="15"/>
      <c r="G383" s="15"/>
      <c r="H383" s="15"/>
      <c r="I383" s="15"/>
      <c r="J383" s="15"/>
      <c r="K383" s="15"/>
      <c r="L383" s="15"/>
      <c r="M383" s="15"/>
      <c r="N383" s="15"/>
      <c r="O383" s="15"/>
      <c r="T383">
        <v>6000</v>
      </c>
      <c r="U383">
        <v>6000</v>
      </c>
      <c r="V383">
        <v>6000</v>
      </c>
      <c r="W383">
        <v>6000</v>
      </c>
      <c r="X383">
        <v>6000</v>
      </c>
    </row>
    <row r="384" spans="2:24" ht="13.8">
      <c r="B384" s="11"/>
      <c r="C384" s="15"/>
      <c r="D384" s="15"/>
      <c r="E384" s="15"/>
      <c r="F384" s="15"/>
      <c r="G384" s="15"/>
      <c r="H384" s="15"/>
      <c r="I384" s="15"/>
      <c r="J384" s="15"/>
      <c r="K384" s="15"/>
      <c r="L384" s="15"/>
      <c r="M384" s="15"/>
      <c r="N384" s="15"/>
      <c r="O384" s="15"/>
    </row>
    <row r="385" spans="2:25" ht="13.8">
      <c r="B385" s="11"/>
      <c r="C385" s="15"/>
      <c r="D385" s="15"/>
      <c r="E385" s="15"/>
      <c r="F385" s="15"/>
      <c r="G385" s="15"/>
      <c r="H385" s="15"/>
      <c r="I385" s="15"/>
      <c r="J385" s="15"/>
      <c r="K385" s="15"/>
      <c r="L385" s="15"/>
      <c r="M385" s="15"/>
      <c r="N385" s="15"/>
      <c r="O385" s="15"/>
      <c r="Y385" t="s">
        <v>1157</v>
      </c>
    </row>
    <row r="386" spans="2:25" ht="13.8">
      <c r="B386" s="12"/>
      <c r="C386" s="15"/>
      <c r="D386" s="15"/>
      <c r="E386" s="15"/>
      <c r="F386" s="15"/>
      <c r="G386" s="15"/>
      <c r="H386" s="15"/>
      <c r="I386" s="15"/>
      <c r="J386" s="15"/>
      <c r="K386" s="15"/>
      <c r="L386" s="15"/>
      <c r="M386" s="15"/>
      <c r="N386" s="15"/>
      <c r="O386" s="15"/>
    </row>
    <row r="387" spans="2:25" ht="13.8">
      <c r="B387" s="9"/>
      <c r="C387" s="15"/>
      <c r="D387" s="15"/>
      <c r="E387" s="15"/>
      <c r="F387" s="15"/>
      <c r="G387" s="15"/>
      <c r="H387" s="15"/>
      <c r="I387" s="15"/>
      <c r="J387" s="15"/>
      <c r="K387" s="15"/>
      <c r="L387" s="15"/>
      <c r="M387" s="15"/>
      <c r="N387" s="15"/>
      <c r="O387" s="15"/>
    </row>
    <row r="388" spans="2:25" ht="13.8">
      <c r="B388" s="21"/>
      <c r="C388" s="15"/>
      <c r="D388" s="15"/>
      <c r="E388" s="15"/>
      <c r="F388" s="15"/>
      <c r="G388" s="15"/>
      <c r="H388" s="15"/>
      <c r="I388" s="15"/>
      <c r="J388" s="15"/>
      <c r="K388" s="15"/>
      <c r="L388" s="15"/>
      <c r="M388" s="15"/>
      <c r="N388" s="15"/>
      <c r="O388" s="15"/>
    </row>
    <row r="389" spans="2:25" ht="13.8">
      <c r="B389" s="11"/>
      <c r="C389" s="15"/>
      <c r="D389" s="15"/>
      <c r="E389" s="15"/>
      <c r="F389" s="15"/>
      <c r="G389" s="15"/>
      <c r="H389" s="15"/>
      <c r="I389" s="15"/>
      <c r="J389" s="15"/>
      <c r="K389" s="15"/>
      <c r="L389" s="15"/>
      <c r="M389" s="15"/>
      <c r="N389" s="15"/>
      <c r="O389" s="15"/>
    </row>
    <row r="390" spans="2:25" ht="13.8">
      <c r="B390" s="11"/>
      <c r="C390" s="15"/>
      <c r="D390" s="15"/>
      <c r="E390" s="15"/>
      <c r="F390" s="15"/>
      <c r="G390" s="15"/>
      <c r="H390" s="15"/>
      <c r="I390" s="15"/>
      <c r="J390" s="15"/>
      <c r="K390" s="15"/>
      <c r="L390" s="15"/>
      <c r="M390" s="15"/>
      <c r="N390" s="15"/>
      <c r="O390" s="15"/>
    </row>
    <row r="391" spans="2:25" ht="13.8">
      <c r="B391" s="11"/>
      <c r="C391" s="15"/>
      <c r="D391" s="15"/>
      <c r="E391" s="15"/>
      <c r="F391" s="15"/>
      <c r="G391" s="15"/>
      <c r="H391" s="15"/>
      <c r="I391" s="15"/>
      <c r="J391" s="15"/>
      <c r="K391" s="15"/>
      <c r="L391" s="15"/>
      <c r="M391" s="15"/>
      <c r="N391" s="15"/>
      <c r="O391" s="15"/>
    </row>
    <row r="392" spans="2:25" ht="13.8">
      <c r="B392" s="11"/>
      <c r="C392" s="15"/>
      <c r="D392" s="15"/>
      <c r="E392" s="15"/>
      <c r="F392" s="15"/>
      <c r="G392" s="15"/>
      <c r="H392" s="15"/>
      <c r="I392" s="15"/>
      <c r="J392" s="15"/>
      <c r="K392" s="15"/>
      <c r="L392" s="15"/>
      <c r="M392" s="15"/>
      <c r="N392" s="15"/>
      <c r="O392" s="15"/>
    </row>
    <row r="393" spans="2:25" ht="13.8">
      <c r="B393" s="11"/>
      <c r="C393" s="15"/>
      <c r="D393" s="15"/>
      <c r="E393" s="15"/>
      <c r="F393" s="15"/>
      <c r="G393" s="15"/>
      <c r="H393" s="15"/>
      <c r="I393" s="15"/>
      <c r="J393" s="15"/>
      <c r="K393" s="15"/>
      <c r="L393" s="15"/>
      <c r="M393" s="15"/>
      <c r="N393" s="15"/>
      <c r="O393" s="15"/>
    </row>
    <row r="394" spans="2:25" ht="13.8">
      <c r="B394" s="11"/>
      <c r="C394" s="15"/>
      <c r="D394" s="15"/>
      <c r="E394" s="15"/>
      <c r="F394" s="15"/>
      <c r="G394" s="15"/>
      <c r="H394" s="15"/>
      <c r="I394" s="15"/>
      <c r="J394" s="15"/>
      <c r="K394" s="15"/>
      <c r="L394" s="15"/>
      <c r="M394" s="15"/>
      <c r="N394" s="15"/>
      <c r="O394" s="15"/>
    </row>
    <row r="395" spans="2:25" ht="13.8">
      <c r="B395" s="11"/>
      <c r="C395" s="15"/>
      <c r="D395" s="15"/>
      <c r="E395" s="15"/>
      <c r="F395" s="15"/>
      <c r="G395" s="15"/>
      <c r="H395" s="15"/>
      <c r="I395" s="15"/>
      <c r="J395" s="15"/>
      <c r="K395" s="15"/>
      <c r="L395" s="15"/>
      <c r="M395" s="15"/>
      <c r="N395" s="15"/>
      <c r="O395" s="15"/>
    </row>
    <row r="396" spans="2:25" ht="13.8">
      <c r="B396" s="11"/>
      <c r="C396" s="15"/>
      <c r="D396" s="15"/>
      <c r="E396" s="15"/>
      <c r="F396" s="15"/>
      <c r="G396" s="15"/>
      <c r="H396" s="15"/>
      <c r="I396" s="15"/>
      <c r="J396" s="15"/>
      <c r="K396" s="15"/>
      <c r="L396" s="15"/>
      <c r="M396" s="15"/>
      <c r="N396" s="15"/>
      <c r="O396" s="15"/>
    </row>
    <row r="397" spans="2:25" ht="13.8">
      <c r="B397" s="11"/>
      <c r="C397" s="15"/>
      <c r="D397" s="15"/>
      <c r="E397" s="15"/>
      <c r="F397" s="15"/>
      <c r="G397" s="15"/>
      <c r="H397" s="15"/>
      <c r="I397" s="15"/>
      <c r="J397" s="15"/>
      <c r="K397" s="15"/>
      <c r="L397" s="15"/>
      <c r="M397" s="15"/>
      <c r="N397" s="15"/>
      <c r="O397" s="15"/>
    </row>
    <row r="398" spans="2:25" ht="13.8">
      <c r="B398" s="12"/>
      <c r="C398" s="15"/>
      <c r="D398" s="15"/>
      <c r="E398" s="15"/>
      <c r="F398" s="15"/>
      <c r="G398" s="15"/>
      <c r="H398" s="15"/>
      <c r="I398" s="15"/>
      <c r="J398" s="15"/>
      <c r="K398" s="15"/>
      <c r="L398" s="15"/>
      <c r="M398" s="15"/>
      <c r="N398" s="15"/>
      <c r="O398" s="15"/>
    </row>
    <row r="399" spans="2:25" ht="13.8">
      <c r="B399" s="12"/>
      <c r="C399" s="15"/>
      <c r="D399" s="15"/>
      <c r="E399" s="15"/>
      <c r="F399" s="15"/>
      <c r="G399" s="15"/>
      <c r="H399" s="15"/>
      <c r="I399" s="15"/>
      <c r="J399" s="15"/>
      <c r="K399" s="15"/>
      <c r="L399" s="15"/>
      <c r="M399" s="15"/>
      <c r="N399" s="15"/>
      <c r="O399" s="15"/>
    </row>
    <row r="400" spans="2:25" ht="13.8">
      <c r="B400" s="13"/>
      <c r="C400" s="15"/>
      <c r="D400" s="15"/>
      <c r="E400" s="15"/>
      <c r="F400" s="15"/>
      <c r="G400" s="15"/>
      <c r="H400" s="15"/>
      <c r="I400" s="15"/>
      <c r="J400" s="15"/>
      <c r="K400" s="15"/>
      <c r="L400" s="15"/>
      <c r="M400" s="15"/>
      <c r="N400" s="15"/>
      <c r="O400" s="15"/>
    </row>
    <row r="401" spans="2:15" ht="13.8">
      <c r="B401" s="13"/>
      <c r="C401" s="15"/>
      <c r="D401" s="15"/>
      <c r="E401" s="15"/>
      <c r="F401" s="15"/>
      <c r="G401" s="15"/>
      <c r="H401" s="15"/>
      <c r="I401" s="15"/>
      <c r="J401" s="15"/>
      <c r="K401" s="15"/>
      <c r="L401" s="15"/>
      <c r="M401" s="15"/>
      <c r="N401" s="15"/>
      <c r="O401" s="15"/>
    </row>
    <row r="402" spans="2:15" ht="13.8">
      <c r="B402" s="21"/>
      <c r="C402" s="15"/>
      <c r="D402" s="15"/>
      <c r="E402" s="15"/>
      <c r="F402" s="15"/>
      <c r="G402" s="15"/>
      <c r="H402" s="15"/>
      <c r="I402" s="15"/>
      <c r="J402" s="15"/>
      <c r="K402" s="15"/>
      <c r="L402" s="15"/>
      <c r="M402" s="15"/>
      <c r="N402" s="15"/>
      <c r="O402" s="15"/>
    </row>
    <row r="403" spans="2:15" ht="13.8">
      <c r="B403" s="14"/>
      <c r="C403" s="15"/>
      <c r="D403" s="15"/>
      <c r="E403" s="15"/>
      <c r="F403" s="15"/>
      <c r="G403" s="15"/>
      <c r="H403" s="15"/>
      <c r="I403" s="15"/>
      <c r="J403" s="15"/>
      <c r="K403" s="15"/>
      <c r="L403" s="15"/>
      <c r="M403" s="15"/>
      <c r="N403" s="15"/>
      <c r="O403" s="15"/>
    </row>
    <row r="404" spans="2:15" ht="13.8">
      <c r="B404" s="14"/>
      <c r="C404" s="15"/>
      <c r="D404" s="15"/>
      <c r="E404" s="15"/>
      <c r="F404" s="15"/>
      <c r="G404" s="15"/>
      <c r="H404" s="15"/>
      <c r="I404" s="15"/>
      <c r="J404" s="15"/>
      <c r="K404" s="15"/>
      <c r="L404" s="15"/>
      <c r="M404" s="15"/>
      <c r="N404" s="15"/>
      <c r="O404" s="15"/>
    </row>
    <row r="405" spans="2:15" ht="13.8">
      <c r="B405" s="9"/>
      <c r="C405" s="15"/>
      <c r="D405" s="15"/>
      <c r="E405" s="15"/>
      <c r="F405" s="15"/>
      <c r="G405" s="15"/>
      <c r="H405" s="15"/>
      <c r="I405" s="15"/>
      <c r="J405" s="15"/>
      <c r="K405" s="15"/>
      <c r="L405" s="15"/>
      <c r="M405" s="15"/>
      <c r="N405" s="15"/>
      <c r="O405" s="15"/>
    </row>
    <row r="406" spans="2:15" ht="13.8">
      <c r="B406" s="9"/>
      <c r="C406" s="15"/>
      <c r="D406" s="15"/>
      <c r="E406" s="15"/>
      <c r="F406" s="15"/>
      <c r="G406" s="15"/>
      <c r="H406" s="15"/>
      <c r="I406" s="15"/>
      <c r="J406" s="15"/>
      <c r="K406" s="15"/>
      <c r="L406" s="15"/>
      <c r="M406" s="15"/>
      <c r="N406" s="15"/>
      <c r="O406" s="15"/>
    </row>
    <row r="407" spans="2:15" ht="13.8">
      <c r="B407" s="9"/>
      <c r="C407" s="15"/>
      <c r="D407" s="15"/>
      <c r="E407" s="15"/>
      <c r="F407" s="15"/>
      <c r="G407" s="15"/>
      <c r="H407" s="15"/>
      <c r="I407" s="15"/>
      <c r="J407" s="15"/>
      <c r="K407" s="15"/>
      <c r="L407" s="15"/>
      <c r="M407" s="15"/>
      <c r="N407" s="15"/>
      <c r="O407" s="15"/>
    </row>
    <row r="408" spans="2:15" ht="13.8">
      <c r="B408" s="9"/>
      <c r="C408" s="15"/>
      <c r="D408" s="15"/>
      <c r="E408" s="15"/>
      <c r="F408" s="15"/>
      <c r="G408" s="15"/>
      <c r="H408" s="15"/>
      <c r="I408" s="15"/>
      <c r="J408" s="15"/>
      <c r="K408" s="15"/>
      <c r="L408" s="15"/>
      <c r="M408" s="15"/>
      <c r="N408" s="15"/>
      <c r="O408" s="15"/>
    </row>
    <row r="409" spans="2:15" ht="13.8">
      <c r="B409" s="9"/>
      <c r="C409" s="15"/>
      <c r="D409" s="15"/>
      <c r="E409" s="15"/>
      <c r="F409" s="15"/>
      <c r="G409" s="15"/>
      <c r="H409" s="15"/>
      <c r="I409" s="15"/>
      <c r="J409" s="15"/>
      <c r="K409" s="15"/>
      <c r="L409" s="15"/>
      <c r="M409" s="15"/>
      <c r="N409" s="15"/>
      <c r="O409" s="15"/>
    </row>
    <row r="410" spans="2:15" ht="13.8">
      <c r="B410" s="9"/>
      <c r="C410" s="15"/>
      <c r="D410" s="15"/>
      <c r="E410" s="15"/>
      <c r="F410" s="15"/>
      <c r="G410" s="15"/>
      <c r="H410" s="15"/>
      <c r="I410" s="15"/>
      <c r="J410" s="15"/>
      <c r="K410" s="15"/>
      <c r="L410" s="15"/>
      <c r="M410" s="15"/>
      <c r="N410" s="15"/>
      <c r="O410" s="15"/>
    </row>
    <row r="411" spans="2:15" ht="13.8">
      <c r="B411" s="9"/>
      <c r="C411" s="15"/>
      <c r="D411" s="15"/>
      <c r="E411" s="15"/>
      <c r="F411" s="15"/>
      <c r="G411" s="15"/>
      <c r="H411" s="15"/>
      <c r="I411" s="15"/>
      <c r="J411" s="15"/>
      <c r="K411" s="15"/>
      <c r="L411" s="15"/>
      <c r="M411" s="15"/>
      <c r="N411" s="15"/>
      <c r="O411" s="15"/>
    </row>
    <row r="412" spans="2:15" ht="13.8">
      <c r="B412" s="9"/>
      <c r="C412" s="15"/>
      <c r="D412" s="15"/>
      <c r="E412" s="15"/>
      <c r="F412" s="15"/>
      <c r="G412" s="15"/>
      <c r="H412" s="15"/>
      <c r="I412" s="15"/>
      <c r="J412" s="15"/>
      <c r="K412" s="15"/>
      <c r="L412" s="15"/>
      <c r="M412" s="15"/>
      <c r="N412" s="15"/>
      <c r="O412" s="15"/>
    </row>
    <row r="413" spans="2:15" ht="13.8">
      <c r="B413" s="9"/>
      <c r="C413" s="15"/>
      <c r="D413" s="15"/>
      <c r="E413" s="15"/>
      <c r="F413" s="15"/>
      <c r="G413" s="15"/>
      <c r="H413" s="15"/>
      <c r="I413" s="15"/>
      <c r="J413" s="15"/>
      <c r="K413" s="15"/>
      <c r="L413" s="15"/>
      <c r="M413" s="15"/>
      <c r="N413" s="15"/>
      <c r="O413" s="15"/>
    </row>
    <row r="414" spans="2:15" ht="13.8">
      <c r="B414" s="9"/>
      <c r="C414" s="15"/>
      <c r="D414" s="15"/>
      <c r="E414" s="15"/>
      <c r="F414" s="15"/>
      <c r="G414" s="15"/>
      <c r="H414" s="15"/>
      <c r="I414" s="15"/>
      <c r="J414" s="15"/>
      <c r="K414" s="15"/>
      <c r="L414" s="15"/>
      <c r="M414" s="15"/>
      <c r="N414" s="15"/>
      <c r="O414" s="15"/>
    </row>
    <row r="417" spans="2:15" ht="17.399999999999999">
      <c r="B417" s="682"/>
      <c r="C417" s="682"/>
      <c r="D417" s="682"/>
      <c r="E417" s="682"/>
      <c r="F417" s="682"/>
      <c r="G417" s="682"/>
      <c r="H417" s="682"/>
      <c r="I417" s="682"/>
      <c r="J417" s="682"/>
      <c r="K417" s="682"/>
      <c r="L417" s="682"/>
      <c r="M417" s="682"/>
      <c r="N417" s="682"/>
      <c r="O417"/>
    </row>
    <row r="418" spans="2:15" ht="13.8">
      <c r="B418" s="10"/>
      <c r="C418" s="15"/>
      <c r="D418" s="15"/>
      <c r="E418" s="15"/>
      <c r="F418" s="15"/>
      <c r="G418" s="15"/>
      <c r="H418" s="15"/>
      <c r="I418" s="15"/>
      <c r="J418" s="15"/>
      <c r="K418" s="15"/>
      <c r="L418" s="15"/>
      <c r="M418" s="15"/>
      <c r="N418" s="15"/>
      <c r="O418" s="15"/>
    </row>
    <row r="419" spans="2:15">
      <c r="B419" s="686"/>
      <c r="C419" s="686"/>
      <c r="D419" s="686"/>
      <c r="E419" s="686"/>
      <c r="F419" s="686"/>
      <c r="G419" s="686"/>
      <c r="H419" s="686"/>
      <c r="I419" s="686"/>
      <c r="J419" s="686"/>
      <c r="K419" s="686"/>
      <c r="L419" s="686"/>
      <c r="M419" s="686"/>
      <c r="N419" s="686"/>
      <c r="O419"/>
    </row>
    <row r="420" spans="2:15">
      <c r="B420" s="686"/>
      <c r="C420" s="686"/>
      <c r="D420" s="686"/>
      <c r="E420" s="686"/>
      <c r="F420" s="686"/>
      <c r="G420" s="686"/>
      <c r="H420" s="686"/>
      <c r="I420" s="686"/>
      <c r="J420" s="686"/>
      <c r="K420" s="686"/>
      <c r="L420" s="686"/>
      <c r="M420" s="686"/>
      <c r="N420" s="686"/>
      <c r="O420"/>
    </row>
    <row r="421" spans="2:15" ht="18.75" customHeight="1">
      <c r="B421" s="686"/>
      <c r="C421" s="686"/>
      <c r="D421" s="686"/>
      <c r="E421" s="686"/>
      <c r="F421" s="686"/>
      <c r="G421" s="686"/>
      <c r="H421" s="686"/>
      <c r="I421" s="686"/>
      <c r="J421" s="686"/>
      <c r="K421" s="686"/>
      <c r="L421" s="686"/>
      <c r="M421" s="686"/>
      <c r="N421" s="686"/>
      <c r="O421"/>
    </row>
    <row r="422" spans="2:15" ht="13.8">
      <c r="B422" s="4"/>
      <c r="C422" s="15"/>
      <c r="D422" s="17"/>
      <c r="E422" s="17"/>
      <c r="F422" s="17"/>
      <c r="G422" s="17"/>
      <c r="H422" s="17"/>
      <c r="I422" s="17"/>
      <c r="J422" s="15"/>
      <c r="K422" s="15"/>
      <c r="L422" s="15"/>
      <c r="M422" s="15"/>
      <c r="N422" s="15"/>
      <c r="O422" s="15"/>
    </row>
    <row r="423" spans="2:15" ht="13.8">
      <c r="B423" s="10"/>
      <c r="C423" s="17"/>
      <c r="D423" s="17"/>
      <c r="E423" s="17"/>
      <c r="F423" s="17"/>
      <c r="G423" s="17"/>
      <c r="H423" s="17"/>
      <c r="I423" s="17"/>
      <c r="J423" s="17"/>
      <c r="K423" s="17"/>
      <c r="L423" s="17"/>
      <c r="M423" s="17"/>
      <c r="N423" s="17"/>
      <c r="O423" s="17"/>
    </row>
    <row r="424" spans="2:15" ht="13.8">
      <c r="B424" s="9"/>
      <c r="C424" s="17"/>
      <c r="D424" s="17"/>
      <c r="E424" s="17"/>
      <c r="F424" s="20"/>
      <c r="G424" s="20"/>
      <c r="H424" s="20"/>
      <c r="I424" s="20"/>
      <c r="J424" s="20"/>
      <c r="K424" s="20"/>
      <c r="L424" s="20"/>
      <c r="M424" s="20"/>
      <c r="N424" s="20"/>
      <c r="O424" s="20"/>
    </row>
    <row r="425" spans="2:15" ht="13.8">
      <c r="B425" s="9"/>
      <c r="C425" s="17"/>
      <c r="D425" s="15"/>
      <c r="E425" s="15"/>
      <c r="F425" s="15"/>
      <c r="G425" s="15"/>
      <c r="H425" s="15"/>
      <c r="I425" s="15"/>
      <c r="J425" s="15"/>
      <c r="K425" s="15"/>
      <c r="L425" s="15"/>
      <c r="M425" s="15"/>
      <c r="N425" s="15"/>
      <c r="O425" s="15"/>
    </row>
    <row r="426" spans="2:15" ht="13.8">
      <c r="B426" s="21"/>
      <c r="C426" s="15"/>
      <c r="D426" s="15"/>
      <c r="E426" s="15"/>
      <c r="F426" s="15"/>
      <c r="G426" s="15"/>
      <c r="H426" s="15"/>
      <c r="I426" s="15"/>
      <c r="J426" s="15"/>
      <c r="K426" s="15"/>
      <c r="L426" s="15"/>
      <c r="M426" s="15"/>
      <c r="N426" s="15"/>
      <c r="O426" s="15"/>
    </row>
    <row r="427" spans="2:15" ht="13.8">
      <c r="B427" s="11"/>
      <c r="C427" s="15"/>
      <c r="D427" s="15"/>
      <c r="E427" s="15"/>
      <c r="F427" s="15"/>
      <c r="G427" s="15"/>
      <c r="H427" s="15"/>
      <c r="I427" s="15"/>
      <c r="J427" s="15"/>
      <c r="K427" s="15"/>
      <c r="L427" s="15"/>
      <c r="M427" s="15"/>
      <c r="N427" s="15"/>
      <c r="O427" s="15"/>
    </row>
    <row r="428" spans="2:15" ht="13.8">
      <c r="B428" s="11"/>
      <c r="C428" s="15"/>
      <c r="D428" s="15"/>
      <c r="E428" s="15"/>
      <c r="F428" s="15"/>
      <c r="G428" s="15"/>
      <c r="H428" s="15"/>
      <c r="I428" s="15"/>
      <c r="J428" s="15"/>
      <c r="K428" s="15"/>
      <c r="L428" s="15"/>
      <c r="M428" s="15"/>
      <c r="N428" s="15"/>
      <c r="O428" s="15"/>
    </row>
    <row r="429" spans="2:15" ht="13.8">
      <c r="B429" s="12"/>
      <c r="C429" s="15"/>
      <c r="D429" s="15"/>
      <c r="E429" s="15"/>
      <c r="F429" s="15"/>
      <c r="G429" s="15"/>
      <c r="H429" s="15"/>
      <c r="I429" s="15"/>
      <c r="J429" s="15"/>
      <c r="K429" s="15"/>
      <c r="L429" s="15"/>
      <c r="M429" s="15"/>
      <c r="N429" s="15"/>
      <c r="O429" s="15"/>
    </row>
    <row r="430" spans="2:15" ht="13.8">
      <c r="B430" s="9"/>
      <c r="C430" s="15"/>
      <c r="D430" s="15"/>
      <c r="E430" s="15"/>
      <c r="F430" s="15"/>
      <c r="G430" s="15"/>
      <c r="H430" s="15"/>
      <c r="I430" s="15"/>
      <c r="J430" s="15"/>
      <c r="K430" s="15"/>
      <c r="L430" s="15"/>
      <c r="M430" s="15"/>
      <c r="N430" s="15"/>
      <c r="O430" s="15"/>
    </row>
    <row r="431" spans="2:15" ht="13.8">
      <c r="B431" s="21"/>
      <c r="C431" s="15"/>
      <c r="D431" s="15"/>
      <c r="E431" s="15"/>
      <c r="F431" s="15"/>
      <c r="G431" s="15"/>
      <c r="H431" s="15"/>
      <c r="I431" s="15"/>
      <c r="J431" s="15"/>
      <c r="K431" s="15"/>
      <c r="L431" s="15"/>
      <c r="M431" s="15"/>
      <c r="N431" s="15"/>
      <c r="O431" s="15"/>
    </row>
    <row r="432" spans="2:15" ht="13.8">
      <c r="B432" s="11"/>
      <c r="C432" s="15"/>
      <c r="D432" s="15"/>
      <c r="E432" s="15"/>
      <c r="F432" s="15"/>
      <c r="G432" s="15"/>
      <c r="H432" s="15"/>
      <c r="I432" s="15"/>
      <c r="J432" s="15"/>
      <c r="K432" s="15"/>
      <c r="L432" s="15"/>
      <c r="M432" s="15"/>
      <c r="N432" s="15"/>
      <c r="O432" s="15"/>
    </row>
    <row r="433" spans="2:15" ht="13.8">
      <c r="B433" s="11"/>
      <c r="C433" s="15"/>
      <c r="D433" s="15"/>
      <c r="E433" s="15"/>
      <c r="F433" s="15"/>
      <c r="G433" s="15"/>
      <c r="H433" s="15"/>
      <c r="I433" s="15"/>
      <c r="J433" s="15"/>
      <c r="K433" s="15"/>
      <c r="L433" s="15"/>
      <c r="M433" s="15"/>
      <c r="N433" s="15"/>
      <c r="O433" s="15"/>
    </row>
    <row r="434" spans="2:15" ht="13.8">
      <c r="B434" s="12"/>
      <c r="C434" s="15"/>
      <c r="D434" s="15"/>
      <c r="E434" s="15"/>
      <c r="F434" s="15"/>
      <c r="G434" s="15"/>
      <c r="H434" s="15"/>
      <c r="I434" s="15"/>
      <c r="J434" s="15"/>
      <c r="K434" s="15"/>
      <c r="L434" s="15"/>
      <c r="M434" s="15"/>
      <c r="N434" s="15"/>
      <c r="O434" s="15"/>
    </row>
    <row r="435" spans="2:15" ht="13.8">
      <c r="B435" s="12"/>
      <c r="C435" s="15"/>
      <c r="D435" s="15"/>
      <c r="E435" s="15"/>
      <c r="F435" s="15"/>
      <c r="G435" s="15"/>
      <c r="H435" s="15"/>
      <c r="I435" s="15"/>
      <c r="J435" s="15"/>
      <c r="K435" s="15"/>
      <c r="L435" s="15"/>
      <c r="M435" s="15"/>
      <c r="N435" s="15"/>
      <c r="O435" s="15"/>
    </row>
    <row r="436" spans="2:15" ht="13.8">
      <c r="B436" s="13"/>
      <c r="C436" s="15"/>
      <c r="D436" s="15"/>
      <c r="E436" s="15"/>
      <c r="F436" s="15"/>
      <c r="G436" s="15"/>
      <c r="H436" s="15"/>
      <c r="I436" s="15"/>
      <c r="J436" s="15"/>
      <c r="K436" s="15"/>
      <c r="L436" s="15"/>
      <c r="M436" s="15"/>
      <c r="N436" s="15"/>
      <c r="O436" s="15"/>
    </row>
    <row r="437" spans="2:15" ht="13.8">
      <c r="B437" s="13"/>
      <c r="C437" s="15"/>
      <c r="D437" s="15"/>
      <c r="E437" s="15"/>
      <c r="F437" s="15"/>
      <c r="G437" s="15"/>
      <c r="H437" s="15"/>
      <c r="I437" s="15"/>
      <c r="J437" s="15"/>
      <c r="K437" s="15"/>
      <c r="L437" s="15"/>
      <c r="M437" s="15"/>
      <c r="N437" s="15"/>
      <c r="O437" s="15"/>
    </row>
    <row r="438" spans="2:15" ht="13.8">
      <c r="B438" s="21"/>
      <c r="C438" s="15"/>
      <c r="D438" s="15"/>
      <c r="E438" s="15"/>
      <c r="F438" s="15"/>
      <c r="G438" s="15"/>
      <c r="H438" s="15"/>
      <c r="I438" s="15"/>
      <c r="J438" s="15"/>
      <c r="K438" s="15"/>
      <c r="L438" s="15"/>
      <c r="M438" s="15"/>
      <c r="N438" s="15"/>
      <c r="O438" s="15"/>
    </row>
    <row r="439" spans="2:15" ht="13.8">
      <c r="B439" s="14"/>
      <c r="C439" s="15"/>
      <c r="D439" s="15"/>
      <c r="E439" s="15"/>
      <c r="F439" s="15"/>
      <c r="G439" s="15"/>
      <c r="H439" s="15"/>
      <c r="I439" s="15"/>
      <c r="J439" s="15"/>
      <c r="K439" s="15"/>
      <c r="L439" s="15"/>
      <c r="M439" s="15"/>
      <c r="N439" s="15"/>
      <c r="O439" s="15"/>
    </row>
    <row r="440" spans="2:15" ht="13.8">
      <c r="B440" s="14"/>
      <c r="C440" s="15"/>
      <c r="D440" s="15"/>
      <c r="E440" s="15"/>
      <c r="F440" s="15"/>
      <c r="G440" s="15"/>
      <c r="H440" s="15"/>
      <c r="I440" s="15"/>
      <c r="J440" s="15"/>
      <c r="K440" s="15"/>
      <c r="L440" s="15"/>
      <c r="M440" s="15"/>
      <c r="N440" s="15"/>
      <c r="O440" s="15"/>
    </row>
    <row r="441" spans="2:15" ht="13.8">
      <c r="B441" s="9"/>
      <c r="C441" s="15"/>
      <c r="D441" s="15"/>
      <c r="E441" s="15"/>
      <c r="F441" s="15"/>
      <c r="G441" s="15"/>
      <c r="H441" s="15"/>
      <c r="I441" s="15"/>
      <c r="J441" s="15"/>
      <c r="K441" s="15"/>
      <c r="L441" s="15"/>
      <c r="M441" s="15"/>
      <c r="N441" s="15"/>
      <c r="O441" s="15"/>
    </row>
    <row r="442" spans="2:15" ht="13.8">
      <c r="B442" s="9"/>
      <c r="C442" s="15"/>
      <c r="D442" s="15"/>
      <c r="E442" s="15"/>
      <c r="F442" s="15"/>
      <c r="G442" s="15"/>
      <c r="H442" s="15"/>
      <c r="I442" s="15"/>
      <c r="J442" s="15"/>
      <c r="K442" s="15"/>
      <c r="L442" s="15"/>
      <c r="M442" s="15"/>
      <c r="N442" s="15"/>
      <c r="O442" s="15"/>
    </row>
    <row r="443" spans="2:15" ht="13.8">
      <c r="B443" s="9"/>
      <c r="C443" s="15"/>
      <c r="D443" s="15"/>
      <c r="E443" s="15"/>
      <c r="F443" s="15"/>
      <c r="G443" s="15"/>
      <c r="H443" s="15"/>
      <c r="I443" s="15"/>
      <c r="J443" s="15"/>
      <c r="K443" s="15"/>
      <c r="L443" s="15"/>
      <c r="M443" s="15"/>
      <c r="N443" s="15"/>
      <c r="O443" s="15"/>
    </row>
    <row r="444" spans="2:15" ht="13.8">
      <c r="B444" s="9"/>
      <c r="C444" s="15"/>
      <c r="D444" s="15"/>
      <c r="E444" s="15"/>
      <c r="F444" s="15"/>
      <c r="G444" s="15"/>
      <c r="H444" s="15"/>
      <c r="I444" s="15"/>
      <c r="J444" s="15"/>
      <c r="K444" s="15"/>
      <c r="L444" s="15"/>
      <c r="M444" s="15"/>
      <c r="N444" s="15"/>
      <c r="O444" s="15"/>
    </row>
    <row r="445" spans="2:15" ht="13.8">
      <c r="B445" s="9"/>
      <c r="C445" s="15"/>
      <c r="D445" s="15"/>
      <c r="E445" s="15"/>
      <c r="F445" s="15"/>
      <c r="G445" s="15"/>
      <c r="H445" s="15"/>
      <c r="I445" s="15"/>
      <c r="J445" s="15"/>
      <c r="K445" s="15"/>
      <c r="L445" s="15"/>
      <c r="M445" s="15"/>
      <c r="N445" s="15"/>
      <c r="O445" s="15"/>
    </row>
    <row r="446" spans="2:15" ht="13.8">
      <c r="B446" s="9"/>
      <c r="C446" s="15"/>
      <c r="D446" s="15"/>
      <c r="E446" s="15"/>
      <c r="F446" s="15"/>
      <c r="G446" s="15"/>
      <c r="H446" s="15"/>
      <c r="I446" s="15"/>
      <c r="J446" s="15"/>
      <c r="K446" s="15"/>
      <c r="L446" s="15"/>
      <c r="M446" s="15"/>
      <c r="N446" s="15"/>
      <c r="O446" s="15"/>
    </row>
    <row r="447" spans="2:15" ht="13.8">
      <c r="B447" s="9"/>
      <c r="C447" s="15"/>
      <c r="D447" s="15"/>
      <c r="E447" s="15"/>
      <c r="F447" s="15"/>
      <c r="G447" s="15"/>
      <c r="H447" s="15"/>
      <c r="I447" s="15"/>
      <c r="J447" s="15"/>
      <c r="K447" s="15"/>
      <c r="L447" s="15"/>
      <c r="M447" s="15"/>
      <c r="N447" s="15"/>
      <c r="O447" s="15"/>
    </row>
    <row r="448" spans="2:15" ht="13.8">
      <c r="B448" s="9"/>
      <c r="C448" s="15"/>
      <c r="D448" s="15"/>
      <c r="E448" s="15"/>
      <c r="F448" s="15"/>
      <c r="G448" s="15"/>
      <c r="H448" s="15"/>
      <c r="I448" s="15"/>
      <c r="J448" s="15"/>
      <c r="K448" s="15"/>
      <c r="L448" s="15"/>
      <c r="M448" s="15"/>
      <c r="N448" s="15"/>
      <c r="O448" s="15"/>
    </row>
    <row r="449" spans="2:15" ht="13.8">
      <c r="B449" s="9"/>
      <c r="C449" s="15"/>
      <c r="D449" s="15"/>
      <c r="E449" s="15"/>
      <c r="F449" s="15"/>
      <c r="G449" s="15"/>
      <c r="H449" s="15"/>
      <c r="I449" s="15"/>
      <c r="J449" s="15"/>
      <c r="K449" s="15"/>
      <c r="L449" s="15"/>
      <c r="M449" s="15"/>
      <c r="N449" s="15"/>
      <c r="O449" s="15"/>
    </row>
    <row r="450" spans="2:15" ht="13.8">
      <c r="B450" s="9"/>
      <c r="C450" s="15"/>
      <c r="D450" s="15"/>
      <c r="E450" s="15"/>
      <c r="F450" s="15"/>
      <c r="G450" s="15"/>
      <c r="H450" s="15"/>
      <c r="I450" s="15"/>
      <c r="J450" s="15"/>
      <c r="K450" s="15"/>
      <c r="L450" s="15"/>
      <c r="M450" s="15"/>
      <c r="N450" s="15"/>
      <c r="O450" s="15"/>
    </row>
    <row r="453" spans="2:15" ht="17.399999999999999">
      <c r="B453" s="682"/>
      <c r="C453" s="682"/>
      <c r="D453" s="682"/>
      <c r="E453" s="682"/>
      <c r="F453" s="682"/>
      <c r="G453" s="682"/>
      <c r="H453" s="682"/>
      <c r="I453" s="682"/>
      <c r="J453" s="682"/>
      <c r="K453" s="682"/>
      <c r="L453" s="682"/>
      <c r="M453" s="682"/>
      <c r="N453" s="682"/>
      <c r="O453"/>
    </row>
    <row r="454" spans="2:15" ht="13.8">
      <c r="B454" s="10"/>
      <c r="C454" s="15"/>
      <c r="D454" s="15"/>
      <c r="E454" s="15"/>
      <c r="F454" s="15"/>
      <c r="G454" s="15"/>
      <c r="H454" s="15"/>
      <c r="I454" s="15"/>
      <c r="J454" s="15"/>
      <c r="K454" s="15"/>
      <c r="L454" s="15"/>
      <c r="M454" s="15"/>
      <c r="N454" s="15"/>
      <c r="O454" s="15"/>
    </row>
    <row r="455" spans="2:15">
      <c r="B455" s="683"/>
      <c r="C455" s="683"/>
      <c r="D455" s="683"/>
      <c r="E455" s="683"/>
      <c r="F455" s="683"/>
      <c r="G455" s="683"/>
      <c r="H455" s="683"/>
      <c r="I455" s="683"/>
      <c r="J455" s="683"/>
      <c r="K455" s="683"/>
      <c r="L455" s="683"/>
      <c r="M455" s="683"/>
      <c r="N455" s="683"/>
      <c r="O455"/>
    </row>
    <row r="456" spans="2:15">
      <c r="B456" s="683"/>
      <c r="C456" s="683"/>
      <c r="D456" s="683"/>
      <c r="E456" s="683"/>
      <c r="F456" s="683"/>
      <c r="G456" s="683"/>
      <c r="H456" s="683"/>
      <c r="I456" s="683"/>
      <c r="J456" s="683"/>
      <c r="K456" s="683"/>
      <c r="L456" s="683"/>
      <c r="M456" s="683"/>
      <c r="N456" s="683"/>
      <c r="O456"/>
    </row>
    <row r="457" spans="2:15">
      <c r="B457" s="683"/>
      <c r="C457" s="683"/>
      <c r="D457" s="683"/>
      <c r="E457" s="683"/>
      <c r="F457" s="683"/>
      <c r="G457" s="683"/>
      <c r="H457" s="683"/>
      <c r="I457" s="683"/>
      <c r="J457" s="683"/>
      <c r="K457" s="683"/>
      <c r="L457" s="683"/>
      <c r="M457" s="683"/>
      <c r="N457" s="683"/>
      <c r="O457"/>
    </row>
    <row r="458" spans="2:15" ht="23.25" customHeight="1">
      <c r="B458" s="683"/>
      <c r="C458" s="683"/>
      <c r="D458" s="683"/>
      <c r="E458" s="683"/>
      <c r="F458" s="683"/>
      <c r="G458" s="683"/>
      <c r="H458" s="683"/>
      <c r="I458" s="683"/>
      <c r="J458" s="683"/>
      <c r="K458" s="683"/>
      <c r="L458" s="683"/>
      <c r="M458" s="683"/>
      <c r="N458" s="683"/>
      <c r="O458"/>
    </row>
    <row r="459" spans="2:15" ht="13.8">
      <c r="B459" s="4"/>
      <c r="C459" s="15"/>
      <c r="D459" s="17"/>
      <c r="E459" s="17"/>
      <c r="F459" s="17"/>
      <c r="G459" s="17"/>
      <c r="H459" s="17"/>
      <c r="I459" s="17"/>
      <c r="J459" s="15"/>
      <c r="K459" s="15"/>
      <c r="L459" s="15"/>
      <c r="M459" s="15"/>
      <c r="N459" s="15"/>
      <c r="O459" s="15"/>
    </row>
    <row r="460" spans="2:15" ht="13.8">
      <c r="B460" s="10"/>
      <c r="C460" s="17"/>
      <c r="D460" s="17"/>
      <c r="E460" s="17"/>
      <c r="F460" s="17"/>
      <c r="G460" s="17"/>
      <c r="H460" s="17"/>
      <c r="I460" s="17"/>
      <c r="J460" s="17"/>
      <c r="K460" s="17"/>
      <c r="L460" s="17"/>
      <c r="M460" s="17"/>
      <c r="N460" s="17"/>
      <c r="O460" s="17"/>
    </row>
    <row r="461" spans="2:15" ht="13.8">
      <c r="B461" s="9"/>
      <c r="C461" s="17"/>
      <c r="D461" s="17"/>
      <c r="E461" s="17"/>
      <c r="F461" s="20"/>
      <c r="G461" s="20"/>
      <c r="H461" s="20"/>
      <c r="I461" s="20"/>
      <c r="J461" s="20"/>
      <c r="K461" s="20"/>
      <c r="L461" s="20"/>
      <c r="M461" s="20"/>
      <c r="N461" s="20"/>
      <c r="O461" s="20"/>
    </row>
    <row r="462" spans="2:15" ht="13.8">
      <c r="B462" s="9"/>
      <c r="C462" s="17"/>
      <c r="D462" s="15"/>
      <c r="E462" s="15"/>
      <c r="F462" s="15"/>
      <c r="G462" s="15"/>
      <c r="H462" s="15"/>
      <c r="I462" s="15"/>
      <c r="J462" s="15"/>
      <c r="K462" s="15"/>
      <c r="L462" s="15"/>
      <c r="M462" s="15"/>
      <c r="N462" s="15"/>
      <c r="O462" s="15"/>
    </row>
    <row r="463" spans="2:15" ht="13.8">
      <c r="B463" s="21"/>
      <c r="C463" s="15"/>
      <c r="D463" s="15"/>
      <c r="E463" s="15"/>
      <c r="F463" s="15"/>
      <c r="G463" s="15"/>
      <c r="H463" s="15"/>
      <c r="I463" s="15"/>
      <c r="J463" s="15"/>
      <c r="K463" s="15"/>
      <c r="L463" s="15"/>
      <c r="M463" s="15"/>
      <c r="N463" s="15"/>
      <c r="O463" s="15"/>
    </row>
    <row r="464" spans="2:15" ht="13.8">
      <c r="B464" s="22"/>
      <c r="C464" s="15"/>
      <c r="D464" s="15"/>
      <c r="E464" s="15"/>
      <c r="F464" s="15"/>
      <c r="G464" s="15"/>
      <c r="H464" s="15"/>
      <c r="I464" s="15"/>
      <c r="J464" s="15"/>
      <c r="K464" s="15"/>
      <c r="L464" s="15"/>
      <c r="M464" s="15"/>
      <c r="N464" s="15"/>
      <c r="O464" s="15"/>
    </row>
    <row r="465" spans="2:15" ht="13.8">
      <c r="B465" s="11"/>
      <c r="C465" s="15"/>
      <c r="D465" s="15"/>
      <c r="E465" s="15"/>
      <c r="F465" s="15"/>
      <c r="G465" s="15"/>
      <c r="H465" s="15"/>
      <c r="I465" s="15"/>
      <c r="J465" s="15"/>
      <c r="K465" s="15"/>
      <c r="L465" s="15"/>
      <c r="M465" s="15"/>
      <c r="N465" s="15"/>
      <c r="O465" s="15"/>
    </row>
    <row r="466" spans="2:15" ht="13.8">
      <c r="B466" s="11"/>
      <c r="C466" s="15"/>
      <c r="D466" s="15"/>
      <c r="E466" s="15"/>
      <c r="F466" s="15"/>
      <c r="G466" s="15"/>
      <c r="H466" s="15"/>
      <c r="I466" s="15"/>
      <c r="J466" s="15"/>
      <c r="K466" s="15"/>
      <c r="L466" s="15"/>
      <c r="M466" s="15"/>
      <c r="N466" s="15"/>
      <c r="O466" s="15"/>
    </row>
    <row r="467" spans="2:15" ht="13.8">
      <c r="B467" s="11"/>
      <c r="C467" s="15"/>
      <c r="D467" s="15"/>
      <c r="E467" s="15"/>
      <c r="F467" s="15"/>
      <c r="G467" s="15"/>
      <c r="H467" s="15"/>
      <c r="I467" s="15"/>
      <c r="J467" s="15"/>
      <c r="K467" s="15"/>
      <c r="L467" s="15"/>
      <c r="M467" s="15"/>
      <c r="N467" s="15"/>
      <c r="O467" s="15"/>
    </row>
    <row r="468" spans="2:15" ht="13.8">
      <c r="B468" s="11"/>
      <c r="C468" s="15"/>
      <c r="D468" s="15"/>
      <c r="E468" s="15"/>
      <c r="F468" s="15"/>
      <c r="G468" s="15"/>
      <c r="H468" s="15"/>
      <c r="I468" s="15"/>
      <c r="J468" s="15"/>
      <c r="K468" s="15"/>
      <c r="L468" s="15"/>
      <c r="M468" s="15"/>
      <c r="N468" s="15"/>
      <c r="O468" s="15"/>
    </row>
    <row r="469" spans="2:15" ht="13.8">
      <c r="B469" s="11"/>
      <c r="C469" s="15"/>
      <c r="D469" s="15"/>
      <c r="E469" s="15"/>
      <c r="F469" s="15"/>
      <c r="G469" s="15"/>
      <c r="H469" s="15"/>
      <c r="I469" s="15"/>
      <c r="J469" s="15"/>
      <c r="K469" s="15"/>
      <c r="L469" s="15"/>
      <c r="M469" s="15"/>
      <c r="N469" s="15"/>
      <c r="O469" s="15"/>
    </row>
    <row r="470" spans="2:15" ht="13.8">
      <c r="B470" s="12"/>
      <c r="C470" s="15"/>
      <c r="D470" s="15"/>
      <c r="E470" s="15"/>
      <c r="F470" s="15"/>
      <c r="G470" s="15"/>
      <c r="H470" s="15"/>
      <c r="I470" s="15"/>
      <c r="J470" s="15"/>
      <c r="K470" s="15"/>
      <c r="L470" s="15"/>
      <c r="M470" s="15"/>
      <c r="N470" s="15"/>
      <c r="O470" s="15"/>
    </row>
    <row r="471" spans="2:15" ht="13.8">
      <c r="B471" s="9"/>
      <c r="C471" s="15"/>
      <c r="D471" s="15"/>
      <c r="E471" s="15"/>
      <c r="F471" s="15"/>
      <c r="G471" s="15"/>
      <c r="H471" s="15"/>
      <c r="I471" s="15"/>
      <c r="J471" s="15"/>
      <c r="K471" s="15"/>
      <c r="L471" s="15"/>
      <c r="M471" s="15"/>
      <c r="N471" s="15"/>
      <c r="O471" s="15"/>
    </row>
    <row r="472" spans="2:15" ht="13.8">
      <c r="B472" s="21"/>
      <c r="C472" s="15"/>
      <c r="D472" s="15"/>
      <c r="E472" s="15"/>
      <c r="F472" s="15"/>
      <c r="G472" s="15"/>
      <c r="H472" s="15"/>
      <c r="I472" s="15"/>
      <c r="J472" s="15"/>
      <c r="K472" s="15"/>
      <c r="L472" s="15"/>
      <c r="M472" s="15"/>
      <c r="N472" s="15"/>
      <c r="O472" s="15"/>
    </row>
    <row r="473" spans="2:15" ht="13.8">
      <c r="B473" s="11"/>
      <c r="C473" s="15"/>
      <c r="D473" s="15"/>
      <c r="E473" s="15"/>
      <c r="F473" s="15"/>
      <c r="G473" s="15"/>
      <c r="H473" s="15"/>
      <c r="I473" s="15"/>
      <c r="J473" s="15"/>
      <c r="K473" s="15"/>
      <c r="L473" s="15"/>
      <c r="M473" s="15"/>
      <c r="N473" s="15"/>
      <c r="O473" s="15"/>
    </row>
    <row r="474" spans="2:15" ht="13.8">
      <c r="B474" s="11"/>
      <c r="C474" s="15"/>
      <c r="D474" s="15"/>
      <c r="E474" s="15"/>
      <c r="F474" s="15"/>
      <c r="G474" s="15"/>
      <c r="H474" s="15"/>
      <c r="I474" s="15"/>
      <c r="J474" s="15"/>
      <c r="K474" s="15"/>
      <c r="L474" s="15"/>
      <c r="M474" s="15"/>
      <c r="N474" s="15"/>
      <c r="O474" s="15"/>
    </row>
    <row r="475" spans="2:15" ht="13.8">
      <c r="B475" s="11"/>
      <c r="C475" s="15"/>
      <c r="D475" s="15"/>
      <c r="E475" s="15"/>
      <c r="F475" s="15"/>
      <c r="G475" s="15"/>
      <c r="H475" s="15"/>
      <c r="I475" s="15"/>
      <c r="J475" s="15"/>
      <c r="K475" s="15"/>
      <c r="L475" s="15"/>
      <c r="M475" s="15"/>
      <c r="N475" s="15"/>
      <c r="O475" s="15"/>
    </row>
    <row r="476" spans="2:15" ht="13.8">
      <c r="B476" s="11"/>
      <c r="C476" s="15"/>
      <c r="D476" s="15"/>
      <c r="E476" s="15"/>
      <c r="F476" s="15"/>
      <c r="G476" s="15"/>
      <c r="H476" s="15"/>
      <c r="I476" s="15"/>
      <c r="J476" s="15"/>
      <c r="K476" s="15"/>
      <c r="L476" s="15"/>
      <c r="M476" s="15"/>
      <c r="N476" s="15"/>
      <c r="O476" s="15"/>
    </row>
    <row r="477" spans="2:15" ht="13.8">
      <c r="B477" s="11"/>
      <c r="C477" s="15"/>
      <c r="D477" s="15"/>
      <c r="E477" s="15"/>
      <c r="F477" s="15"/>
      <c r="G477" s="15"/>
      <c r="H477" s="15"/>
      <c r="I477" s="15"/>
      <c r="J477" s="15"/>
      <c r="K477" s="15"/>
      <c r="L477" s="15"/>
      <c r="M477" s="15"/>
      <c r="N477" s="15"/>
      <c r="O477" s="15"/>
    </row>
    <row r="478" spans="2:15" ht="13.8">
      <c r="B478" s="12"/>
      <c r="C478" s="15"/>
      <c r="D478" s="15"/>
      <c r="E478" s="15"/>
      <c r="F478" s="15"/>
      <c r="G478" s="15"/>
      <c r="H478" s="15"/>
      <c r="I478" s="15"/>
      <c r="J478" s="15"/>
      <c r="K478" s="15"/>
      <c r="L478" s="15"/>
      <c r="M478" s="15"/>
      <c r="N478" s="15"/>
      <c r="O478" s="15"/>
    </row>
    <row r="479" spans="2:15" ht="13.8">
      <c r="B479" s="12"/>
      <c r="C479" s="15"/>
      <c r="D479" s="15"/>
      <c r="E479" s="15"/>
      <c r="F479" s="15"/>
      <c r="G479" s="15"/>
      <c r="H479" s="15"/>
      <c r="I479" s="15"/>
      <c r="J479" s="15"/>
      <c r="K479" s="15"/>
      <c r="L479" s="15"/>
      <c r="M479" s="15"/>
      <c r="N479" s="15"/>
      <c r="O479" s="15"/>
    </row>
    <row r="480" spans="2:15" ht="13.8">
      <c r="B480" s="13"/>
      <c r="C480" s="15"/>
      <c r="D480" s="15"/>
      <c r="E480" s="15"/>
      <c r="F480" s="15"/>
      <c r="G480" s="15"/>
      <c r="H480" s="15"/>
      <c r="I480" s="15"/>
      <c r="J480" s="15"/>
      <c r="K480" s="15"/>
      <c r="L480" s="15"/>
      <c r="M480" s="15"/>
      <c r="N480" s="15"/>
      <c r="O480" s="15"/>
    </row>
    <row r="481" spans="2:15" ht="13.8">
      <c r="B481" s="13"/>
      <c r="C481" s="15"/>
      <c r="D481" s="15"/>
      <c r="E481" s="15"/>
      <c r="F481" s="15"/>
      <c r="G481" s="15"/>
      <c r="H481" s="15"/>
      <c r="I481" s="15"/>
      <c r="J481" s="15"/>
      <c r="K481" s="15"/>
      <c r="L481" s="15"/>
      <c r="M481" s="15"/>
      <c r="N481" s="15"/>
      <c r="O481" s="15"/>
    </row>
    <row r="482" spans="2:15" ht="13.8">
      <c r="B482" s="21"/>
      <c r="C482" s="15"/>
      <c r="D482" s="15"/>
      <c r="E482" s="15"/>
      <c r="F482" s="15"/>
      <c r="G482" s="15"/>
      <c r="H482" s="15"/>
      <c r="I482" s="15"/>
      <c r="J482" s="15"/>
      <c r="K482" s="15"/>
      <c r="L482" s="15"/>
      <c r="M482" s="15"/>
      <c r="N482" s="15"/>
      <c r="O482" s="15"/>
    </row>
    <row r="483" spans="2:15" ht="13.8">
      <c r="B483" s="14"/>
      <c r="C483" s="15"/>
      <c r="D483" s="15"/>
      <c r="E483" s="15"/>
      <c r="F483" s="15"/>
      <c r="G483" s="15"/>
      <c r="H483" s="15"/>
      <c r="I483" s="15"/>
      <c r="J483" s="15"/>
      <c r="K483" s="15"/>
      <c r="L483" s="15"/>
      <c r="M483" s="15"/>
      <c r="N483" s="15"/>
      <c r="O483" s="15"/>
    </row>
    <row r="484" spans="2:15" ht="13.8">
      <c r="B484" s="14"/>
      <c r="C484" s="15"/>
      <c r="D484" s="15"/>
      <c r="E484" s="15"/>
      <c r="F484" s="15"/>
      <c r="G484" s="15"/>
      <c r="H484" s="15"/>
      <c r="I484" s="15"/>
      <c r="J484" s="15"/>
      <c r="K484" s="15"/>
      <c r="L484" s="15"/>
      <c r="M484" s="15"/>
      <c r="N484" s="15"/>
      <c r="O484" s="15"/>
    </row>
    <row r="485" spans="2:15" ht="13.8">
      <c r="B485" s="9"/>
      <c r="C485" s="15"/>
      <c r="D485" s="15"/>
      <c r="E485" s="15"/>
      <c r="F485" s="15"/>
      <c r="G485" s="15"/>
      <c r="H485" s="15"/>
      <c r="I485" s="15"/>
      <c r="J485" s="15"/>
      <c r="K485" s="15"/>
      <c r="L485" s="15"/>
      <c r="M485" s="15"/>
      <c r="N485" s="15"/>
      <c r="O485" s="15"/>
    </row>
    <row r="486" spans="2:15" ht="13.8">
      <c r="B486" s="9"/>
      <c r="C486" s="15"/>
      <c r="D486" s="15"/>
      <c r="E486" s="15"/>
      <c r="F486" s="15"/>
      <c r="G486" s="15"/>
      <c r="H486" s="15"/>
      <c r="I486" s="15"/>
      <c r="J486" s="15"/>
      <c r="K486" s="15"/>
      <c r="L486" s="15"/>
      <c r="M486" s="15"/>
      <c r="N486" s="15"/>
      <c r="O486" s="15"/>
    </row>
    <row r="487" spans="2:15" ht="13.8">
      <c r="B487" s="9"/>
      <c r="C487" s="15"/>
      <c r="D487" s="15"/>
      <c r="E487" s="15"/>
      <c r="F487" s="15"/>
      <c r="G487" s="15"/>
      <c r="H487" s="15"/>
      <c r="I487" s="15"/>
      <c r="J487" s="15"/>
      <c r="K487" s="15"/>
      <c r="L487" s="15"/>
      <c r="M487" s="15"/>
      <c r="N487" s="15"/>
      <c r="O487" s="15"/>
    </row>
    <row r="488" spans="2:15" ht="13.8">
      <c r="B488" s="9"/>
      <c r="C488" s="15"/>
      <c r="D488" s="15"/>
      <c r="E488" s="15"/>
      <c r="F488" s="15"/>
      <c r="G488" s="15"/>
      <c r="H488" s="15"/>
      <c r="I488" s="15"/>
      <c r="J488" s="15"/>
      <c r="K488" s="15"/>
      <c r="L488" s="15"/>
      <c r="M488" s="15"/>
      <c r="N488" s="15"/>
      <c r="O488" s="15"/>
    </row>
    <row r="489" spans="2:15" ht="13.8">
      <c r="B489" s="9"/>
      <c r="C489" s="15"/>
      <c r="D489" s="15"/>
      <c r="E489" s="15"/>
      <c r="F489" s="15"/>
      <c r="G489" s="15"/>
      <c r="H489" s="15"/>
      <c r="I489" s="15"/>
      <c r="J489" s="15"/>
      <c r="K489" s="15"/>
      <c r="L489" s="15"/>
      <c r="M489" s="15"/>
      <c r="N489" s="15"/>
      <c r="O489" s="15"/>
    </row>
    <row r="490" spans="2:15" ht="13.8">
      <c r="B490" s="9"/>
      <c r="C490" s="15"/>
      <c r="D490" s="15"/>
      <c r="E490" s="15"/>
      <c r="F490" s="15"/>
      <c r="G490" s="15"/>
      <c r="H490" s="15"/>
      <c r="I490" s="15"/>
      <c r="J490" s="15"/>
      <c r="K490" s="15"/>
      <c r="L490" s="15"/>
      <c r="M490" s="15"/>
      <c r="N490" s="15"/>
      <c r="O490" s="15"/>
    </row>
    <row r="491" spans="2:15" ht="13.8">
      <c r="B491" s="9"/>
      <c r="C491" s="15"/>
      <c r="D491" s="15"/>
      <c r="E491" s="15"/>
      <c r="F491" s="15"/>
      <c r="G491" s="15"/>
      <c r="H491" s="15"/>
      <c r="I491" s="15"/>
      <c r="J491" s="15"/>
      <c r="K491" s="15"/>
      <c r="L491" s="15"/>
      <c r="M491" s="15"/>
      <c r="N491" s="15"/>
      <c r="O491" s="15"/>
    </row>
    <row r="492" spans="2:15" ht="13.8">
      <c r="B492" s="9"/>
      <c r="C492" s="15"/>
      <c r="D492" s="15"/>
      <c r="E492" s="15"/>
      <c r="F492" s="15"/>
      <c r="G492" s="15"/>
      <c r="H492" s="15"/>
      <c r="I492" s="15"/>
      <c r="J492" s="15"/>
      <c r="K492" s="15"/>
      <c r="L492" s="15"/>
      <c r="M492" s="15"/>
      <c r="N492" s="15"/>
      <c r="O492" s="15"/>
    </row>
    <row r="493" spans="2:15" ht="13.8">
      <c r="B493" s="9"/>
      <c r="C493" s="15"/>
      <c r="D493" s="15"/>
      <c r="E493" s="15"/>
      <c r="F493" s="15"/>
      <c r="G493" s="15"/>
      <c r="H493" s="15"/>
      <c r="I493" s="15"/>
      <c r="J493" s="15"/>
      <c r="K493" s="15"/>
      <c r="L493" s="15"/>
      <c r="M493" s="15"/>
      <c r="N493" s="15"/>
      <c r="O493" s="15"/>
    </row>
    <row r="494" spans="2:15" ht="13.8">
      <c r="B494" s="9"/>
      <c r="C494" s="15"/>
      <c r="D494" s="15"/>
      <c r="E494" s="15"/>
      <c r="F494" s="15"/>
      <c r="G494" s="15"/>
      <c r="H494" s="15"/>
      <c r="I494" s="15"/>
      <c r="J494" s="15"/>
      <c r="K494" s="15"/>
      <c r="L494" s="15"/>
      <c r="M494" s="15"/>
      <c r="N494" s="15"/>
      <c r="O494" s="15"/>
    </row>
    <row r="495" spans="2:15" ht="13.8">
      <c r="B495" s="9"/>
      <c r="C495" s="15"/>
      <c r="D495" s="15"/>
      <c r="E495" s="15"/>
      <c r="F495" s="15"/>
      <c r="G495" s="15"/>
      <c r="H495" s="15"/>
      <c r="I495" s="15"/>
      <c r="J495" s="15"/>
      <c r="K495" s="15"/>
      <c r="L495" s="15"/>
      <c r="M495" s="15"/>
      <c r="N495" s="15"/>
      <c r="O495" s="15"/>
    </row>
    <row r="498" spans="2:15" ht="17.399999999999999">
      <c r="B498" s="682"/>
      <c r="C498" s="682"/>
      <c r="D498" s="682"/>
      <c r="E498" s="682"/>
      <c r="F498" s="682"/>
      <c r="G498" s="682"/>
      <c r="H498" s="682"/>
      <c r="I498" s="682"/>
      <c r="J498" s="682"/>
      <c r="K498" s="682"/>
      <c r="L498" s="682"/>
      <c r="M498" s="682"/>
      <c r="N498" s="682"/>
      <c r="O498"/>
    </row>
    <row r="499" spans="2:15" ht="13.8">
      <c r="B499" s="10"/>
      <c r="C499" s="15"/>
      <c r="D499" s="15"/>
      <c r="E499" s="15"/>
      <c r="F499" s="15"/>
      <c r="G499" s="15"/>
      <c r="H499" s="15"/>
      <c r="I499" s="15"/>
      <c r="J499" s="15"/>
      <c r="K499" s="15"/>
      <c r="L499" s="15"/>
      <c r="M499" s="15"/>
      <c r="N499" s="15"/>
      <c r="O499" s="15"/>
    </row>
    <row r="500" spans="2:15">
      <c r="B500" s="683"/>
      <c r="C500" s="683"/>
      <c r="D500" s="683"/>
      <c r="E500" s="683"/>
      <c r="F500" s="683"/>
      <c r="G500" s="683"/>
      <c r="H500" s="683"/>
      <c r="I500" s="683"/>
      <c r="J500" s="683"/>
      <c r="K500" s="683"/>
      <c r="L500" s="683"/>
      <c r="M500" s="683"/>
      <c r="N500" s="683"/>
      <c r="O500"/>
    </row>
    <row r="501" spans="2:15">
      <c r="B501" s="683"/>
      <c r="C501" s="683"/>
      <c r="D501" s="683"/>
      <c r="E501" s="683"/>
      <c r="F501" s="683"/>
      <c r="G501" s="683"/>
      <c r="H501" s="683"/>
      <c r="I501" s="683"/>
      <c r="J501" s="683"/>
      <c r="K501" s="683"/>
      <c r="L501" s="683"/>
      <c r="M501" s="683"/>
      <c r="N501" s="683"/>
      <c r="O501"/>
    </row>
    <row r="502" spans="2:15">
      <c r="B502" s="683"/>
      <c r="C502" s="683"/>
      <c r="D502" s="683"/>
      <c r="E502" s="683"/>
      <c r="F502" s="683"/>
      <c r="G502" s="683"/>
      <c r="H502" s="683"/>
      <c r="I502" s="683"/>
      <c r="J502" s="683"/>
      <c r="K502" s="683"/>
      <c r="L502" s="683"/>
      <c r="M502" s="683"/>
      <c r="N502" s="683"/>
      <c r="O502"/>
    </row>
    <row r="503" spans="2:15">
      <c r="B503" s="683"/>
      <c r="C503" s="683"/>
      <c r="D503" s="683"/>
      <c r="E503" s="683"/>
      <c r="F503" s="683"/>
      <c r="G503" s="683"/>
      <c r="H503" s="683"/>
      <c r="I503" s="683"/>
      <c r="J503" s="683"/>
      <c r="K503" s="683"/>
      <c r="L503" s="683"/>
      <c r="M503" s="683"/>
      <c r="N503" s="683"/>
      <c r="O503"/>
    </row>
    <row r="504" spans="2:15" ht="13.8">
      <c r="B504" s="19"/>
      <c r="C504" s="16"/>
      <c r="D504" s="16"/>
      <c r="E504" s="16"/>
      <c r="F504" s="16"/>
      <c r="G504" s="16"/>
      <c r="H504" s="16"/>
      <c r="I504" s="16"/>
      <c r="J504" s="16"/>
      <c r="K504" s="16"/>
      <c r="L504" s="15"/>
      <c r="M504" s="15"/>
      <c r="N504" s="15"/>
      <c r="O504" s="15"/>
    </row>
    <row r="505" spans="2:15" ht="13.8">
      <c r="B505" s="4"/>
      <c r="C505" s="15"/>
      <c r="D505" s="17"/>
      <c r="E505" s="17"/>
      <c r="F505" s="17"/>
      <c r="G505" s="17"/>
      <c r="H505" s="17"/>
      <c r="I505" s="17"/>
      <c r="J505" s="15"/>
      <c r="K505" s="15"/>
      <c r="L505" s="15"/>
      <c r="M505" s="15"/>
      <c r="N505" s="15"/>
      <c r="O505" s="15"/>
    </row>
    <row r="506" spans="2:15" ht="13.8">
      <c r="B506" s="10"/>
      <c r="C506" s="17"/>
      <c r="D506" s="17"/>
      <c r="E506" s="17"/>
      <c r="F506" s="17"/>
      <c r="G506" s="17"/>
      <c r="H506" s="17"/>
      <c r="I506" s="17"/>
      <c r="J506" s="17"/>
      <c r="K506" s="17"/>
      <c r="L506" s="17"/>
      <c r="M506" s="17"/>
      <c r="N506" s="17"/>
      <c r="O506" s="17"/>
    </row>
    <row r="507" spans="2:15" ht="13.8">
      <c r="B507" s="9"/>
      <c r="C507" s="17"/>
      <c r="D507" s="17"/>
      <c r="E507" s="17"/>
      <c r="F507" s="20"/>
      <c r="G507" s="20"/>
      <c r="H507" s="20"/>
      <c r="I507" s="20"/>
      <c r="J507" s="20"/>
      <c r="K507" s="20"/>
      <c r="L507" s="20"/>
      <c r="M507" s="20"/>
      <c r="N507" s="20"/>
      <c r="O507" s="20"/>
    </row>
    <row r="508" spans="2:15" ht="13.8">
      <c r="B508" s="9"/>
      <c r="C508" s="17"/>
      <c r="D508" s="15"/>
      <c r="E508" s="15"/>
      <c r="F508" s="15"/>
      <c r="G508" s="15"/>
      <c r="H508" s="15"/>
      <c r="I508" s="15"/>
      <c r="J508" s="15"/>
      <c r="K508" s="15"/>
      <c r="L508" s="15"/>
      <c r="M508" s="15"/>
      <c r="N508" s="15"/>
      <c r="O508" s="15"/>
    </row>
    <row r="509" spans="2:15" ht="13.8">
      <c r="B509" s="21"/>
      <c r="C509" s="15"/>
      <c r="D509" s="15"/>
      <c r="E509" s="15"/>
      <c r="F509" s="15"/>
      <c r="G509" s="15"/>
      <c r="H509" s="15"/>
      <c r="I509" s="15"/>
      <c r="J509" s="15"/>
      <c r="K509" s="15"/>
      <c r="L509" s="15"/>
      <c r="M509" s="15"/>
      <c r="N509" s="15"/>
      <c r="O509" s="15"/>
    </row>
    <row r="510" spans="2:15" ht="13.8">
      <c r="B510" s="11"/>
      <c r="C510" s="15"/>
      <c r="D510" s="15"/>
      <c r="E510" s="15"/>
      <c r="F510" s="15"/>
      <c r="G510" s="15"/>
      <c r="H510" s="15"/>
      <c r="I510" s="15"/>
      <c r="J510" s="15"/>
      <c r="K510" s="15"/>
      <c r="L510" s="15"/>
      <c r="M510" s="15"/>
      <c r="N510" s="15"/>
      <c r="O510" s="15"/>
    </row>
    <row r="511" spans="2:15" ht="13.8">
      <c r="B511" s="11"/>
      <c r="C511" s="15"/>
      <c r="D511" s="15"/>
      <c r="E511" s="15"/>
      <c r="F511" s="15"/>
      <c r="G511" s="15"/>
      <c r="H511" s="15"/>
      <c r="I511" s="15"/>
      <c r="J511" s="15"/>
      <c r="K511" s="15"/>
      <c r="L511" s="15"/>
      <c r="M511" s="15"/>
      <c r="N511" s="15"/>
      <c r="O511" s="15"/>
    </row>
    <row r="512" spans="2:15" ht="13.8">
      <c r="B512" s="12"/>
      <c r="C512" s="15"/>
      <c r="D512" s="15"/>
      <c r="E512" s="15"/>
      <c r="F512" s="15"/>
      <c r="G512" s="15"/>
      <c r="H512" s="15"/>
      <c r="I512" s="15"/>
      <c r="J512" s="15"/>
      <c r="K512" s="15"/>
      <c r="L512" s="15"/>
      <c r="M512" s="15"/>
      <c r="N512" s="15"/>
      <c r="O512" s="15"/>
    </row>
    <row r="513" spans="2:15" ht="13.8">
      <c r="B513" s="9"/>
      <c r="C513" s="15"/>
      <c r="D513" s="15"/>
      <c r="E513" s="15"/>
      <c r="F513" s="15"/>
      <c r="G513" s="15"/>
      <c r="H513" s="15"/>
      <c r="I513" s="15"/>
      <c r="J513" s="15"/>
      <c r="K513" s="15"/>
      <c r="L513" s="15"/>
      <c r="M513" s="15"/>
      <c r="N513" s="15"/>
      <c r="O513" s="15"/>
    </row>
    <row r="514" spans="2:15" ht="13.8">
      <c r="B514" s="21"/>
      <c r="C514" s="15"/>
      <c r="D514" s="15"/>
      <c r="E514" s="15"/>
      <c r="F514" s="15"/>
      <c r="G514" s="15"/>
      <c r="H514" s="15"/>
      <c r="I514" s="15"/>
      <c r="J514" s="15"/>
      <c r="K514" s="15"/>
      <c r="L514" s="15"/>
      <c r="M514" s="15"/>
      <c r="N514" s="15"/>
      <c r="O514" s="15"/>
    </row>
    <row r="515" spans="2:15" ht="13.8">
      <c r="B515" s="11"/>
      <c r="C515" s="15"/>
      <c r="D515" s="15"/>
      <c r="E515" s="15"/>
      <c r="F515" s="15"/>
      <c r="G515" s="15"/>
      <c r="H515" s="15"/>
      <c r="I515" s="15"/>
      <c r="J515" s="15"/>
      <c r="K515" s="15"/>
      <c r="L515" s="15"/>
      <c r="M515" s="15"/>
      <c r="N515" s="15"/>
      <c r="O515" s="15"/>
    </row>
    <row r="516" spans="2:15" ht="13.8">
      <c r="B516" s="11"/>
      <c r="C516" s="15"/>
      <c r="D516" s="15"/>
      <c r="E516" s="15"/>
      <c r="F516" s="15"/>
      <c r="G516" s="15"/>
      <c r="H516" s="15"/>
      <c r="I516" s="15"/>
      <c r="J516" s="15"/>
      <c r="K516" s="15"/>
      <c r="L516" s="15"/>
      <c r="M516" s="15"/>
      <c r="N516" s="15"/>
      <c r="O516" s="15"/>
    </row>
    <row r="517" spans="2:15" ht="13.8">
      <c r="B517" s="11"/>
      <c r="C517" s="15"/>
      <c r="D517" s="15"/>
      <c r="E517" s="15"/>
      <c r="F517" s="15"/>
      <c r="G517" s="15"/>
      <c r="H517" s="15"/>
      <c r="I517" s="15"/>
      <c r="J517" s="15"/>
      <c r="K517" s="15"/>
      <c r="L517" s="15"/>
      <c r="M517" s="15"/>
      <c r="N517" s="15"/>
      <c r="O517" s="15"/>
    </row>
    <row r="518" spans="2:15" ht="13.8">
      <c r="B518" s="11"/>
      <c r="C518" s="15"/>
      <c r="D518" s="15"/>
      <c r="E518" s="15"/>
      <c r="F518" s="15"/>
      <c r="G518" s="15"/>
      <c r="H518" s="15"/>
      <c r="I518" s="15"/>
      <c r="J518" s="15"/>
      <c r="K518" s="15"/>
      <c r="L518" s="15"/>
      <c r="M518" s="15"/>
      <c r="N518" s="15"/>
      <c r="O518" s="15"/>
    </row>
    <row r="519" spans="2:15" ht="13.8">
      <c r="B519" s="12"/>
      <c r="C519" s="15"/>
      <c r="D519" s="15"/>
      <c r="E519" s="15"/>
      <c r="F519" s="15"/>
      <c r="G519" s="15"/>
      <c r="H519" s="15"/>
      <c r="I519" s="15"/>
      <c r="J519" s="15"/>
      <c r="K519" s="15"/>
      <c r="L519" s="15"/>
      <c r="M519" s="15"/>
      <c r="N519" s="15"/>
      <c r="O519" s="15"/>
    </row>
    <row r="520" spans="2:15" ht="13.8">
      <c r="B520" s="12"/>
      <c r="C520" s="15"/>
      <c r="D520" s="15"/>
      <c r="E520" s="15"/>
      <c r="F520" s="15"/>
      <c r="G520" s="15"/>
      <c r="H520" s="15"/>
      <c r="I520" s="15"/>
      <c r="J520" s="15"/>
      <c r="K520" s="15"/>
      <c r="L520" s="15"/>
      <c r="M520" s="15"/>
      <c r="N520" s="15"/>
      <c r="O520" s="15"/>
    </row>
    <row r="521" spans="2:15" ht="13.8">
      <c r="B521" s="13"/>
      <c r="C521" s="15"/>
      <c r="D521" s="15"/>
      <c r="E521" s="15"/>
      <c r="F521" s="15"/>
      <c r="G521" s="15"/>
      <c r="H521" s="15"/>
      <c r="I521" s="15"/>
      <c r="J521" s="15"/>
      <c r="K521" s="15"/>
      <c r="L521" s="15"/>
      <c r="M521" s="15"/>
      <c r="N521" s="15"/>
      <c r="O521" s="15"/>
    </row>
    <row r="522" spans="2:15" ht="13.8">
      <c r="B522" s="13"/>
      <c r="C522" s="15"/>
      <c r="D522" s="15"/>
      <c r="E522" s="15"/>
      <c r="F522" s="15"/>
      <c r="G522" s="15"/>
      <c r="H522" s="15"/>
      <c r="I522" s="15"/>
      <c r="J522" s="15"/>
      <c r="K522" s="15"/>
      <c r="L522" s="15"/>
      <c r="M522" s="15"/>
      <c r="N522" s="15"/>
      <c r="O522" s="15"/>
    </row>
    <row r="523" spans="2:15" ht="13.8">
      <c r="B523" s="21"/>
      <c r="C523" s="15"/>
      <c r="D523" s="15"/>
      <c r="E523" s="15"/>
      <c r="F523" s="15"/>
      <c r="G523" s="15"/>
      <c r="H523" s="15"/>
      <c r="I523" s="15"/>
      <c r="J523" s="15"/>
      <c r="K523" s="15"/>
      <c r="L523" s="15"/>
      <c r="M523" s="15"/>
      <c r="N523" s="15"/>
      <c r="O523" s="15"/>
    </row>
    <row r="524" spans="2:15" ht="13.8">
      <c r="B524" s="14"/>
      <c r="C524" s="15"/>
      <c r="D524" s="15"/>
      <c r="E524" s="15"/>
      <c r="F524" s="15"/>
      <c r="G524" s="15"/>
      <c r="H524" s="15"/>
      <c r="I524" s="15"/>
      <c r="J524" s="15"/>
      <c r="K524" s="15"/>
      <c r="L524" s="15"/>
      <c r="M524" s="15"/>
      <c r="N524" s="15"/>
      <c r="O524" s="15"/>
    </row>
    <row r="525" spans="2:15" ht="13.8">
      <c r="B525" s="14"/>
      <c r="C525" s="15"/>
      <c r="D525" s="15"/>
      <c r="E525" s="15"/>
      <c r="F525" s="15"/>
      <c r="G525" s="15"/>
      <c r="H525" s="15"/>
      <c r="I525" s="15"/>
      <c r="J525" s="15"/>
      <c r="K525" s="15"/>
      <c r="L525" s="15"/>
      <c r="M525" s="15"/>
      <c r="N525" s="15"/>
      <c r="O525" s="15"/>
    </row>
    <row r="526" spans="2:15" ht="13.8">
      <c r="B526" s="9"/>
      <c r="C526" s="15"/>
      <c r="D526" s="15"/>
      <c r="E526" s="15"/>
      <c r="F526" s="15"/>
      <c r="G526" s="15"/>
      <c r="H526" s="15"/>
      <c r="I526" s="15"/>
      <c r="J526" s="15"/>
      <c r="K526" s="15"/>
      <c r="L526" s="15"/>
      <c r="M526" s="15"/>
      <c r="N526" s="15"/>
      <c r="O526" s="15"/>
    </row>
    <row r="527" spans="2:15" ht="13.8">
      <c r="B527" s="9"/>
      <c r="C527" s="15"/>
      <c r="D527" s="15"/>
      <c r="E527" s="15"/>
      <c r="F527" s="15"/>
      <c r="G527" s="15"/>
      <c r="H527" s="15"/>
      <c r="I527" s="15"/>
      <c r="J527" s="15"/>
      <c r="K527" s="15"/>
      <c r="L527" s="15"/>
      <c r="M527" s="15"/>
      <c r="N527" s="15"/>
      <c r="O527" s="15"/>
    </row>
    <row r="528" spans="2:15" ht="13.8">
      <c r="B528" s="9"/>
      <c r="C528" s="15"/>
      <c r="D528" s="15"/>
      <c r="E528" s="15"/>
      <c r="F528" s="15"/>
      <c r="G528" s="15"/>
      <c r="H528" s="15"/>
      <c r="I528" s="15"/>
      <c r="J528" s="15"/>
      <c r="K528" s="15"/>
      <c r="L528" s="15"/>
      <c r="M528" s="15"/>
      <c r="N528" s="15"/>
      <c r="O528" s="15"/>
    </row>
    <row r="529" spans="2:15" ht="13.8">
      <c r="B529" s="9"/>
      <c r="C529" s="15"/>
      <c r="D529" s="15"/>
      <c r="E529" s="15"/>
      <c r="F529" s="15"/>
      <c r="G529" s="15"/>
      <c r="H529" s="15"/>
      <c r="I529" s="15"/>
      <c r="J529" s="15"/>
      <c r="K529" s="15"/>
      <c r="L529" s="15"/>
      <c r="M529" s="15"/>
      <c r="N529" s="15"/>
      <c r="O529" s="15"/>
    </row>
    <row r="530" spans="2:15" ht="13.8">
      <c r="B530" s="9"/>
      <c r="C530" s="15"/>
      <c r="D530" s="15"/>
      <c r="E530" s="15"/>
      <c r="F530" s="15"/>
      <c r="G530" s="15"/>
      <c r="H530" s="15"/>
      <c r="I530" s="15"/>
      <c r="J530" s="15"/>
      <c r="K530" s="15"/>
      <c r="L530" s="15"/>
      <c r="M530" s="15"/>
      <c r="N530" s="15"/>
      <c r="O530" s="15"/>
    </row>
    <row r="531" spans="2:15" ht="13.8">
      <c r="B531" s="9"/>
      <c r="C531" s="15"/>
      <c r="D531" s="15"/>
      <c r="E531" s="15"/>
      <c r="F531" s="15"/>
      <c r="G531" s="15"/>
      <c r="H531" s="15"/>
      <c r="I531" s="15"/>
      <c r="J531" s="15"/>
      <c r="K531" s="15"/>
      <c r="L531" s="15"/>
      <c r="M531" s="15"/>
      <c r="N531" s="15"/>
      <c r="O531" s="15"/>
    </row>
    <row r="532" spans="2:15" ht="13.8">
      <c r="B532" s="9"/>
      <c r="C532" s="15"/>
      <c r="D532" s="15"/>
      <c r="E532" s="15"/>
      <c r="F532" s="15"/>
      <c r="G532" s="15"/>
      <c r="H532" s="15"/>
      <c r="I532" s="15"/>
      <c r="J532" s="15"/>
      <c r="K532" s="15"/>
      <c r="L532" s="15"/>
      <c r="M532" s="15"/>
      <c r="N532" s="15"/>
      <c r="O532" s="15"/>
    </row>
    <row r="533" spans="2:15" ht="13.8">
      <c r="B533" s="9"/>
      <c r="C533" s="15"/>
      <c r="D533" s="15"/>
      <c r="E533" s="15"/>
      <c r="F533" s="15"/>
      <c r="G533" s="15"/>
      <c r="H533" s="15"/>
      <c r="I533" s="15"/>
      <c r="J533" s="15"/>
      <c r="K533" s="15"/>
      <c r="L533" s="15"/>
      <c r="M533" s="15"/>
      <c r="N533" s="15"/>
      <c r="O533" s="15"/>
    </row>
    <row r="534" spans="2:15" ht="13.8">
      <c r="B534" s="9"/>
      <c r="C534" s="15"/>
      <c r="D534" s="15"/>
      <c r="E534" s="15"/>
      <c r="F534" s="15"/>
      <c r="G534" s="15"/>
      <c r="H534" s="15"/>
      <c r="I534" s="15"/>
      <c r="J534" s="15"/>
      <c r="K534" s="15"/>
      <c r="L534" s="15"/>
      <c r="M534" s="15"/>
      <c r="N534" s="15"/>
      <c r="O534" s="15"/>
    </row>
    <row r="535" spans="2:15" ht="13.8">
      <c r="B535" s="9"/>
      <c r="C535" s="15"/>
      <c r="D535" s="15"/>
      <c r="E535" s="15"/>
      <c r="F535" s="15"/>
      <c r="G535" s="15"/>
      <c r="H535" s="15"/>
      <c r="I535" s="15"/>
      <c r="J535" s="15"/>
      <c r="K535" s="15"/>
      <c r="L535" s="15"/>
      <c r="M535" s="15"/>
      <c r="N535" s="15"/>
      <c r="O535" s="15"/>
    </row>
    <row r="538" spans="2:15" ht="17.399999999999999">
      <c r="B538" s="682"/>
      <c r="C538" s="682"/>
      <c r="D538" s="682"/>
      <c r="E538" s="682"/>
      <c r="F538" s="682"/>
      <c r="G538" s="682"/>
      <c r="H538" s="682"/>
      <c r="I538" s="682"/>
      <c r="J538" s="682"/>
      <c r="K538" s="682"/>
      <c r="L538" s="682"/>
      <c r="M538" s="682"/>
      <c r="N538" s="682"/>
      <c r="O538"/>
    </row>
    <row r="539" spans="2:15" ht="13.8">
      <c r="B539" s="10"/>
      <c r="C539" s="15"/>
      <c r="D539" s="15"/>
      <c r="E539" s="15"/>
      <c r="F539" s="15"/>
      <c r="G539" s="15"/>
      <c r="H539" s="15"/>
      <c r="I539" s="15"/>
      <c r="J539" s="15"/>
      <c r="K539" s="15"/>
      <c r="L539" s="15"/>
      <c r="M539" s="15"/>
      <c r="N539" s="15"/>
      <c r="O539" s="15"/>
    </row>
    <row r="540" spans="2:15">
      <c r="B540" s="683"/>
      <c r="C540" s="683"/>
      <c r="D540" s="683"/>
      <c r="E540" s="683"/>
      <c r="F540" s="683"/>
      <c r="G540" s="683"/>
      <c r="H540" s="683"/>
      <c r="I540" s="683"/>
      <c r="J540" s="683"/>
      <c r="K540" s="683"/>
      <c r="L540" s="683"/>
      <c r="M540" s="683"/>
      <c r="N540" s="683"/>
      <c r="O540"/>
    </row>
    <row r="541" spans="2:15">
      <c r="B541" s="683"/>
      <c r="C541" s="683"/>
      <c r="D541" s="683"/>
      <c r="E541" s="683"/>
      <c r="F541" s="683"/>
      <c r="G541" s="683"/>
      <c r="H541" s="683"/>
      <c r="I541" s="683"/>
      <c r="J541" s="683"/>
      <c r="K541" s="683"/>
      <c r="L541" s="683"/>
      <c r="M541" s="683"/>
      <c r="N541" s="683"/>
      <c r="O541"/>
    </row>
    <row r="542" spans="2:15">
      <c r="B542" s="683"/>
      <c r="C542" s="683"/>
      <c r="D542" s="683"/>
      <c r="E542" s="683"/>
      <c r="F542" s="683"/>
      <c r="G542" s="683"/>
      <c r="H542" s="683"/>
      <c r="I542" s="683"/>
      <c r="J542" s="683"/>
      <c r="K542" s="683"/>
      <c r="L542" s="683"/>
      <c r="M542" s="683"/>
      <c r="N542" s="683"/>
      <c r="O542"/>
    </row>
    <row r="543" spans="2:15" ht="13.8">
      <c r="B543" s="4"/>
      <c r="C543" s="15"/>
      <c r="D543" s="17"/>
      <c r="E543" s="17"/>
      <c r="F543" s="15"/>
      <c r="G543" s="17"/>
      <c r="H543" s="17"/>
      <c r="I543" s="17"/>
      <c r="J543" s="15"/>
      <c r="K543" s="15"/>
      <c r="L543" s="15"/>
      <c r="M543" s="15"/>
      <c r="N543" s="15"/>
      <c r="O543" s="15"/>
    </row>
    <row r="544" spans="2:15" ht="13.8">
      <c r="B544" s="10"/>
      <c r="C544" s="17"/>
      <c r="D544" s="17"/>
      <c r="E544" s="17"/>
      <c r="F544" s="17"/>
      <c r="G544" s="17"/>
      <c r="H544" s="17"/>
      <c r="I544" s="17"/>
      <c r="J544" s="17"/>
      <c r="K544" s="17"/>
      <c r="L544" s="17"/>
      <c r="M544" s="17"/>
      <c r="N544" s="17"/>
      <c r="O544" s="17"/>
    </row>
    <row r="545" spans="2:15" ht="13.8">
      <c r="B545" s="9"/>
      <c r="C545" s="17"/>
      <c r="D545" s="17"/>
      <c r="E545" s="17"/>
      <c r="F545" s="20"/>
      <c r="G545" s="20"/>
      <c r="H545" s="20"/>
      <c r="I545" s="20"/>
      <c r="J545" s="20"/>
      <c r="K545" s="20"/>
      <c r="L545" s="20"/>
      <c r="M545" s="20"/>
      <c r="N545" s="20"/>
      <c r="O545" s="20"/>
    </row>
    <row r="546" spans="2:15" ht="13.8">
      <c r="B546" s="9"/>
      <c r="C546" s="17"/>
      <c r="D546" s="15"/>
      <c r="E546" s="15"/>
      <c r="F546" s="15"/>
      <c r="G546" s="15"/>
      <c r="H546" s="15"/>
      <c r="I546" s="15"/>
      <c r="J546" s="15"/>
      <c r="K546" s="15"/>
      <c r="L546" s="15"/>
      <c r="M546" s="15"/>
      <c r="N546" s="15"/>
      <c r="O546" s="15"/>
    </row>
    <row r="547" spans="2:15" ht="13.8">
      <c r="B547" s="21"/>
      <c r="C547" s="15"/>
      <c r="D547" s="15"/>
      <c r="E547" s="15"/>
      <c r="F547" s="15"/>
      <c r="G547" s="15"/>
      <c r="H547" s="15"/>
      <c r="I547" s="15"/>
      <c r="J547" s="15"/>
      <c r="K547" s="15"/>
      <c r="L547" s="15"/>
      <c r="M547" s="15"/>
      <c r="N547" s="15"/>
      <c r="O547" s="15"/>
    </row>
    <row r="548" spans="2:15" ht="13.8">
      <c r="B548" s="22"/>
      <c r="C548" s="15"/>
      <c r="D548" s="15"/>
      <c r="E548" s="15"/>
      <c r="F548" s="15"/>
      <c r="G548" s="15"/>
      <c r="H548" s="15"/>
      <c r="I548" s="15"/>
      <c r="J548" s="15"/>
      <c r="K548" s="15"/>
      <c r="L548" s="15"/>
      <c r="M548" s="15"/>
      <c r="N548" s="15"/>
      <c r="O548" s="15"/>
    </row>
    <row r="549" spans="2:15" ht="13.8">
      <c r="B549" s="22"/>
      <c r="C549" s="15"/>
      <c r="D549" s="15"/>
      <c r="E549" s="15"/>
      <c r="F549" s="15"/>
      <c r="G549" s="15"/>
      <c r="H549" s="15"/>
      <c r="I549" s="15"/>
      <c r="J549" s="15"/>
      <c r="K549" s="15"/>
      <c r="L549" s="15"/>
      <c r="M549" s="15"/>
      <c r="N549" s="15"/>
      <c r="O549" s="15"/>
    </row>
    <row r="550" spans="2:15" ht="13.8">
      <c r="B550" s="11"/>
      <c r="C550" s="15"/>
      <c r="D550" s="15"/>
      <c r="E550" s="15"/>
      <c r="F550" s="15"/>
      <c r="G550" s="15"/>
      <c r="H550" s="15"/>
      <c r="I550" s="15"/>
      <c r="J550" s="15"/>
      <c r="K550" s="15"/>
      <c r="L550" s="15"/>
      <c r="M550" s="15"/>
      <c r="N550" s="15"/>
      <c r="O550" s="15"/>
    </row>
    <row r="551" spans="2:15" ht="13.8">
      <c r="B551" s="11"/>
      <c r="C551" s="15"/>
      <c r="D551" s="15"/>
      <c r="E551" s="15"/>
      <c r="F551" s="15"/>
      <c r="G551" s="15"/>
      <c r="H551" s="15"/>
      <c r="I551" s="15"/>
      <c r="J551" s="15"/>
      <c r="K551" s="15"/>
      <c r="L551" s="15"/>
      <c r="M551" s="15"/>
      <c r="N551" s="15"/>
      <c r="O551" s="15"/>
    </row>
    <row r="552" spans="2:15" ht="13.8">
      <c r="B552" s="11"/>
      <c r="C552" s="15"/>
      <c r="D552" s="15"/>
      <c r="E552" s="15"/>
      <c r="F552" s="15"/>
      <c r="G552" s="15"/>
      <c r="H552" s="15"/>
      <c r="I552" s="15"/>
      <c r="J552" s="15"/>
      <c r="K552" s="15"/>
      <c r="L552" s="15"/>
      <c r="M552" s="15"/>
      <c r="N552" s="15"/>
      <c r="O552" s="15"/>
    </row>
    <row r="553" spans="2:15" ht="13.8">
      <c r="B553" s="11"/>
      <c r="C553" s="15"/>
      <c r="D553" s="15"/>
      <c r="E553" s="15"/>
      <c r="F553" s="15"/>
      <c r="G553" s="15"/>
      <c r="H553" s="15"/>
      <c r="I553" s="15"/>
      <c r="J553" s="15"/>
      <c r="K553" s="15"/>
      <c r="L553" s="15"/>
      <c r="M553" s="15"/>
      <c r="N553" s="15"/>
      <c r="O553" s="15"/>
    </row>
    <row r="554" spans="2:15" ht="13.8">
      <c r="B554" s="11"/>
      <c r="C554" s="15"/>
      <c r="D554" s="15"/>
      <c r="E554" s="15"/>
      <c r="F554" s="15"/>
      <c r="G554" s="15"/>
      <c r="H554" s="15"/>
      <c r="I554" s="15"/>
      <c r="J554" s="15"/>
      <c r="K554" s="15"/>
      <c r="L554" s="15"/>
      <c r="M554" s="15"/>
      <c r="N554" s="15"/>
      <c r="O554" s="15"/>
    </row>
    <row r="555" spans="2:15" ht="13.8">
      <c r="B555" s="11"/>
      <c r="C555" s="15"/>
      <c r="D555" s="15"/>
      <c r="E555" s="15"/>
      <c r="F555" s="15"/>
      <c r="G555" s="15"/>
      <c r="H555" s="15"/>
      <c r="I555" s="15"/>
      <c r="J555" s="15"/>
      <c r="K555" s="15"/>
      <c r="L555" s="15"/>
      <c r="M555" s="15"/>
      <c r="N555" s="15"/>
      <c r="O555" s="15"/>
    </row>
    <row r="556" spans="2:15" ht="13.8">
      <c r="B556" s="11"/>
      <c r="C556" s="15"/>
      <c r="D556" s="15"/>
      <c r="E556" s="15"/>
      <c r="F556" s="15"/>
      <c r="G556" s="15"/>
      <c r="H556" s="15"/>
      <c r="I556" s="15"/>
      <c r="J556" s="15"/>
      <c r="K556" s="15"/>
      <c r="L556" s="15"/>
      <c r="M556" s="15"/>
      <c r="N556" s="15"/>
      <c r="O556" s="15"/>
    </row>
    <row r="557" spans="2:15" ht="13.8">
      <c r="B557" s="12"/>
      <c r="C557" s="15"/>
      <c r="D557" s="15"/>
      <c r="E557" s="15"/>
      <c r="F557" s="15"/>
      <c r="G557" s="15"/>
      <c r="H557" s="15"/>
      <c r="I557" s="15"/>
      <c r="J557" s="15"/>
      <c r="K557" s="15"/>
      <c r="L557" s="15"/>
      <c r="M557" s="15"/>
      <c r="N557" s="15"/>
      <c r="O557" s="15"/>
    </row>
    <row r="558" spans="2:15" ht="13.8">
      <c r="B558" s="9"/>
      <c r="C558" s="15"/>
      <c r="D558" s="15"/>
      <c r="E558" s="15"/>
      <c r="F558" s="15"/>
      <c r="G558" s="15"/>
      <c r="H558" s="15"/>
      <c r="I558" s="15"/>
      <c r="J558" s="15"/>
      <c r="K558" s="15"/>
      <c r="L558" s="15"/>
      <c r="M558" s="15"/>
      <c r="N558" s="15"/>
      <c r="O558" s="15"/>
    </row>
    <row r="559" spans="2:15" ht="13.8">
      <c r="B559" s="21"/>
      <c r="C559" s="15"/>
      <c r="D559" s="15"/>
      <c r="E559" s="15"/>
      <c r="F559" s="15"/>
      <c r="G559" s="15"/>
      <c r="H559" s="15"/>
      <c r="I559" s="15"/>
      <c r="J559" s="15"/>
      <c r="K559" s="15"/>
      <c r="L559" s="15"/>
      <c r="M559" s="15"/>
      <c r="N559" s="15"/>
      <c r="O559" s="15"/>
    </row>
    <row r="560" spans="2:15" ht="13.8">
      <c r="B560" s="11"/>
      <c r="C560" s="15"/>
      <c r="D560" s="15"/>
      <c r="E560" s="15"/>
      <c r="F560" s="15"/>
      <c r="G560" s="15"/>
      <c r="H560" s="15"/>
      <c r="I560" s="15"/>
      <c r="J560" s="15"/>
      <c r="K560" s="15"/>
      <c r="L560" s="15"/>
      <c r="M560" s="15"/>
      <c r="N560" s="15"/>
      <c r="O560" s="15"/>
    </row>
    <row r="561" spans="2:15" ht="13.8">
      <c r="B561" s="11"/>
      <c r="C561" s="15"/>
      <c r="D561" s="15"/>
      <c r="E561" s="15"/>
      <c r="F561" s="15"/>
      <c r="G561" s="15"/>
      <c r="H561" s="15"/>
      <c r="I561" s="15"/>
      <c r="J561" s="15"/>
      <c r="K561" s="15"/>
      <c r="L561" s="15"/>
      <c r="M561" s="15"/>
      <c r="N561" s="15"/>
      <c r="O561" s="15"/>
    </row>
    <row r="562" spans="2:15" ht="13.8">
      <c r="B562" s="11"/>
      <c r="C562" s="15"/>
      <c r="D562" s="15"/>
      <c r="E562" s="15"/>
      <c r="F562" s="15"/>
      <c r="G562" s="15"/>
      <c r="H562" s="15"/>
      <c r="I562" s="15"/>
      <c r="J562" s="15"/>
      <c r="K562" s="15"/>
      <c r="L562" s="15"/>
      <c r="M562" s="15"/>
      <c r="N562" s="15"/>
      <c r="O562" s="15"/>
    </row>
    <row r="563" spans="2:15" ht="13.8">
      <c r="B563" s="11"/>
      <c r="C563" s="15"/>
      <c r="D563" s="15"/>
      <c r="E563" s="15"/>
      <c r="F563" s="15"/>
      <c r="G563" s="15"/>
      <c r="H563" s="15"/>
      <c r="I563" s="15"/>
      <c r="J563" s="15"/>
      <c r="K563" s="15"/>
      <c r="L563" s="15"/>
      <c r="M563" s="15"/>
      <c r="N563" s="15"/>
      <c r="O563" s="15"/>
    </row>
    <row r="564" spans="2:15" ht="13.8">
      <c r="B564" s="11"/>
      <c r="C564" s="15"/>
      <c r="D564" s="15"/>
      <c r="E564" s="15"/>
      <c r="F564" s="15"/>
      <c r="G564" s="15"/>
      <c r="H564" s="15"/>
      <c r="I564" s="15"/>
      <c r="J564" s="15"/>
      <c r="K564" s="15"/>
      <c r="L564" s="15"/>
      <c r="M564" s="15"/>
      <c r="N564" s="15"/>
      <c r="O564" s="15"/>
    </row>
    <row r="565" spans="2:15" ht="13.8">
      <c r="B565" s="11"/>
      <c r="C565" s="15"/>
      <c r="D565" s="15"/>
      <c r="E565" s="15"/>
      <c r="F565" s="15"/>
      <c r="G565" s="15"/>
      <c r="H565" s="15"/>
      <c r="I565" s="15"/>
      <c r="J565" s="15"/>
      <c r="K565" s="15"/>
      <c r="L565" s="15"/>
      <c r="M565" s="15"/>
      <c r="N565" s="15"/>
      <c r="O565" s="15"/>
    </row>
    <row r="566" spans="2:15" ht="13.8">
      <c r="B566" s="11"/>
      <c r="C566" s="15"/>
      <c r="D566" s="15"/>
      <c r="E566" s="15"/>
      <c r="F566" s="15"/>
      <c r="G566" s="15"/>
      <c r="H566" s="15"/>
      <c r="I566" s="15"/>
      <c r="J566" s="15"/>
      <c r="K566" s="15"/>
      <c r="L566" s="15"/>
      <c r="M566" s="15"/>
      <c r="N566" s="15"/>
      <c r="O566" s="15"/>
    </row>
    <row r="567" spans="2:15" ht="13.8">
      <c r="B567" s="12"/>
      <c r="C567" s="15"/>
      <c r="D567" s="15"/>
      <c r="E567" s="15"/>
      <c r="F567" s="15"/>
      <c r="G567" s="15"/>
      <c r="H567" s="15"/>
      <c r="I567" s="15"/>
      <c r="J567" s="15"/>
      <c r="K567" s="15"/>
      <c r="L567" s="15"/>
      <c r="M567" s="15"/>
      <c r="N567" s="15"/>
      <c r="O567" s="15"/>
    </row>
    <row r="568" spans="2:15" ht="13.8">
      <c r="B568" s="12"/>
      <c r="C568" s="15"/>
      <c r="D568" s="15"/>
      <c r="E568" s="15"/>
      <c r="F568" s="15"/>
      <c r="G568" s="15"/>
      <c r="H568" s="15"/>
      <c r="I568" s="15"/>
      <c r="J568" s="15"/>
      <c r="K568" s="15"/>
      <c r="L568" s="15"/>
      <c r="M568" s="15"/>
      <c r="N568" s="15"/>
      <c r="O568" s="15"/>
    </row>
    <row r="569" spans="2:15" ht="13.8">
      <c r="B569" s="13"/>
      <c r="C569" s="15"/>
      <c r="D569" s="15"/>
      <c r="E569" s="15"/>
      <c r="F569" s="15"/>
      <c r="G569" s="15"/>
      <c r="H569" s="15"/>
      <c r="I569" s="15"/>
      <c r="J569" s="15"/>
      <c r="K569" s="15"/>
      <c r="L569" s="15"/>
      <c r="M569" s="15"/>
      <c r="N569" s="15"/>
      <c r="O569" s="15"/>
    </row>
    <row r="570" spans="2:15" ht="13.8">
      <c r="B570" s="13"/>
      <c r="C570" s="15"/>
      <c r="D570" s="15"/>
      <c r="E570" s="15"/>
      <c r="F570" s="15"/>
      <c r="G570" s="15"/>
      <c r="H570" s="15"/>
      <c r="I570" s="15"/>
      <c r="J570" s="15"/>
      <c r="K570" s="15"/>
      <c r="L570" s="15"/>
      <c r="M570" s="15"/>
      <c r="N570" s="15"/>
      <c r="O570" s="15"/>
    </row>
    <row r="571" spans="2:15" ht="13.8">
      <c r="B571" s="21"/>
      <c r="C571" s="15"/>
      <c r="D571" s="15"/>
      <c r="E571" s="15"/>
      <c r="F571" s="15"/>
      <c r="G571" s="15"/>
      <c r="H571" s="15"/>
      <c r="I571" s="15"/>
      <c r="J571" s="15"/>
      <c r="K571" s="15"/>
      <c r="L571" s="15"/>
      <c r="M571" s="15"/>
      <c r="N571" s="15"/>
      <c r="O571" s="15"/>
    </row>
    <row r="572" spans="2:15" ht="13.8">
      <c r="B572" s="14"/>
      <c r="C572" s="15"/>
      <c r="D572" s="15"/>
      <c r="E572" s="15"/>
      <c r="F572" s="15"/>
      <c r="G572" s="15"/>
      <c r="H572" s="15"/>
      <c r="I572" s="15"/>
      <c r="J572" s="15"/>
      <c r="K572" s="15"/>
      <c r="L572" s="15"/>
      <c r="M572" s="15"/>
      <c r="N572" s="15"/>
      <c r="O572" s="15"/>
    </row>
    <row r="573" spans="2:15" ht="13.8">
      <c r="B573" s="14"/>
      <c r="C573" s="15"/>
      <c r="D573" s="15"/>
      <c r="E573" s="15"/>
      <c r="F573" s="15"/>
      <c r="G573" s="15"/>
      <c r="H573" s="15"/>
      <c r="I573" s="15"/>
      <c r="J573" s="15"/>
      <c r="K573" s="15"/>
      <c r="L573" s="15"/>
      <c r="M573" s="15"/>
      <c r="N573" s="15"/>
      <c r="O573" s="15"/>
    </row>
    <row r="574" spans="2:15" ht="13.8">
      <c r="B574" s="9"/>
      <c r="C574" s="15"/>
      <c r="D574" s="15"/>
      <c r="E574" s="15"/>
      <c r="F574" s="15"/>
      <c r="G574" s="15"/>
      <c r="H574" s="15"/>
      <c r="I574" s="15"/>
      <c r="J574" s="15"/>
      <c r="K574" s="15"/>
      <c r="L574" s="15"/>
      <c r="M574" s="15"/>
      <c r="N574" s="15"/>
      <c r="O574" s="15"/>
    </row>
    <row r="575" spans="2:15" ht="13.8">
      <c r="B575" s="9"/>
      <c r="C575" s="15"/>
      <c r="D575" s="15"/>
      <c r="E575" s="15"/>
      <c r="F575" s="15"/>
      <c r="G575" s="15"/>
      <c r="H575" s="15"/>
      <c r="I575" s="15"/>
      <c r="J575" s="15"/>
      <c r="K575" s="15"/>
      <c r="L575" s="15"/>
      <c r="M575" s="15"/>
      <c r="N575" s="15"/>
      <c r="O575" s="15"/>
    </row>
    <row r="576" spans="2:15" ht="13.8">
      <c r="B576" s="9"/>
      <c r="C576" s="15"/>
      <c r="D576" s="15"/>
      <c r="E576" s="15"/>
      <c r="F576" s="15"/>
      <c r="G576" s="15"/>
      <c r="H576" s="15"/>
      <c r="I576" s="15"/>
      <c r="J576" s="15"/>
      <c r="K576" s="15"/>
      <c r="L576" s="15"/>
      <c r="M576" s="15"/>
      <c r="N576" s="15"/>
      <c r="O576" s="15"/>
    </row>
    <row r="577" spans="2:15" ht="13.8">
      <c r="B577" s="9"/>
      <c r="C577" s="15"/>
      <c r="D577" s="15"/>
      <c r="E577" s="15"/>
      <c r="F577" s="15"/>
      <c r="G577" s="15"/>
      <c r="H577" s="15"/>
      <c r="I577" s="15"/>
      <c r="J577" s="15"/>
      <c r="K577" s="15"/>
      <c r="L577" s="15"/>
      <c r="M577" s="15"/>
      <c r="N577" s="15"/>
      <c r="O577" s="15"/>
    </row>
    <row r="578" spans="2:15" ht="13.8">
      <c r="B578" s="9"/>
      <c r="C578" s="15"/>
      <c r="D578" s="15"/>
      <c r="E578" s="15"/>
      <c r="F578" s="15"/>
      <c r="G578" s="15"/>
      <c r="H578" s="15"/>
      <c r="I578" s="15"/>
      <c r="J578" s="15"/>
      <c r="K578" s="15"/>
      <c r="L578" s="15"/>
      <c r="M578" s="15"/>
      <c r="N578" s="15"/>
      <c r="O578" s="15"/>
    </row>
    <row r="579" spans="2:15" ht="13.8">
      <c r="B579" s="9"/>
      <c r="C579" s="15"/>
      <c r="D579" s="15"/>
      <c r="E579" s="15"/>
      <c r="F579" s="15"/>
      <c r="G579" s="15"/>
      <c r="H579" s="15"/>
      <c r="I579" s="15"/>
      <c r="J579" s="15"/>
      <c r="K579" s="15"/>
      <c r="L579" s="15"/>
      <c r="M579" s="15"/>
      <c r="N579" s="15"/>
      <c r="O579" s="15"/>
    </row>
    <row r="580" spans="2:15" ht="13.8">
      <c r="B580" s="9"/>
      <c r="C580" s="15"/>
      <c r="D580" s="15"/>
      <c r="E580" s="15"/>
      <c r="F580" s="15"/>
      <c r="G580" s="15"/>
      <c r="H580" s="15"/>
      <c r="I580" s="15"/>
      <c r="J580" s="15"/>
      <c r="K580" s="15"/>
      <c r="L580" s="15"/>
      <c r="M580" s="15"/>
      <c r="N580" s="15"/>
      <c r="O580" s="15"/>
    </row>
    <row r="581" spans="2:15" ht="13.8">
      <c r="B581" s="9"/>
      <c r="C581" s="15"/>
      <c r="D581" s="15"/>
      <c r="E581" s="15"/>
      <c r="F581" s="15"/>
      <c r="G581" s="15"/>
      <c r="H581" s="15"/>
      <c r="I581" s="15"/>
      <c r="J581" s="15"/>
      <c r="K581" s="15"/>
      <c r="L581" s="15"/>
      <c r="M581" s="15"/>
      <c r="N581" s="15"/>
      <c r="O581" s="15"/>
    </row>
    <row r="582" spans="2:15" ht="13.8">
      <c r="B582" s="9"/>
      <c r="C582" s="15"/>
      <c r="D582" s="15"/>
      <c r="E582" s="15"/>
      <c r="F582" s="15"/>
      <c r="G582" s="15"/>
      <c r="H582" s="15"/>
      <c r="I582" s="15"/>
      <c r="J582" s="15"/>
      <c r="K582" s="15"/>
      <c r="L582" s="15"/>
      <c r="M582" s="15"/>
      <c r="N582" s="15"/>
      <c r="O582" s="15"/>
    </row>
    <row r="583" spans="2:15" ht="13.8">
      <c r="B583" s="9"/>
      <c r="C583" s="15"/>
      <c r="D583" s="15"/>
      <c r="E583" s="15"/>
      <c r="F583" s="15"/>
      <c r="G583" s="15"/>
      <c r="H583" s="15"/>
      <c r="I583" s="15"/>
      <c r="J583" s="15"/>
      <c r="K583" s="15"/>
      <c r="L583" s="15"/>
      <c r="M583" s="15"/>
      <c r="N583" s="15"/>
      <c r="O583" s="15"/>
    </row>
    <row r="584" spans="2:15" ht="13.8">
      <c r="B584" s="9"/>
      <c r="C584" s="15"/>
      <c r="D584" s="15"/>
      <c r="E584" s="15"/>
      <c r="F584" s="15"/>
      <c r="G584" s="15"/>
      <c r="H584" s="15"/>
      <c r="I584" s="15"/>
      <c r="J584" s="15"/>
      <c r="K584" s="15"/>
      <c r="L584" s="15"/>
      <c r="M584" s="15"/>
      <c r="N584" s="15"/>
      <c r="O584" s="15"/>
    </row>
    <row r="585" spans="2:15" ht="13.8">
      <c r="B585" s="9"/>
      <c r="C585" s="15"/>
      <c r="D585" s="15"/>
      <c r="E585" s="15"/>
      <c r="F585" s="15"/>
      <c r="G585" s="15"/>
      <c r="H585" s="15"/>
      <c r="I585" s="15"/>
      <c r="J585" s="15"/>
      <c r="K585" s="15"/>
      <c r="L585" s="15"/>
      <c r="M585" s="15"/>
      <c r="N585" s="15"/>
      <c r="O585" s="15"/>
    </row>
    <row r="587" spans="2:15" ht="17.399999999999999">
      <c r="B587" s="682"/>
      <c r="C587" s="682"/>
      <c r="D587" s="682"/>
      <c r="E587" s="682"/>
      <c r="F587" s="682"/>
      <c r="G587" s="682"/>
      <c r="H587" s="682"/>
      <c r="I587" s="682"/>
      <c r="J587" s="682"/>
      <c r="K587" s="682"/>
      <c r="L587" s="682"/>
      <c r="M587" s="682"/>
      <c r="N587" s="682"/>
      <c r="O587"/>
    </row>
    <row r="588" spans="2:15" ht="13.8">
      <c r="B588" s="10"/>
      <c r="C588" s="15"/>
      <c r="D588" s="15"/>
      <c r="E588" s="15"/>
      <c r="F588" s="15"/>
      <c r="G588" s="15"/>
      <c r="H588" s="15"/>
      <c r="I588" s="15"/>
      <c r="J588" s="15"/>
      <c r="K588" s="15"/>
      <c r="L588" s="15"/>
      <c r="M588" s="15"/>
      <c r="N588" s="15"/>
      <c r="O588" s="15"/>
    </row>
    <row r="589" spans="2:15">
      <c r="B589" s="683"/>
      <c r="C589" s="683"/>
      <c r="D589" s="683"/>
      <c r="E589" s="683"/>
      <c r="F589" s="683"/>
      <c r="G589" s="683"/>
      <c r="H589" s="683"/>
      <c r="I589" s="683"/>
      <c r="J589" s="683"/>
      <c r="K589" s="683"/>
      <c r="L589" s="683"/>
      <c r="M589" s="683"/>
      <c r="N589" s="683"/>
      <c r="O589"/>
    </row>
    <row r="590" spans="2:15">
      <c r="B590" s="683"/>
      <c r="C590" s="683"/>
      <c r="D590" s="683"/>
      <c r="E590" s="683"/>
      <c r="F590" s="683"/>
      <c r="G590" s="683"/>
      <c r="H590" s="683"/>
      <c r="I590" s="683"/>
      <c r="J590" s="683"/>
      <c r="K590" s="683"/>
      <c r="L590" s="683"/>
      <c r="M590" s="683"/>
      <c r="N590" s="683"/>
      <c r="O590"/>
    </row>
    <row r="591" spans="2:15" ht="13.8">
      <c r="B591" s="19"/>
      <c r="C591" s="16"/>
      <c r="D591" s="16"/>
      <c r="E591" s="16"/>
      <c r="F591" s="16"/>
      <c r="G591" s="16"/>
      <c r="H591" s="16"/>
      <c r="I591" s="16"/>
      <c r="J591" s="16"/>
      <c r="K591" s="16"/>
      <c r="L591" s="15"/>
      <c r="M591" s="15"/>
      <c r="N591" s="15"/>
      <c r="O591" s="15"/>
    </row>
    <row r="592" spans="2:15" ht="13.8">
      <c r="B592" s="4"/>
      <c r="C592" s="15"/>
      <c r="D592" s="17"/>
      <c r="E592" s="17"/>
      <c r="F592" s="15"/>
      <c r="G592" s="17"/>
      <c r="H592" s="17"/>
      <c r="I592" s="17"/>
      <c r="J592" s="15"/>
      <c r="K592" s="15"/>
      <c r="L592" s="15"/>
      <c r="M592" s="15"/>
      <c r="N592" s="15"/>
      <c r="O592" s="15"/>
    </row>
    <row r="593" spans="2:15" ht="13.8">
      <c r="B593" s="10"/>
      <c r="C593" s="17"/>
      <c r="D593" s="17"/>
      <c r="E593" s="17"/>
      <c r="F593" s="17"/>
      <c r="G593" s="17"/>
      <c r="H593" s="17"/>
      <c r="I593" s="17"/>
      <c r="J593" s="17"/>
      <c r="K593" s="17"/>
      <c r="L593" s="17"/>
      <c r="M593" s="17"/>
      <c r="N593" s="17"/>
      <c r="O593" s="17"/>
    </row>
    <row r="594" spans="2:15" ht="13.8">
      <c r="B594" s="9"/>
      <c r="C594" s="17"/>
      <c r="D594" s="17"/>
      <c r="E594" s="17"/>
      <c r="F594" s="20"/>
      <c r="G594" s="20"/>
      <c r="H594" s="20"/>
      <c r="I594" s="20"/>
      <c r="J594" s="20"/>
      <c r="K594" s="20"/>
      <c r="L594" s="20"/>
      <c r="M594" s="20"/>
      <c r="N594" s="20"/>
      <c r="O594" s="20"/>
    </row>
    <row r="595" spans="2:15" ht="13.8">
      <c r="B595" s="9"/>
      <c r="C595" s="17"/>
      <c r="D595" s="15"/>
      <c r="E595" s="15"/>
      <c r="F595" s="15"/>
      <c r="G595" s="15"/>
      <c r="H595" s="15"/>
      <c r="I595" s="15"/>
      <c r="J595" s="15"/>
      <c r="K595" s="15"/>
      <c r="L595" s="15"/>
      <c r="M595" s="15"/>
      <c r="N595" s="15"/>
      <c r="O595" s="15"/>
    </row>
    <row r="596" spans="2:15" ht="13.8">
      <c r="B596" s="21"/>
      <c r="C596" s="15"/>
      <c r="D596" s="15"/>
      <c r="E596" s="15"/>
      <c r="F596" s="15"/>
      <c r="G596" s="15"/>
      <c r="H596" s="15"/>
      <c r="I596" s="15"/>
      <c r="J596" s="15"/>
      <c r="K596" s="15"/>
      <c r="L596" s="15"/>
      <c r="M596" s="15"/>
      <c r="N596" s="15"/>
      <c r="O596" s="15"/>
    </row>
    <row r="597" spans="2:15" ht="13.8">
      <c r="B597" s="22"/>
      <c r="C597" s="15"/>
      <c r="D597" s="15"/>
      <c r="E597" s="15"/>
      <c r="F597" s="15"/>
      <c r="G597" s="15"/>
      <c r="H597" s="15"/>
      <c r="I597" s="15"/>
      <c r="J597" s="15"/>
      <c r="K597" s="15"/>
      <c r="L597" s="15"/>
      <c r="M597" s="15"/>
      <c r="N597" s="15"/>
      <c r="O597" s="15"/>
    </row>
    <row r="598" spans="2:15" ht="13.8">
      <c r="B598" s="11"/>
      <c r="C598" s="15"/>
      <c r="D598" s="15"/>
      <c r="E598" s="15"/>
      <c r="F598" s="15"/>
      <c r="G598" s="15"/>
      <c r="H598" s="15"/>
      <c r="I598" s="15"/>
      <c r="J598" s="15"/>
      <c r="K598" s="15"/>
      <c r="L598" s="15"/>
      <c r="M598" s="15"/>
      <c r="N598" s="15"/>
      <c r="O598" s="15"/>
    </row>
    <row r="599" spans="2:15" ht="13.8">
      <c r="B599" s="11"/>
      <c r="C599" s="15"/>
      <c r="D599" s="15"/>
      <c r="E599" s="15"/>
      <c r="F599" s="15"/>
      <c r="G599" s="15"/>
      <c r="H599" s="15"/>
      <c r="I599" s="15"/>
      <c r="J599" s="15"/>
      <c r="K599" s="15"/>
      <c r="L599" s="15"/>
      <c r="M599" s="15"/>
      <c r="N599" s="15"/>
      <c r="O599" s="15"/>
    </row>
    <row r="600" spans="2:15" ht="13.8">
      <c r="B600" s="12"/>
      <c r="C600" s="15"/>
      <c r="D600" s="15"/>
      <c r="E600" s="15"/>
      <c r="F600" s="15"/>
      <c r="G600" s="15"/>
      <c r="H600" s="15"/>
      <c r="I600" s="15"/>
      <c r="J600" s="15"/>
      <c r="K600" s="15"/>
      <c r="L600" s="15"/>
      <c r="M600" s="15"/>
      <c r="N600" s="15"/>
      <c r="O600" s="15"/>
    </row>
    <row r="601" spans="2:15" ht="13.8">
      <c r="B601" s="9"/>
      <c r="C601" s="15"/>
      <c r="D601" s="15"/>
      <c r="E601" s="15"/>
      <c r="F601" s="15"/>
      <c r="G601" s="15"/>
      <c r="H601" s="15"/>
      <c r="I601" s="15"/>
      <c r="J601" s="15"/>
      <c r="K601" s="15"/>
      <c r="L601" s="15"/>
      <c r="M601" s="15"/>
      <c r="N601" s="15"/>
      <c r="O601" s="15"/>
    </row>
    <row r="602" spans="2:15" ht="13.8">
      <c r="B602" s="21"/>
      <c r="C602" s="15"/>
      <c r="D602" s="15"/>
      <c r="E602" s="15"/>
      <c r="F602" s="15"/>
      <c r="G602" s="15"/>
      <c r="H602" s="15"/>
      <c r="I602" s="15"/>
      <c r="J602" s="15"/>
      <c r="K602" s="15"/>
      <c r="L602" s="15"/>
      <c r="M602" s="15"/>
      <c r="N602" s="15"/>
      <c r="O602" s="15"/>
    </row>
    <row r="603" spans="2:15" ht="13.8">
      <c r="B603" s="11"/>
      <c r="C603" s="15"/>
      <c r="D603" s="15"/>
      <c r="E603" s="15"/>
      <c r="F603" s="15"/>
      <c r="G603" s="15"/>
      <c r="H603" s="15"/>
      <c r="I603" s="15"/>
      <c r="J603" s="15"/>
      <c r="K603" s="15"/>
      <c r="L603" s="15"/>
      <c r="M603" s="15"/>
      <c r="N603" s="15"/>
      <c r="O603" s="15"/>
    </row>
    <row r="604" spans="2:15" ht="13.8">
      <c r="B604" s="12"/>
      <c r="C604" s="15"/>
      <c r="D604" s="15"/>
      <c r="E604" s="15"/>
      <c r="F604" s="15"/>
      <c r="G604" s="15"/>
      <c r="H604" s="15"/>
      <c r="I604" s="15"/>
      <c r="J604" s="15"/>
      <c r="K604" s="15"/>
      <c r="L604" s="15"/>
      <c r="M604" s="15"/>
      <c r="N604" s="15"/>
      <c r="O604" s="15"/>
    </row>
    <row r="605" spans="2:15" ht="13.8">
      <c r="B605" s="12"/>
      <c r="C605" s="15"/>
      <c r="D605" s="15"/>
      <c r="E605" s="15"/>
      <c r="F605" s="15"/>
      <c r="G605" s="15"/>
      <c r="H605" s="15"/>
      <c r="I605" s="15"/>
      <c r="J605" s="15"/>
      <c r="K605" s="15"/>
      <c r="L605" s="15"/>
      <c r="M605" s="15"/>
      <c r="N605" s="15"/>
      <c r="O605" s="15"/>
    </row>
    <row r="606" spans="2:15" ht="13.8">
      <c r="B606" s="13"/>
      <c r="C606" s="15"/>
      <c r="D606" s="15"/>
      <c r="E606" s="15"/>
      <c r="F606" s="15"/>
      <c r="G606" s="15"/>
      <c r="H606" s="15"/>
      <c r="I606" s="15"/>
      <c r="J606" s="15"/>
      <c r="K606" s="15"/>
      <c r="L606" s="15"/>
      <c r="M606" s="15"/>
      <c r="N606" s="15"/>
      <c r="O606" s="15"/>
    </row>
    <row r="607" spans="2:15" ht="13.8">
      <c r="B607" s="13"/>
      <c r="C607" s="15"/>
      <c r="D607" s="15"/>
      <c r="E607" s="15"/>
      <c r="F607" s="15"/>
      <c r="G607" s="15"/>
      <c r="H607" s="15"/>
      <c r="I607" s="15"/>
      <c r="J607" s="15"/>
      <c r="K607" s="15"/>
      <c r="L607" s="15"/>
      <c r="M607" s="15"/>
      <c r="N607" s="15"/>
      <c r="O607" s="15"/>
    </row>
    <row r="608" spans="2:15" ht="13.8">
      <c r="B608" s="21"/>
      <c r="C608" s="15"/>
      <c r="D608" s="15"/>
      <c r="E608" s="15"/>
      <c r="F608" s="15"/>
      <c r="G608" s="15"/>
      <c r="H608" s="15"/>
      <c r="I608" s="15"/>
      <c r="J608" s="15"/>
      <c r="K608" s="15"/>
      <c r="L608" s="15"/>
      <c r="M608" s="15"/>
      <c r="N608" s="15"/>
      <c r="O608" s="15"/>
    </row>
    <row r="609" spans="2:15" ht="13.8">
      <c r="B609" s="14"/>
      <c r="C609" s="15"/>
      <c r="D609" s="15"/>
      <c r="E609" s="15"/>
      <c r="F609" s="15"/>
      <c r="G609" s="15"/>
      <c r="H609" s="15"/>
      <c r="I609" s="15"/>
      <c r="J609" s="15"/>
      <c r="K609" s="15"/>
      <c r="L609" s="15"/>
      <c r="M609" s="15"/>
      <c r="N609" s="15"/>
      <c r="O609" s="15"/>
    </row>
    <row r="610" spans="2:15" ht="13.8">
      <c r="B610" s="14"/>
      <c r="C610" s="15"/>
      <c r="D610" s="15"/>
      <c r="E610" s="15"/>
      <c r="F610" s="15"/>
      <c r="G610" s="15"/>
      <c r="H610" s="15"/>
      <c r="I610" s="15"/>
      <c r="J610" s="15"/>
      <c r="K610" s="15"/>
      <c r="L610" s="15"/>
      <c r="M610" s="15"/>
      <c r="N610" s="15"/>
      <c r="O610" s="15"/>
    </row>
    <row r="611" spans="2:15" ht="13.8">
      <c r="B611" s="9"/>
      <c r="C611" s="15"/>
      <c r="D611" s="15"/>
      <c r="E611" s="15"/>
      <c r="F611" s="15"/>
      <c r="G611" s="15"/>
      <c r="H611" s="15"/>
      <c r="I611" s="15"/>
      <c r="J611" s="15"/>
      <c r="K611" s="15"/>
      <c r="L611" s="15"/>
      <c r="M611" s="15"/>
      <c r="N611" s="15"/>
      <c r="O611" s="15"/>
    </row>
    <row r="612" spans="2:15" ht="13.8">
      <c r="B612" s="9"/>
      <c r="C612" s="15"/>
      <c r="D612" s="15"/>
      <c r="E612" s="15"/>
      <c r="F612" s="15"/>
      <c r="G612" s="15"/>
      <c r="H612" s="15"/>
      <c r="I612" s="15"/>
      <c r="J612" s="15"/>
      <c r="K612" s="15"/>
      <c r="L612" s="15"/>
      <c r="M612" s="15"/>
      <c r="N612" s="15"/>
      <c r="O612" s="15"/>
    </row>
    <row r="613" spans="2:15" ht="13.8">
      <c r="B613" s="9"/>
      <c r="C613" s="15"/>
      <c r="D613" s="15"/>
      <c r="E613" s="15"/>
      <c r="F613" s="15"/>
      <c r="G613" s="15"/>
      <c r="H613" s="15"/>
      <c r="I613" s="15"/>
      <c r="J613" s="15"/>
      <c r="K613" s="15"/>
      <c r="L613" s="15"/>
      <c r="M613" s="15"/>
      <c r="N613" s="15"/>
      <c r="O613" s="15"/>
    </row>
    <row r="614" spans="2:15" ht="13.8">
      <c r="B614" s="9"/>
      <c r="C614" s="15"/>
      <c r="D614" s="15"/>
      <c r="E614" s="15"/>
      <c r="F614" s="15"/>
      <c r="G614" s="15"/>
      <c r="H614" s="15"/>
      <c r="I614" s="15"/>
      <c r="J614" s="15"/>
      <c r="K614" s="15"/>
      <c r="L614" s="15"/>
      <c r="M614" s="15"/>
      <c r="N614" s="15"/>
      <c r="O614" s="15"/>
    </row>
    <row r="615" spans="2:15" ht="13.8">
      <c r="B615" s="9"/>
      <c r="C615" s="15"/>
      <c r="D615" s="15"/>
      <c r="E615" s="15"/>
      <c r="F615" s="15"/>
      <c r="G615" s="15"/>
      <c r="H615" s="15"/>
      <c r="I615" s="15"/>
      <c r="J615" s="15"/>
      <c r="K615" s="15"/>
      <c r="L615" s="15"/>
      <c r="M615" s="15"/>
      <c r="N615" s="15"/>
      <c r="O615" s="15"/>
    </row>
    <row r="616" spans="2:15" ht="13.8">
      <c r="B616" s="9"/>
      <c r="C616" s="15"/>
      <c r="D616" s="15"/>
      <c r="E616" s="15"/>
      <c r="F616" s="15"/>
      <c r="G616" s="15"/>
      <c r="H616" s="15"/>
      <c r="I616" s="15"/>
      <c r="J616" s="15"/>
      <c r="K616" s="15"/>
      <c r="L616" s="15"/>
      <c r="M616" s="15"/>
      <c r="N616" s="15"/>
      <c r="O616" s="15"/>
    </row>
    <row r="617" spans="2:15" ht="13.8">
      <c r="B617" s="9"/>
      <c r="C617" s="15"/>
      <c r="D617" s="15"/>
      <c r="E617" s="15"/>
      <c r="F617" s="15"/>
      <c r="G617" s="15"/>
      <c r="H617" s="15"/>
      <c r="I617" s="15"/>
      <c r="J617" s="15"/>
      <c r="K617" s="15"/>
      <c r="L617" s="15"/>
      <c r="M617" s="15"/>
      <c r="N617" s="15"/>
      <c r="O617" s="15"/>
    </row>
    <row r="618" spans="2:15" ht="13.8">
      <c r="B618" s="9"/>
      <c r="C618" s="15"/>
      <c r="D618" s="15"/>
      <c r="E618" s="15"/>
      <c r="F618" s="15"/>
      <c r="G618" s="15"/>
      <c r="H618" s="15"/>
      <c r="I618" s="15"/>
      <c r="J618" s="15"/>
      <c r="K618" s="15"/>
      <c r="L618" s="15"/>
      <c r="M618" s="15"/>
      <c r="N618" s="15"/>
      <c r="O618" s="15"/>
    </row>
    <row r="619" spans="2:15" ht="13.8">
      <c r="B619" s="9"/>
      <c r="C619" s="15"/>
      <c r="D619" s="15"/>
      <c r="E619" s="15"/>
      <c r="F619" s="15"/>
      <c r="G619" s="15"/>
      <c r="H619" s="15"/>
      <c r="I619" s="15"/>
      <c r="J619" s="15"/>
      <c r="K619" s="15"/>
      <c r="L619" s="15"/>
      <c r="M619" s="15"/>
      <c r="N619" s="15"/>
      <c r="O619" s="15"/>
    </row>
    <row r="620" spans="2:15" ht="13.8">
      <c r="B620" s="9"/>
      <c r="C620" s="15"/>
      <c r="D620" s="15"/>
      <c r="E620" s="15"/>
      <c r="F620" s="15"/>
      <c r="G620" s="15"/>
      <c r="H620" s="15"/>
      <c r="I620" s="15"/>
      <c r="J620" s="15"/>
      <c r="K620" s="15"/>
      <c r="L620" s="15"/>
      <c r="M620" s="15"/>
      <c r="N620" s="15"/>
      <c r="O620" s="15"/>
    </row>
    <row r="621" spans="2:15" ht="13.8">
      <c r="B621" s="9"/>
      <c r="C621" s="15"/>
      <c r="D621" s="15"/>
      <c r="E621" s="15"/>
      <c r="F621" s="15"/>
      <c r="G621" s="15"/>
      <c r="H621" s="15"/>
      <c r="I621" s="15"/>
      <c r="J621" s="15"/>
      <c r="K621" s="15"/>
      <c r="L621" s="15"/>
      <c r="M621" s="15"/>
      <c r="N621" s="15"/>
      <c r="O621" s="15"/>
    </row>
    <row r="624" spans="2:15" ht="17.399999999999999">
      <c r="B624" s="682"/>
      <c r="C624" s="682"/>
      <c r="D624" s="682"/>
      <c r="E624" s="682"/>
      <c r="F624" s="682"/>
      <c r="G624" s="682"/>
      <c r="H624" s="682"/>
      <c r="I624" s="682"/>
      <c r="J624" s="682"/>
      <c r="K624" s="682"/>
      <c r="L624" s="682"/>
      <c r="M624" s="682"/>
      <c r="N624" s="682"/>
      <c r="O624"/>
    </row>
    <row r="625" spans="2:15" ht="13.8">
      <c r="B625" s="10"/>
      <c r="C625" s="15"/>
      <c r="D625" s="15"/>
      <c r="E625" s="15"/>
      <c r="F625" s="15"/>
      <c r="G625" s="15"/>
      <c r="H625" s="15"/>
      <c r="I625" s="15"/>
      <c r="J625" s="15"/>
      <c r="K625" s="15"/>
      <c r="L625" s="15"/>
      <c r="M625" s="15"/>
      <c r="N625" s="15"/>
      <c r="O625" s="15"/>
    </row>
    <row r="626" spans="2:15">
      <c r="B626" s="683"/>
      <c r="C626" s="683"/>
      <c r="D626" s="683"/>
      <c r="E626" s="683"/>
      <c r="F626" s="683"/>
      <c r="G626" s="683"/>
      <c r="H626" s="683"/>
      <c r="I626" s="683"/>
      <c r="J626" s="683"/>
      <c r="K626" s="683"/>
      <c r="L626" s="683"/>
      <c r="M626" s="683"/>
      <c r="N626" s="683"/>
      <c r="O626"/>
    </row>
    <row r="627" spans="2:15">
      <c r="B627" s="683"/>
      <c r="C627" s="683"/>
      <c r="D627" s="683"/>
      <c r="E627" s="683"/>
      <c r="F627" s="683"/>
      <c r="G627" s="683"/>
      <c r="H627" s="683"/>
      <c r="I627" s="683"/>
      <c r="J627" s="683"/>
      <c r="K627" s="683"/>
      <c r="L627" s="683"/>
      <c r="M627" s="683"/>
      <c r="N627" s="683"/>
      <c r="O627"/>
    </row>
    <row r="628" spans="2:15" ht="13.8">
      <c r="B628" s="19"/>
      <c r="C628" s="16"/>
      <c r="D628" s="16"/>
      <c r="E628" s="16"/>
      <c r="F628" s="16"/>
      <c r="G628" s="16"/>
      <c r="H628" s="16"/>
      <c r="I628" s="16"/>
      <c r="J628" s="16"/>
      <c r="K628" s="16"/>
      <c r="L628" s="15"/>
      <c r="M628" s="15"/>
      <c r="N628" s="15"/>
      <c r="O628" s="15"/>
    </row>
    <row r="629" spans="2:15" ht="13.8">
      <c r="B629" s="4"/>
      <c r="C629" s="15"/>
      <c r="D629" s="17"/>
      <c r="E629" s="17"/>
      <c r="F629" s="15"/>
      <c r="G629" s="17"/>
      <c r="H629" s="17"/>
      <c r="I629" s="17"/>
      <c r="J629" s="15"/>
      <c r="K629" s="15"/>
      <c r="L629" s="15"/>
      <c r="M629" s="15"/>
      <c r="N629" s="15"/>
      <c r="O629" s="15"/>
    </row>
    <row r="630" spans="2:15" ht="13.8">
      <c r="B630" s="10"/>
      <c r="C630" s="17"/>
      <c r="D630" s="17"/>
      <c r="E630" s="17"/>
      <c r="F630" s="17"/>
      <c r="G630" s="17"/>
      <c r="H630" s="17"/>
      <c r="I630" s="17"/>
      <c r="J630" s="17"/>
      <c r="K630" s="17"/>
      <c r="L630" s="17"/>
      <c r="M630" s="17"/>
      <c r="N630" s="17"/>
      <c r="O630" s="17"/>
    </row>
    <row r="631" spans="2:15" ht="13.8">
      <c r="B631" s="9"/>
      <c r="C631" s="17"/>
      <c r="D631" s="17"/>
      <c r="E631" s="17"/>
      <c r="F631" s="20"/>
      <c r="G631" s="20"/>
      <c r="H631" s="20"/>
      <c r="I631" s="20"/>
      <c r="J631" s="20"/>
      <c r="K631" s="20"/>
      <c r="L631" s="20"/>
      <c r="M631" s="20"/>
      <c r="N631" s="20"/>
      <c r="O631" s="20"/>
    </row>
    <row r="632" spans="2:15" ht="13.8">
      <c r="B632" s="9"/>
      <c r="C632" s="17"/>
      <c r="D632" s="15"/>
      <c r="E632" s="15"/>
      <c r="F632" s="15"/>
      <c r="G632" s="15"/>
      <c r="H632" s="15"/>
      <c r="I632" s="15"/>
      <c r="J632" s="15"/>
      <c r="K632" s="15"/>
      <c r="L632" s="15"/>
      <c r="M632" s="15"/>
      <c r="N632" s="15"/>
      <c r="O632" s="15"/>
    </row>
    <row r="633" spans="2:15" ht="13.8">
      <c r="B633" s="21"/>
      <c r="C633" s="15"/>
      <c r="D633" s="15"/>
      <c r="E633" s="15"/>
      <c r="F633" s="15"/>
      <c r="G633" s="15"/>
      <c r="H633" s="15"/>
      <c r="I633" s="15"/>
      <c r="J633" s="15"/>
      <c r="K633" s="15"/>
      <c r="L633" s="15"/>
      <c r="M633" s="15"/>
      <c r="N633" s="15"/>
      <c r="O633" s="15"/>
    </row>
    <row r="634" spans="2:15" ht="13.8">
      <c r="B634" s="11"/>
      <c r="C634" s="15"/>
      <c r="D634" s="15"/>
      <c r="E634" s="15"/>
      <c r="F634" s="15"/>
      <c r="G634" s="15"/>
      <c r="H634" s="15"/>
      <c r="I634" s="15"/>
      <c r="J634" s="15"/>
      <c r="K634" s="15"/>
      <c r="L634" s="15"/>
      <c r="M634" s="15"/>
      <c r="N634" s="15"/>
      <c r="O634" s="15"/>
    </row>
    <row r="635" spans="2:15" ht="13.8">
      <c r="B635" s="11"/>
      <c r="C635" s="15"/>
      <c r="D635" s="15"/>
      <c r="E635" s="15"/>
      <c r="F635" s="15"/>
      <c r="G635" s="15"/>
      <c r="H635" s="15"/>
      <c r="I635" s="15"/>
      <c r="J635" s="15"/>
      <c r="K635" s="15"/>
      <c r="L635" s="15"/>
      <c r="M635" s="15"/>
      <c r="N635" s="15"/>
      <c r="O635" s="15"/>
    </row>
    <row r="636" spans="2:15" ht="13.8">
      <c r="B636" s="11"/>
      <c r="C636" s="15"/>
      <c r="D636" s="15"/>
      <c r="E636" s="15"/>
      <c r="F636" s="15"/>
      <c r="G636" s="15"/>
      <c r="H636" s="15"/>
      <c r="I636" s="15"/>
      <c r="J636" s="15"/>
      <c r="K636" s="15"/>
      <c r="L636" s="15"/>
      <c r="M636" s="15"/>
      <c r="N636" s="15"/>
      <c r="O636" s="15"/>
    </row>
    <row r="637" spans="2:15" ht="13.8">
      <c r="B637" s="12"/>
      <c r="C637" s="15"/>
      <c r="D637" s="15"/>
      <c r="E637" s="15"/>
      <c r="F637" s="15"/>
      <c r="G637" s="15"/>
      <c r="H637" s="15"/>
      <c r="I637" s="15"/>
      <c r="J637" s="15"/>
      <c r="K637" s="15"/>
      <c r="L637" s="15"/>
      <c r="M637" s="15"/>
      <c r="N637" s="15"/>
      <c r="O637" s="15"/>
    </row>
    <row r="638" spans="2:15" ht="13.8">
      <c r="B638" s="9"/>
      <c r="C638" s="15"/>
      <c r="D638" s="15"/>
      <c r="E638" s="15"/>
      <c r="F638" s="15"/>
      <c r="G638" s="15"/>
      <c r="H638" s="15"/>
      <c r="I638" s="15"/>
      <c r="J638" s="15"/>
      <c r="K638" s="15"/>
      <c r="L638" s="15"/>
      <c r="M638" s="15"/>
      <c r="N638" s="15"/>
      <c r="O638" s="15"/>
    </row>
    <row r="639" spans="2:15" ht="13.8">
      <c r="B639" s="21"/>
      <c r="C639" s="15"/>
      <c r="D639" s="15"/>
      <c r="E639" s="15"/>
      <c r="F639" s="15"/>
      <c r="G639" s="15"/>
      <c r="H639" s="15"/>
      <c r="I639" s="15"/>
      <c r="J639" s="15"/>
      <c r="K639" s="15"/>
      <c r="L639" s="15"/>
      <c r="M639" s="15"/>
      <c r="N639" s="15"/>
      <c r="O639" s="15"/>
    </row>
    <row r="640" spans="2:15" ht="13.8">
      <c r="B640" s="11"/>
      <c r="C640" s="15"/>
      <c r="D640" s="15"/>
      <c r="E640" s="15"/>
      <c r="F640" s="15"/>
      <c r="G640" s="15"/>
      <c r="H640" s="15"/>
      <c r="I640" s="15"/>
      <c r="J640" s="15"/>
      <c r="K640" s="15"/>
      <c r="L640" s="15"/>
      <c r="M640" s="15"/>
      <c r="N640" s="15"/>
      <c r="O640" s="15"/>
    </row>
    <row r="641" spans="2:15" ht="13.8">
      <c r="B641" s="11"/>
      <c r="C641" s="15"/>
      <c r="D641" s="15"/>
      <c r="E641" s="15"/>
      <c r="F641" s="15"/>
      <c r="G641" s="15"/>
      <c r="H641" s="15"/>
      <c r="I641" s="15"/>
      <c r="J641" s="15"/>
      <c r="K641" s="15"/>
      <c r="L641" s="15"/>
      <c r="M641" s="15"/>
      <c r="N641" s="15"/>
      <c r="O641" s="15"/>
    </row>
    <row r="642" spans="2:15" ht="13.8">
      <c r="B642" s="12"/>
      <c r="C642" s="15"/>
      <c r="D642" s="15"/>
      <c r="E642" s="15"/>
      <c r="F642" s="15"/>
      <c r="G642" s="15"/>
      <c r="H642" s="15"/>
      <c r="I642" s="15"/>
      <c r="J642" s="15"/>
      <c r="K642" s="15"/>
      <c r="L642" s="15"/>
      <c r="M642" s="15"/>
      <c r="N642" s="15"/>
      <c r="O642" s="15"/>
    </row>
    <row r="643" spans="2:15" ht="13.8">
      <c r="B643" s="12"/>
      <c r="C643" s="15"/>
      <c r="D643" s="15"/>
      <c r="E643" s="15"/>
      <c r="F643" s="15"/>
      <c r="G643" s="15"/>
      <c r="H643" s="15"/>
      <c r="I643" s="15"/>
      <c r="J643" s="15"/>
      <c r="K643" s="15"/>
      <c r="L643" s="15"/>
      <c r="M643" s="15"/>
      <c r="N643" s="15"/>
      <c r="O643" s="15"/>
    </row>
    <row r="644" spans="2:15" ht="13.8">
      <c r="B644" s="13"/>
      <c r="C644" s="15"/>
      <c r="D644" s="15"/>
      <c r="E644" s="15"/>
      <c r="F644" s="15"/>
      <c r="G644" s="15"/>
      <c r="H644" s="15"/>
      <c r="I644" s="15"/>
      <c r="J644" s="15"/>
      <c r="K644" s="15"/>
      <c r="L644" s="15"/>
      <c r="M644" s="15"/>
      <c r="N644" s="15"/>
      <c r="O644" s="15"/>
    </row>
    <row r="645" spans="2:15" ht="13.8">
      <c r="B645" s="13"/>
      <c r="C645" s="15"/>
      <c r="D645" s="15"/>
      <c r="E645" s="15"/>
      <c r="F645" s="15"/>
      <c r="G645" s="15"/>
      <c r="H645" s="15"/>
      <c r="I645" s="15"/>
      <c r="J645" s="15"/>
      <c r="K645" s="15"/>
      <c r="L645" s="15"/>
      <c r="M645" s="15"/>
      <c r="N645" s="15"/>
      <c r="O645" s="15"/>
    </row>
    <row r="646" spans="2:15" ht="13.8">
      <c r="B646" s="21"/>
      <c r="C646" s="15"/>
      <c r="D646" s="15"/>
      <c r="E646" s="15"/>
      <c r="F646" s="15"/>
      <c r="G646" s="15"/>
      <c r="H646" s="15"/>
      <c r="I646" s="15"/>
      <c r="J646" s="15"/>
      <c r="K646" s="15"/>
      <c r="L646" s="15"/>
      <c r="M646" s="15"/>
      <c r="N646" s="15"/>
      <c r="O646" s="15"/>
    </row>
    <row r="647" spans="2:15" ht="13.8">
      <c r="B647" s="14"/>
      <c r="C647" s="15"/>
      <c r="D647" s="15"/>
      <c r="E647" s="15"/>
      <c r="F647" s="15"/>
      <c r="G647" s="15"/>
      <c r="H647" s="15"/>
      <c r="I647" s="15"/>
      <c r="J647" s="15"/>
      <c r="K647" s="15"/>
      <c r="L647" s="15"/>
      <c r="M647" s="15"/>
      <c r="N647" s="15"/>
      <c r="O647" s="15"/>
    </row>
    <row r="648" spans="2:15" ht="13.8">
      <c r="B648" s="14"/>
      <c r="C648" s="15"/>
      <c r="D648" s="15"/>
      <c r="E648" s="15"/>
      <c r="F648" s="15"/>
      <c r="G648" s="15"/>
      <c r="H648" s="15"/>
      <c r="I648" s="15"/>
      <c r="J648" s="15"/>
      <c r="K648" s="15"/>
      <c r="L648" s="15"/>
      <c r="M648" s="15"/>
      <c r="N648" s="15"/>
      <c r="O648" s="15"/>
    </row>
    <row r="649" spans="2:15" ht="13.8">
      <c r="B649" s="9"/>
      <c r="C649" s="15"/>
      <c r="D649" s="15"/>
      <c r="E649" s="15"/>
      <c r="F649" s="15"/>
      <c r="G649" s="15"/>
      <c r="H649" s="15"/>
      <c r="I649" s="15"/>
      <c r="J649" s="15"/>
      <c r="K649" s="15"/>
      <c r="L649" s="15"/>
      <c r="M649" s="15"/>
      <c r="N649" s="15"/>
      <c r="O649" s="15"/>
    </row>
    <row r="650" spans="2:15" ht="13.8">
      <c r="B650" s="9"/>
      <c r="C650" s="15"/>
      <c r="D650" s="15"/>
      <c r="E650" s="15"/>
      <c r="F650" s="15"/>
      <c r="G650" s="15"/>
      <c r="H650" s="15"/>
      <c r="I650" s="15"/>
      <c r="J650" s="15"/>
      <c r="K650" s="15"/>
      <c r="L650" s="15"/>
      <c r="M650" s="15"/>
      <c r="N650" s="15"/>
      <c r="O650" s="15"/>
    </row>
    <row r="651" spans="2:15" ht="13.8">
      <c r="B651" s="9"/>
      <c r="C651" s="15"/>
      <c r="D651" s="15"/>
      <c r="E651" s="15"/>
      <c r="F651" s="15"/>
      <c r="G651" s="15"/>
      <c r="H651" s="15"/>
      <c r="I651" s="15"/>
      <c r="J651" s="15"/>
      <c r="K651" s="15"/>
      <c r="L651" s="15"/>
      <c r="M651" s="15"/>
      <c r="N651" s="15"/>
      <c r="O651" s="15"/>
    </row>
    <row r="652" spans="2:15" ht="13.8">
      <c r="B652" s="9"/>
      <c r="C652" s="15"/>
      <c r="D652" s="15"/>
      <c r="E652" s="15"/>
      <c r="F652" s="15"/>
      <c r="G652" s="15"/>
      <c r="H652" s="15"/>
      <c r="I652" s="15"/>
      <c r="J652" s="15"/>
      <c r="K652" s="15"/>
      <c r="L652" s="15"/>
      <c r="M652" s="15"/>
      <c r="N652" s="15"/>
      <c r="O652" s="15"/>
    </row>
    <row r="653" spans="2:15" ht="13.8">
      <c r="B653" s="9"/>
      <c r="C653" s="15"/>
      <c r="D653" s="15"/>
      <c r="E653" s="15"/>
      <c r="F653" s="15"/>
      <c r="G653" s="15"/>
      <c r="H653" s="15"/>
      <c r="I653" s="15"/>
      <c r="J653" s="15"/>
      <c r="K653" s="15"/>
      <c r="L653" s="15"/>
      <c r="M653" s="15"/>
      <c r="N653" s="15"/>
      <c r="O653" s="15"/>
    </row>
    <row r="654" spans="2:15" ht="13.8">
      <c r="B654" s="9"/>
      <c r="C654" s="15"/>
      <c r="D654" s="15"/>
      <c r="E654" s="15"/>
      <c r="F654" s="15"/>
      <c r="G654" s="15"/>
      <c r="H654" s="15"/>
      <c r="I654" s="15"/>
      <c r="J654" s="15"/>
      <c r="K654" s="15"/>
      <c r="L654" s="15"/>
      <c r="M654" s="15"/>
      <c r="N654" s="15"/>
      <c r="O654" s="15"/>
    </row>
    <row r="655" spans="2:15" ht="13.8">
      <c r="B655" s="9"/>
      <c r="C655" s="15"/>
      <c r="D655" s="15"/>
      <c r="E655" s="15"/>
      <c r="F655" s="15"/>
      <c r="G655" s="15"/>
      <c r="H655" s="15"/>
      <c r="I655" s="15"/>
      <c r="J655" s="15"/>
      <c r="K655" s="15"/>
      <c r="L655" s="15"/>
      <c r="M655" s="15"/>
      <c r="N655" s="15"/>
      <c r="O655" s="15"/>
    </row>
    <row r="656" spans="2:15" ht="13.8">
      <c r="B656" s="9"/>
      <c r="C656" s="15"/>
      <c r="D656" s="15"/>
      <c r="E656" s="15"/>
      <c r="F656" s="15"/>
      <c r="G656" s="15"/>
      <c r="H656" s="15"/>
      <c r="I656" s="15"/>
      <c r="J656" s="15"/>
      <c r="K656" s="15"/>
      <c r="L656" s="15"/>
      <c r="M656" s="15"/>
      <c r="N656" s="15"/>
      <c r="O656" s="15"/>
    </row>
    <row r="657" spans="2:15" ht="13.8">
      <c r="B657" s="9"/>
      <c r="C657" s="15"/>
      <c r="D657" s="15"/>
      <c r="E657" s="15"/>
      <c r="F657" s="15"/>
      <c r="G657" s="15"/>
      <c r="H657" s="15"/>
      <c r="I657" s="15"/>
      <c r="J657" s="15"/>
      <c r="K657" s="15"/>
      <c r="L657" s="15"/>
      <c r="M657" s="15"/>
      <c r="N657" s="15"/>
      <c r="O657" s="15"/>
    </row>
    <row r="658" spans="2:15" ht="13.8">
      <c r="B658" s="9"/>
      <c r="C658" s="15"/>
      <c r="D658" s="15"/>
      <c r="E658" s="15"/>
      <c r="F658" s="15"/>
      <c r="G658" s="15"/>
      <c r="H658" s="15"/>
      <c r="I658" s="15"/>
      <c r="J658" s="15"/>
      <c r="K658" s="15"/>
      <c r="L658" s="15"/>
      <c r="M658" s="15"/>
      <c r="N658" s="15"/>
      <c r="O658" s="15"/>
    </row>
    <row r="659" spans="2:15" ht="13.8">
      <c r="B659" s="9"/>
      <c r="C659" s="15"/>
      <c r="D659" s="15"/>
      <c r="E659" s="15"/>
      <c r="F659" s="15"/>
      <c r="G659" s="15"/>
      <c r="H659" s="15"/>
      <c r="I659" s="15"/>
      <c r="J659" s="15"/>
      <c r="K659" s="15"/>
      <c r="L659" s="15"/>
      <c r="M659" s="15"/>
      <c r="N659" s="15"/>
      <c r="O659" s="15"/>
    </row>
    <row r="660" spans="2:15" ht="13.8">
      <c r="B660" s="9"/>
      <c r="C660" s="15"/>
      <c r="D660" s="15"/>
      <c r="E660" s="15"/>
      <c r="F660" s="15"/>
      <c r="G660" s="15"/>
      <c r="H660" s="15"/>
      <c r="I660" s="15"/>
      <c r="J660" s="15"/>
      <c r="K660" s="15"/>
      <c r="L660" s="15"/>
      <c r="M660" s="15"/>
      <c r="N660" s="15"/>
      <c r="O660" s="15"/>
    </row>
    <row r="662" spans="2:15" ht="17.399999999999999">
      <c r="B662" s="682"/>
      <c r="C662" s="682"/>
      <c r="D662" s="682"/>
      <c r="E662" s="682"/>
      <c r="F662" s="682"/>
      <c r="G662" s="682"/>
      <c r="H662" s="682"/>
      <c r="I662" s="682"/>
      <c r="J662" s="682"/>
      <c r="K662" s="682"/>
      <c r="L662" s="682"/>
      <c r="M662" s="682"/>
      <c r="N662" s="682"/>
      <c r="O662"/>
    </row>
    <row r="663" spans="2:15" ht="13.8">
      <c r="B663" s="10"/>
      <c r="C663" s="15"/>
      <c r="D663" s="15"/>
      <c r="E663" s="15"/>
      <c r="F663" s="15"/>
      <c r="G663" s="15"/>
      <c r="H663" s="15"/>
      <c r="I663" s="15"/>
      <c r="J663" s="15"/>
      <c r="K663" s="15"/>
      <c r="L663" s="15"/>
      <c r="M663" s="15"/>
      <c r="N663" s="15"/>
      <c r="O663" s="15"/>
    </row>
    <row r="664" spans="2:15">
      <c r="B664" s="683"/>
      <c r="C664" s="683"/>
      <c r="D664" s="683"/>
      <c r="E664" s="683"/>
      <c r="F664" s="683"/>
      <c r="G664" s="683"/>
      <c r="H664" s="683"/>
      <c r="I664" s="683"/>
      <c r="J664" s="683"/>
      <c r="K664" s="683"/>
      <c r="L664" s="683"/>
      <c r="M664" s="683"/>
      <c r="N664" s="683"/>
      <c r="O664"/>
    </row>
    <row r="665" spans="2:15" ht="18" customHeight="1">
      <c r="B665" s="683"/>
      <c r="C665" s="683"/>
      <c r="D665" s="683"/>
      <c r="E665" s="683"/>
      <c r="F665" s="683"/>
      <c r="G665" s="683"/>
      <c r="H665" s="683"/>
      <c r="I665" s="683"/>
      <c r="J665" s="683"/>
      <c r="K665" s="683"/>
      <c r="L665" s="683"/>
      <c r="M665" s="683"/>
      <c r="N665" s="683"/>
      <c r="O665"/>
    </row>
    <row r="666" spans="2:15" ht="13.8">
      <c r="B666" s="4"/>
      <c r="C666" s="15"/>
      <c r="D666" s="17"/>
      <c r="E666" s="17"/>
      <c r="F666" s="15"/>
      <c r="G666" s="17"/>
      <c r="H666" s="17"/>
      <c r="I666" s="17"/>
      <c r="J666" s="15"/>
      <c r="K666" s="15"/>
      <c r="L666" s="15"/>
      <c r="M666" s="15"/>
      <c r="N666" s="15"/>
      <c r="O666" s="15"/>
    </row>
    <row r="667" spans="2:15" ht="13.8">
      <c r="B667" s="10"/>
      <c r="C667" s="17"/>
      <c r="D667" s="17"/>
      <c r="E667" s="17"/>
      <c r="F667" s="17"/>
      <c r="G667" s="17"/>
      <c r="H667" s="17"/>
      <c r="I667" s="17"/>
      <c r="J667" s="17"/>
      <c r="K667" s="17"/>
      <c r="L667" s="17"/>
      <c r="M667" s="17"/>
      <c r="N667" s="17"/>
      <c r="O667" s="17"/>
    </row>
    <row r="668" spans="2:15" ht="13.8">
      <c r="B668" s="9"/>
      <c r="C668" s="17"/>
      <c r="D668" s="17"/>
      <c r="E668" s="17"/>
      <c r="F668" s="20"/>
      <c r="G668" s="20"/>
      <c r="H668" s="20"/>
      <c r="I668" s="20"/>
      <c r="J668" s="20"/>
      <c r="K668" s="20"/>
      <c r="L668" s="20"/>
      <c r="M668" s="20"/>
      <c r="N668" s="20"/>
      <c r="O668" s="20"/>
    </row>
    <row r="669" spans="2:15" ht="13.8">
      <c r="B669" s="9"/>
      <c r="C669" s="17"/>
      <c r="D669" s="15"/>
      <c r="E669" s="15"/>
      <c r="F669" s="15"/>
      <c r="G669" s="15"/>
      <c r="H669" s="15"/>
      <c r="I669" s="15"/>
      <c r="J669" s="15"/>
      <c r="K669" s="15"/>
      <c r="L669" s="15"/>
      <c r="M669" s="15"/>
      <c r="N669" s="15"/>
      <c r="O669" s="15"/>
    </row>
    <row r="670" spans="2:15" ht="13.8">
      <c r="B670" s="21"/>
      <c r="C670" s="15"/>
      <c r="D670" s="15"/>
      <c r="E670" s="15"/>
      <c r="F670" s="15"/>
      <c r="G670" s="15"/>
      <c r="H670" s="15"/>
      <c r="I670" s="15"/>
      <c r="J670" s="15"/>
      <c r="K670" s="15"/>
      <c r="L670" s="15"/>
      <c r="M670" s="15"/>
      <c r="N670" s="15"/>
      <c r="O670" s="15"/>
    </row>
    <row r="671" spans="2:15" ht="13.8">
      <c r="B671" s="22"/>
      <c r="C671" s="15"/>
      <c r="D671" s="15"/>
      <c r="E671" s="15"/>
      <c r="F671" s="15"/>
      <c r="G671" s="15"/>
      <c r="H671" s="15"/>
      <c r="I671" s="15"/>
      <c r="J671" s="15"/>
      <c r="K671" s="15"/>
      <c r="L671" s="15"/>
      <c r="M671" s="15"/>
      <c r="N671" s="15"/>
      <c r="O671" s="15"/>
    </row>
    <row r="672" spans="2:15" ht="13.8">
      <c r="B672" s="11"/>
      <c r="C672" s="15"/>
      <c r="D672" s="15"/>
      <c r="E672" s="15"/>
      <c r="F672" s="15"/>
      <c r="G672" s="15"/>
      <c r="H672" s="15"/>
      <c r="I672" s="15"/>
      <c r="J672" s="15"/>
      <c r="K672" s="15"/>
      <c r="L672" s="15"/>
      <c r="M672" s="15"/>
      <c r="N672" s="15"/>
      <c r="O672" s="15"/>
    </row>
    <row r="673" spans="2:15" ht="13.8">
      <c r="B673" s="12"/>
      <c r="C673" s="15"/>
      <c r="D673" s="15"/>
      <c r="E673" s="15"/>
      <c r="F673" s="15"/>
      <c r="G673" s="15"/>
      <c r="H673" s="15"/>
      <c r="I673" s="15"/>
      <c r="J673" s="15"/>
      <c r="K673" s="15"/>
      <c r="L673" s="15"/>
      <c r="M673" s="15"/>
      <c r="N673" s="15"/>
      <c r="O673" s="15"/>
    </row>
    <row r="674" spans="2:15" ht="13.8">
      <c r="B674" s="9"/>
      <c r="C674" s="15"/>
      <c r="D674" s="15"/>
      <c r="E674" s="15"/>
      <c r="F674" s="15"/>
      <c r="G674" s="15"/>
      <c r="H674" s="15"/>
      <c r="I674" s="15"/>
      <c r="J674" s="15"/>
      <c r="K674" s="15"/>
      <c r="L674" s="15"/>
      <c r="M674" s="15"/>
      <c r="N674" s="15"/>
      <c r="O674" s="15"/>
    </row>
    <row r="675" spans="2:15" ht="13.8">
      <c r="B675" s="21"/>
      <c r="C675" s="15"/>
      <c r="D675" s="15"/>
      <c r="E675" s="15"/>
      <c r="F675" s="15"/>
      <c r="G675" s="15"/>
      <c r="H675" s="15"/>
      <c r="I675" s="15"/>
      <c r="J675" s="15"/>
      <c r="K675" s="15"/>
      <c r="L675" s="15"/>
      <c r="M675" s="15"/>
      <c r="N675" s="15"/>
      <c r="O675" s="15"/>
    </row>
    <row r="676" spans="2:15" ht="13.8">
      <c r="B676" s="11"/>
      <c r="C676" s="15"/>
      <c r="D676" s="15"/>
      <c r="E676" s="15"/>
      <c r="F676" s="15"/>
      <c r="G676" s="15"/>
      <c r="H676" s="15"/>
      <c r="I676" s="15"/>
      <c r="J676" s="15"/>
      <c r="K676" s="15"/>
      <c r="L676" s="15"/>
      <c r="M676" s="15"/>
      <c r="N676" s="15"/>
      <c r="O676" s="15"/>
    </row>
    <row r="677" spans="2:15" ht="13.8">
      <c r="B677" s="11"/>
      <c r="C677" s="15"/>
      <c r="D677" s="15"/>
      <c r="E677" s="15"/>
      <c r="F677" s="15"/>
      <c r="G677" s="15"/>
      <c r="H677" s="15"/>
      <c r="I677" s="15"/>
      <c r="J677" s="15"/>
      <c r="K677" s="15"/>
      <c r="L677" s="15"/>
      <c r="M677" s="15"/>
      <c r="N677" s="15"/>
      <c r="O677" s="15"/>
    </row>
    <row r="678" spans="2:15" ht="13.8">
      <c r="B678" s="11"/>
      <c r="C678" s="15"/>
      <c r="D678" s="15"/>
      <c r="E678" s="15"/>
      <c r="F678" s="15"/>
      <c r="G678" s="15"/>
      <c r="H678" s="15"/>
      <c r="I678" s="15"/>
      <c r="J678" s="15"/>
      <c r="K678" s="15"/>
      <c r="L678" s="15"/>
      <c r="M678" s="15"/>
      <c r="N678" s="15"/>
      <c r="O678" s="15"/>
    </row>
    <row r="679" spans="2:15" ht="13.8">
      <c r="B679" s="11"/>
      <c r="C679" s="15"/>
      <c r="D679" s="15"/>
      <c r="E679" s="15"/>
      <c r="F679" s="15"/>
      <c r="G679" s="15"/>
      <c r="H679" s="15"/>
      <c r="I679" s="15"/>
      <c r="J679" s="15"/>
      <c r="K679" s="15"/>
      <c r="L679" s="15"/>
      <c r="M679" s="15"/>
      <c r="N679" s="15"/>
      <c r="O679" s="15"/>
    </row>
    <row r="680" spans="2:15" ht="13.8">
      <c r="B680" s="12"/>
      <c r="C680" s="15"/>
      <c r="D680" s="15"/>
      <c r="E680" s="15"/>
      <c r="F680" s="15"/>
      <c r="G680" s="15"/>
      <c r="H680" s="15"/>
      <c r="I680" s="15"/>
      <c r="J680" s="15"/>
      <c r="K680" s="15"/>
      <c r="L680" s="15"/>
      <c r="M680" s="15"/>
      <c r="N680" s="15"/>
      <c r="O680" s="15"/>
    </row>
    <row r="681" spans="2:15" ht="13.8">
      <c r="B681" s="12"/>
      <c r="C681" s="15"/>
      <c r="D681" s="15"/>
      <c r="E681" s="15"/>
      <c r="F681" s="15"/>
      <c r="G681" s="15"/>
      <c r="H681" s="15"/>
      <c r="I681" s="15"/>
      <c r="J681" s="15"/>
      <c r="K681" s="15"/>
      <c r="L681" s="15"/>
      <c r="M681" s="15"/>
      <c r="N681" s="15"/>
      <c r="O681" s="15"/>
    </row>
    <row r="682" spans="2:15" ht="13.8">
      <c r="B682" s="13"/>
      <c r="C682" s="15"/>
      <c r="D682" s="15"/>
      <c r="E682" s="15"/>
      <c r="F682" s="15"/>
      <c r="G682" s="15"/>
      <c r="H682" s="15"/>
      <c r="I682" s="15"/>
      <c r="J682" s="15"/>
      <c r="K682" s="15"/>
      <c r="L682" s="15"/>
      <c r="M682" s="15"/>
      <c r="N682" s="15"/>
      <c r="O682" s="15"/>
    </row>
    <row r="683" spans="2:15" ht="13.8">
      <c r="B683" s="13"/>
      <c r="C683" s="15"/>
      <c r="D683" s="15"/>
      <c r="E683" s="15"/>
      <c r="F683" s="15"/>
      <c r="G683" s="15"/>
      <c r="H683" s="15"/>
      <c r="I683" s="15"/>
      <c r="J683" s="15"/>
      <c r="K683" s="15"/>
      <c r="L683" s="15"/>
      <c r="M683" s="15"/>
      <c r="N683" s="15"/>
      <c r="O683" s="15"/>
    </row>
    <row r="684" spans="2:15" ht="13.8">
      <c r="B684" s="21"/>
      <c r="C684" s="15"/>
      <c r="D684" s="15"/>
      <c r="E684" s="15"/>
      <c r="F684" s="15"/>
      <c r="G684" s="15"/>
      <c r="H684" s="15"/>
      <c r="I684" s="15"/>
      <c r="J684" s="15"/>
      <c r="K684" s="15"/>
      <c r="L684" s="15"/>
      <c r="M684" s="15"/>
      <c r="N684" s="15"/>
      <c r="O684" s="15"/>
    </row>
    <row r="685" spans="2:15" ht="13.8">
      <c r="B685" s="14"/>
      <c r="C685" s="15"/>
      <c r="D685" s="15"/>
      <c r="E685" s="15"/>
      <c r="F685" s="15"/>
      <c r="G685" s="15"/>
      <c r="H685" s="15"/>
      <c r="I685" s="15"/>
      <c r="J685" s="15"/>
      <c r="K685" s="15"/>
      <c r="L685" s="15"/>
      <c r="M685" s="15"/>
      <c r="N685" s="15"/>
      <c r="O685" s="15"/>
    </row>
    <row r="686" spans="2:15" ht="13.8">
      <c r="B686" s="14"/>
      <c r="C686" s="15"/>
      <c r="D686" s="15"/>
      <c r="E686" s="15"/>
      <c r="F686" s="15"/>
      <c r="G686" s="15"/>
      <c r="H686" s="15"/>
      <c r="I686" s="15"/>
      <c r="J686" s="15"/>
      <c r="K686" s="15"/>
      <c r="L686" s="15"/>
      <c r="M686" s="15"/>
      <c r="N686" s="15"/>
      <c r="O686" s="15"/>
    </row>
    <row r="687" spans="2:15" ht="13.8">
      <c r="B687" s="9"/>
      <c r="C687" s="15"/>
      <c r="D687" s="15"/>
      <c r="E687" s="15"/>
      <c r="F687" s="15"/>
      <c r="G687" s="15"/>
      <c r="H687" s="15"/>
      <c r="I687" s="15"/>
      <c r="J687" s="15"/>
      <c r="K687" s="15"/>
      <c r="L687" s="15"/>
      <c r="M687" s="15"/>
      <c r="N687" s="15"/>
      <c r="O687" s="15"/>
    </row>
    <row r="688" spans="2:15" ht="13.8">
      <c r="B688" s="9"/>
      <c r="C688" s="15"/>
      <c r="D688" s="15"/>
      <c r="E688" s="15"/>
      <c r="F688" s="15"/>
      <c r="G688" s="15"/>
      <c r="H688" s="15"/>
      <c r="I688" s="15"/>
      <c r="J688" s="15"/>
      <c r="K688" s="15"/>
      <c r="L688" s="15"/>
      <c r="M688" s="15"/>
      <c r="N688" s="15"/>
      <c r="O688" s="15"/>
    </row>
    <row r="689" spans="2:15" ht="13.8">
      <c r="B689" s="9"/>
      <c r="C689" s="15"/>
      <c r="D689" s="15"/>
      <c r="E689" s="15"/>
      <c r="F689" s="15"/>
      <c r="G689" s="15"/>
      <c r="H689" s="15"/>
      <c r="I689" s="15"/>
      <c r="J689" s="15"/>
      <c r="K689" s="15"/>
      <c r="L689" s="15"/>
      <c r="M689" s="15"/>
      <c r="N689" s="15"/>
      <c r="O689" s="15"/>
    </row>
    <row r="690" spans="2:15" ht="13.8">
      <c r="B690" s="9"/>
      <c r="C690" s="15"/>
      <c r="D690" s="15"/>
      <c r="E690" s="15"/>
      <c r="F690" s="15"/>
      <c r="G690" s="15"/>
      <c r="H690" s="15"/>
      <c r="I690" s="15"/>
      <c r="J690" s="15"/>
      <c r="K690" s="15"/>
      <c r="L690" s="15"/>
      <c r="M690" s="15"/>
      <c r="N690" s="15"/>
      <c r="O690" s="15"/>
    </row>
    <row r="691" spans="2:15" ht="13.8">
      <c r="B691" s="9"/>
      <c r="C691" s="15"/>
      <c r="D691" s="15"/>
      <c r="E691" s="15"/>
      <c r="F691" s="15"/>
      <c r="G691" s="15"/>
      <c r="H691" s="15"/>
      <c r="I691" s="15"/>
      <c r="J691" s="15"/>
      <c r="K691" s="15"/>
      <c r="L691" s="15"/>
      <c r="M691" s="15"/>
      <c r="N691" s="15"/>
      <c r="O691" s="15"/>
    </row>
    <row r="692" spans="2:15" ht="13.8">
      <c r="B692" s="9"/>
      <c r="C692" s="15"/>
      <c r="D692" s="15"/>
      <c r="E692" s="15"/>
      <c r="F692" s="15"/>
      <c r="G692" s="15"/>
      <c r="H692" s="15"/>
      <c r="I692" s="15"/>
      <c r="J692" s="15"/>
      <c r="K692" s="15"/>
      <c r="L692" s="15"/>
      <c r="M692" s="15"/>
      <c r="N692" s="15"/>
      <c r="O692" s="15"/>
    </row>
    <row r="693" spans="2:15" ht="13.8">
      <c r="B693" s="9"/>
      <c r="C693" s="15"/>
      <c r="D693" s="15"/>
      <c r="E693" s="15"/>
      <c r="F693" s="15"/>
      <c r="G693" s="15"/>
      <c r="H693" s="15"/>
      <c r="I693" s="15"/>
      <c r="J693" s="15"/>
      <c r="K693" s="15"/>
      <c r="L693" s="15"/>
      <c r="M693" s="15"/>
      <c r="N693" s="15"/>
      <c r="O693" s="15"/>
    </row>
    <row r="694" spans="2:15" ht="13.8">
      <c r="B694" s="9"/>
      <c r="C694" s="15"/>
      <c r="D694" s="15"/>
      <c r="E694" s="15"/>
      <c r="F694" s="15"/>
      <c r="G694" s="15"/>
      <c r="H694" s="15"/>
      <c r="I694" s="15"/>
      <c r="J694" s="15"/>
      <c r="K694" s="15"/>
      <c r="L694" s="15"/>
      <c r="M694" s="15"/>
      <c r="N694" s="15"/>
      <c r="O694" s="15"/>
    </row>
    <row r="695" spans="2:15" ht="13.8">
      <c r="B695" s="9"/>
      <c r="C695" s="15"/>
      <c r="D695" s="15"/>
      <c r="E695" s="15"/>
      <c r="F695" s="15"/>
      <c r="G695" s="15"/>
      <c r="H695" s="15"/>
      <c r="I695" s="15"/>
      <c r="J695" s="15"/>
      <c r="K695" s="15"/>
      <c r="L695" s="15"/>
      <c r="M695" s="15"/>
      <c r="N695" s="15"/>
      <c r="O695" s="15"/>
    </row>
    <row r="696" spans="2:15" ht="13.8">
      <c r="B696" s="9"/>
      <c r="C696" s="15"/>
      <c r="D696" s="15"/>
      <c r="E696" s="15"/>
      <c r="F696" s="15"/>
      <c r="G696" s="15"/>
      <c r="H696" s="15"/>
      <c r="I696" s="15"/>
      <c r="J696" s="15"/>
      <c r="K696" s="15"/>
      <c r="L696" s="15"/>
      <c r="M696" s="15"/>
      <c r="N696" s="15"/>
      <c r="O696" s="15"/>
    </row>
    <row r="697" spans="2:15" ht="13.8">
      <c r="B697" s="9"/>
      <c r="C697" s="15"/>
      <c r="D697" s="15"/>
      <c r="E697" s="15"/>
      <c r="F697" s="15"/>
      <c r="G697" s="15"/>
      <c r="H697" s="15"/>
      <c r="I697" s="15"/>
      <c r="J697" s="15"/>
      <c r="K697" s="15"/>
      <c r="L697" s="15"/>
      <c r="M697" s="15"/>
      <c r="N697" s="15"/>
      <c r="O697" s="15"/>
    </row>
    <row r="699" spans="2:15" ht="17.399999999999999">
      <c r="B699" s="682"/>
      <c r="C699" s="682"/>
      <c r="D699" s="682"/>
      <c r="E699" s="682"/>
      <c r="F699" s="682"/>
      <c r="G699" s="682"/>
      <c r="H699" s="682"/>
      <c r="I699" s="682"/>
      <c r="J699" s="682"/>
      <c r="K699" s="682"/>
      <c r="L699" s="682"/>
      <c r="M699" s="682"/>
      <c r="N699" s="682"/>
      <c r="O699"/>
    </row>
    <row r="700" spans="2:15" ht="13.8">
      <c r="B700" s="10"/>
      <c r="C700" s="15"/>
      <c r="D700" s="15"/>
      <c r="E700" s="15"/>
      <c r="F700" s="15"/>
      <c r="G700" s="15"/>
      <c r="H700" s="15"/>
      <c r="I700" s="15"/>
      <c r="J700" s="15"/>
      <c r="K700" s="15"/>
      <c r="L700" s="15"/>
      <c r="M700" s="15"/>
      <c r="N700" s="15"/>
      <c r="O700" s="15"/>
    </row>
    <row r="701" spans="2:15">
      <c r="B701" s="683"/>
      <c r="C701" s="683"/>
      <c r="D701" s="683"/>
      <c r="E701" s="683"/>
      <c r="F701" s="683"/>
      <c r="G701" s="683"/>
      <c r="H701" s="683"/>
      <c r="I701" s="683"/>
      <c r="J701" s="683"/>
      <c r="K701" s="683"/>
      <c r="L701" s="683"/>
      <c r="M701" s="683"/>
      <c r="N701" s="683"/>
      <c r="O701"/>
    </row>
    <row r="702" spans="2:15" ht="18.75" customHeight="1">
      <c r="B702" s="683"/>
      <c r="C702" s="683"/>
      <c r="D702" s="683"/>
      <c r="E702" s="683"/>
      <c r="F702" s="683"/>
      <c r="G702" s="683"/>
      <c r="H702" s="683"/>
      <c r="I702" s="683"/>
      <c r="J702" s="683"/>
      <c r="K702" s="683"/>
      <c r="L702" s="683"/>
      <c r="M702" s="683"/>
      <c r="N702" s="683"/>
      <c r="O702"/>
    </row>
    <row r="703" spans="2:15" ht="13.8">
      <c r="B703" s="19"/>
      <c r="C703" s="16"/>
      <c r="D703" s="16"/>
      <c r="E703" s="16"/>
      <c r="F703" s="16"/>
      <c r="G703" s="16"/>
      <c r="H703" s="16"/>
      <c r="I703" s="16"/>
      <c r="J703" s="16"/>
      <c r="K703" s="16"/>
      <c r="L703" s="16"/>
      <c r="M703" s="15"/>
      <c r="N703" s="15"/>
      <c r="O703" s="15"/>
    </row>
    <row r="704" spans="2:15" ht="13.8">
      <c r="B704" s="4"/>
      <c r="C704" s="15"/>
      <c r="D704" s="17"/>
      <c r="E704" s="17"/>
      <c r="F704" s="17"/>
      <c r="G704" s="17"/>
      <c r="H704" s="17"/>
      <c r="I704" s="17"/>
      <c r="J704" s="15"/>
      <c r="K704" s="15"/>
      <c r="L704" s="15"/>
      <c r="M704" s="15"/>
      <c r="N704" s="15"/>
      <c r="O704" s="15"/>
    </row>
    <row r="705" spans="2:15" ht="13.8">
      <c r="B705" s="10"/>
      <c r="C705" s="17"/>
      <c r="D705" s="17"/>
      <c r="E705" s="17"/>
      <c r="F705" s="17"/>
      <c r="G705" s="17"/>
      <c r="H705" s="17"/>
      <c r="I705" s="17"/>
      <c r="J705" s="17"/>
      <c r="K705" s="17"/>
      <c r="L705" s="17"/>
      <c r="M705" s="17"/>
      <c r="N705" s="17"/>
      <c r="O705" s="17"/>
    </row>
    <row r="706" spans="2:15" ht="13.8">
      <c r="B706" s="9"/>
      <c r="C706" s="17"/>
      <c r="D706" s="17"/>
      <c r="E706" s="17"/>
      <c r="F706" s="20"/>
      <c r="G706" s="20"/>
      <c r="H706" s="20"/>
      <c r="I706" s="20"/>
      <c r="J706" s="20"/>
      <c r="K706" s="20"/>
      <c r="L706" s="20"/>
      <c r="M706" s="20"/>
      <c r="N706" s="20"/>
      <c r="O706" s="20"/>
    </row>
    <row r="707" spans="2:15" ht="13.8">
      <c r="B707" s="9"/>
      <c r="C707" s="17"/>
      <c r="D707" s="15"/>
      <c r="E707" s="15"/>
      <c r="F707" s="15"/>
      <c r="G707" s="15"/>
      <c r="H707" s="15"/>
      <c r="I707" s="15"/>
      <c r="J707" s="15"/>
      <c r="K707" s="15"/>
      <c r="L707" s="15"/>
      <c r="M707" s="15"/>
      <c r="N707" s="15"/>
      <c r="O707" s="15"/>
    </row>
    <row r="708" spans="2:15" ht="13.8">
      <c r="B708" s="21"/>
      <c r="C708" s="15"/>
      <c r="D708" s="15"/>
      <c r="E708" s="15"/>
      <c r="F708" s="15"/>
      <c r="G708" s="15"/>
      <c r="H708" s="15"/>
      <c r="I708" s="15"/>
      <c r="J708" s="15"/>
      <c r="K708" s="15"/>
      <c r="L708" s="15"/>
      <c r="M708" s="15"/>
      <c r="N708" s="15"/>
      <c r="O708" s="15"/>
    </row>
    <row r="709" spans="2:15" ht="13.8">
      <c r="B709" s="22"/>
      <c r="C709" s="15"/>
      <c r="D709" s="15"/>
      <c r="E709" s="15"/>
      <c r="F709" s="15"/>
      <c r="G709" s="15"/>
      <c r="H709" s="15"/>
      <c r="I709" s="15"/>
      <c r="J709" s="15"/>
      <c r="K709" s="15"/>
      <c r="L709" s="15"/>
      <c r="M709" s="15"/>
      <c r="N709" s="15"/>
      <c r="O709" s="15"/>
    </row>
    <row r="710" spans="2:15" ht="13.8">
      <c r="B710" s="11"/>
      <c r="C710" s="15"/>
      <c r="D710" s="15"/>
      <c r="E710" s="15"/>
      <c r="F710" s="15"/>
      <c r="G710" s="15"/>
      <c r="H710" s="15"/>
      <c r="I710" s="15"/>
      <c r="J710" s="15"/>
      <c r="K710" s="15"/>
      <c r="L710" s="15"/>
      <c r="M710" s="15"/>
      <c r="N710" s="15"/>
      <c r="O710" s="15"/>
    </row>
    <row r="711" spans="2:15" ht="13.8">
      <c r="B711" s="12"/>
      <c r="C711" s="15"/>
      <c r="D711" s="15"/>
      <c r="E711" s="15"/>
      <c r="F711" s="15"/>
      <c r="G711" s="15"/>
      <c r="H711" s="15"/>
      <c r="I711" s="15"/>
      <c r="J711" s="15"/>
      <c r="K711" s="15"/>
      <c r="L711" s="15"/>
      <c r="M711" s="15"/>
      <c r="N711" s="15"/>
      <c r="O711" s="15"/>
    </row>
    <row r="712" spans="2:15" ht="13.8">
      <c r="B712" s="9"/>
      <c r="C712" s="15"/>
      <c r="D712" s="15"/>
      <c r="E712" s="15"/>
      <c r="F712" s="15"/>
      <c r="G712" s="15"/>
      <c r="H712" s="15"/>
      <c r="I712" s="15"/>
      <c r="J712" s="15"/>
      <c r="K712" s="15"/>
      <c r="L712" s="15"/>
      <c r="M712" s="15"/>
      <c r="N712" s="15"/>
      <c r="O712" s="15"/>
    </row>
    <row r="713" spans="2:15" ht="13.8">
      <c r="B713" s="21"/>
      <c r="C713" s="15"/>
      <c r="D713" s="15"/>
      <c r="E713" s="15"/>
      <c r="F713" s="15"/>
      <c r="G713" s="15"/>
      <c r="H713" s="15"/>
      <c r="I713" s="15"/>
      <c r="J713" s="15"/>
      <c r="K713" s="15"/>
      <c r="L713" s="15"/>
      <c r="M713" s="15"/>
      <c r="N713" s="15"/>
      <c r="O713" s="15"/>
    </row>
    <row r="714" spans="2:15" ht="13.8">
      <c r="B714" s="11"/>
      <c r="C714" s="15"/>
      <c r="D714" s="15"/>
      <c r="E714" s="15"/>
      <c r="F714" s="15"/>
      <c r="G714" s="15"/>
      <c r="H714" s="15"/>
      <c r="I714" s="15"/>
      <c r="J714" s="15"/>
      <c r="K714" s="15"/>
      <c r="L714" s="15"/>
      <c r="M714" s="15"/>
      <c r="N714" s="15"/>
      <c r="O714" s="15"/>
    </row>
    <row r="715" spans="2:15" ht="13.8">
      <c r="B715" s="11"/>
      <c r="C715" s="15"/>
      <c r="D715" s="15"/>
      <c r="E715" s="15"/>
      <c r="F715" s="15"/>
      <c r="G715" s="15"/>
      <c r="H715" s="15"/>
      <c r="I715" s="15"/>
      <c r="J715" s="15"/>
      <c r="K715" s="15"/>
      <c r="L715" s="15"/>
      <c r="M715" s="15"/>
      <c r="N715" s="15"/>
      <c r="O715" s="15"/>
    </row>
    <row r="716" spans="2:15" ht="13.8">
      <c r="B716" s="12"/>
      <c r="C716" s="15"/>
      <c r="D716" s="15"/>
      <c r="E716" s="15"/>
      <c r="F716" s="15"/>
      <c r="G716" s="15"/>
      <c r="H716" s="15"/>
      <c r="I716" s="15"/>
      <c r="J716" s="15"/>
      <c r="K716" s="15"/>
      <c r="L716" s="15"/>
      <c r="M716" s="15"/>
      <c r="N716" s="15"/>
      <c r="O716" s="15"/>
    </row>
    <row r="717" spans="2:15" ht="13.8">
      <c r="B717" s="12"/>
      <c r="C717" s="15"/>
      <c r="D717" s="15"/>
      <c r="E717" s="15"/>
      <c r="F717" s="15"/>
      <c r="G717" s="15"/>
      <c r="H717" s="15"/>
      <c r="I717" s="15"/>
      <c r="J717" s="15"/>
      <c r="K717" s="15"/>
      <c r="L717" s="15"/>
      <c r="M717" s="15"/>
      <c r="N717" s="15"/>
      <c r="O717" s="15"/>
    </row>
    <row r="718" spans="2:15" ht="13.8">
      <c r="B718" s="13"/>
      <c r="C718" s="15"/>
      <c r="D718" s="15"/>
      <c r="E718" s="15"/>
      <c r="F718" s="15"/>
      <c r="G718" s="15"/>
      <c r="H718" s="15"/>
      <c r="I718" s="15"/>
      <c r="J718" s="15"/>
      <c r="K718" s="15"/>
      <c r="L718" s="15"/>
      <c r="M718" s="15"/>
      <c r="N718" s="15"/>
      <c r="O718" s="15"/>
    </row>
    <row r="719" spans="2:15" ht="13.8">
      <c r="B719" s="13"/>
      <c r="C719" s="15"/>
      <c r="D719" s="15"/>
      <c r="E719" s="15"/>
      <c r="F719" s="15"/>
      <c r="G719" s="15"/>
      <c r="H719" s="15"/>
      <c r="I719" s="15"/>
      <c r="J719" s="15"/>
      <c r="K719" s="15"/>
      <c r="L719" s="15"/>
      <c r="M719" s="15"/>
      <c r="N719" s="15"/>
      <c r="O719" s="15"/>
    </row>
    <row r="720" spans="2:15" ht="13.8">
      <c r="B720" s="21"/>
      <c r="C720" s="15"/>
      <c r="D720" s="15"/>
      <c r="E720" s="15"/>
      <c r="F720" s="15"/>
      <c r="G720" s="15"/>
      <c r="H720" s="15"/>
      <c r="I720" s="15"/>
      <c r="J720" s="15"/>
      <c r="K720" s="15"/>
      <c r="L720" s="15"/>
      <c r="M720" s="15"/>
      <c r="N720" s="15"/>
      <c r="O720" s="15"/>
    </row>
    <row r="721" spans="2:15" ht="13.8">
      <c r="B721" s="14"/>
      <c r="C721" s="15"/>
      <c r="D721" s="15"/>
      <c r="E721" s="15"/>
      <c r="F721" s="15"/>
      <c r="G721" s="15"/>
      <c r="H721" s="15"/>
      <c r="I721" s="15"/>
      <c r="J721" s="15"/>
      <c r="K721" s="15"/>
      <c r="L721" s="15"/>
      <c r="M721" s="15"/>
      <c r="N721" s="15"/>
      <c r="O721" s="15"/>
    </row>
    <row r="722" spans="2:15" ht="13.8">
      <c r="B722" s="14"/>
      <c r="C722" s="15"/>
      <c r="D722" s="15"/>
      <c r="E722" s="15"/>
      <c r="F722" s="15"/>
      <c r="G722" s="15"/>
      <c r="H722" s="15"/>
      <c r="I722" s="15"/>
      <c r="J722" s="15"/>
      <c r="K722" s="15"/>
      <c r="L722" s="15"/>
      <c r="M722" s="15"/>
      <c r="N722" s="15"/>
      <c r="O722" s="15"/>
    </row>
    <row r="723" spans="2:15" ht="13.8">
      <c r="B723" s="9"/>
      <c r="C723" s="15"/>
      <c r="D723" s="15"/>
      <c r="E723" s="15"/>
      <c r="F723" s="15"/>
      <c r="G723" s="15"/>
      <c r="H723" s="15"/>
      <c r="I723" s="15"/>
      <c r="J723" s="15"/>
      <c r="K723" s="15"/>
      <c r="L723" s="15"/>
      <c r="M723" s="15"/>
      <c r="N723" s="15"/>
      <c r="O723" s="15"/>
    </row>
    <row r="724" spans="2:15" ht="13.8">
      <c r="B724" s="9"/>
      <c r="C724" s="15"/>
      <c r="D724" s="15"/>
      <c r="E724" s="15"/>
      <c r="F724" s="15"/>
      <c r="G724" s="15"/>
      <c r="H724" s="15"/>
      <c r="I724" s="15"/>
      <c r="J724" s="15"/>
      <c r="K724" s="15"/>
      <c r="L724" s="15"/>
      <c r="M724" s="15"/>
      <c r="N724" s="15"/>
      <c r="O724" s="15"/>
    </row>
    <row r="725" spans="2:15" ht="13.8">
      <c r="B725" s="9"/>
      <c r="C725" s="15"/>
      <c r="D725" s="15"/>
      <c r="E725" s="15"/>
      <c r="F725" s="15"/>
      <c r="G725" s="15"/>
      <c r="H725" s="15"/>
      <c r="I725" s="15"/>
      <c r="J725" s="15"/>
      <c r="K725" s="15"/>
      <c r="L725" s="15"/>
      <c r="M725" s="15"/>
      <c r="N725" s="15"/>
      <c r="O725" s="15"/>
    </row>
    <row r="726" spans="2:15" ht="13.8">
      <c r="B726" s="9"/>
      <c r="C726" s="15"/>
      <c r="D726" s="15"/>
      <c r="E726" s="15"/>
      <c r="F726" s="15"/>
      <c r="G726" s="15"/>
      <c r="H726" s="15"/>
      <c r="I726" s="15"/>
      <c r="J726" s="15"/>
      <c r="K726" s="15"/>
      <c r="L726" s="15"/>
      <c r="M726" s="15"/>
      <c r="N726" s="15"/>
      <c r="O726" s="15"/>
    </row>
    <row r="727" spans="2:15" ht="13.8">
      <c r="B727" s="9"/>
      <c r="C727" s="15"/>
      <c r="D727" s="15"/>
      <c r="E727" s="15"/>
      <c r="F727" s="15"/>
      <c r="G727" s="15"/>
      <c r="H727" s="15"/>
      <c r="I727" s="15"/>
      <c r="J727" s="15"/>
      <c r="K727" s="15"/>
      <c r="L727" s="15"/>
      <c r="M727" s="15"/>
      <c r="N727" s="15"/>
      <c r="O727" s="15"/>
    </row>
    <row r="728" spans="2:15" ht="13.8">
      <c r="B728" s="9"/>
      <c r="C728" s="15"/>
      <c r="D728" s="15"/>
      <c r="E728" s="15"/>
      <c r="F728" s="15"/>
      <c r="G728" s="15"/>
      <c r="H728" s="15"/>
      <c r="I728" s="15"/>
      <c r="J728" s="15"/>
      <c r="K728" s="15"/>
      <c r="L728" s="15"/>
      <c r="M728" s="15"/>
      <c r="N728" s="15"/>
      <c r="O728" s="15"/>
    </row>
    <row r="729" spans="2:15" ht="13.8">
      <c r="B729" s="9"/>
      <c r="C729" s="15"/>
      <c r="D729" s="15"/>
      <c r="E729" s="15"/>
      <c r="F729" s="15"/>
      <c r="G729" s="15"/>
      <c r="H729" s="15"/>
      <c r="I729" s="15"/>
      <c r="J729" s="15"/>
      <c r="K729" s="15"/>
      <c r="L729" s="15"/>
      <c r="M729" s="15"/>
      <c r="N729" s="15"/>
      <c r="O729" s="15"/>
    </row>
    <row r="730" spans="2:15" ht="13.8">
      <c r="B730" s="9"/>
      <c r="C730" s="15"/>
      <c r="D730" s="15"/>
      <c r="E730" s="15"/>
      <c r="F730" s="15"/>
      <c r="G730" s="15"/>
      <c r="H730" s="15"/>
      <c r="I730" s="15"/>
      <c r="J730" s="15"/>
      <c r="K730" s="15"/>
      <c r="L730" s="15"/>
      <c r="M730" s="15"/>
      <c r="N730" s="15"/>
      <c r="O730" s="15"/>
    </row>
    <row r="731" spans="2:15" ht="13.8">
      <c r="B731" s="9"/>
      <c r="C731" s="15"/>
      <c r="D731" s="15"/>
      <c r="E731" s="15"/>
      <c r="F731" s="15"/>
      <c r="G731" s="15"/>
      <c r="H731" s="15"/>
      <c r="I731" s="15"/>
      <c r="J731" s="15"/>
      <c r="K731" s="15"/>
      <c r="L731" s="15"/>
      <c r="M731" s="15"/>
      <c r="N731" s="15"/>
      <c r="O731" s="15"/>
    </row>
    <row r="732" spans="2:15" ht="13.8">
      <c r="B732" s="9"/>
      <c r="C732" s="15"/>
      <c r="D732" s="15"/>
      <c r="E732" s="15"/>
      <c r="F732" s="15"/>
      <c r="G732" s="15"/>
      <c r="H732" s="15"/>
      <c r="I732" s="15"/>
      <c r="J732" s="15"/>
      <c r="K732" s="15"/>
      <c r="L732" s="15"/>
      <c r="M732" s="15"/>
      <c r="N732" s="15"/>
      <c r="O732" s="15"/>
    </row>
    <row r="733" spans="2:15" ht="13.8">
      <c r="B733" s="9"/>
      <c r="C733" s="15"/>
      <c r="D733" s="15"/>
      <c r="E733" s="15"/>
      <c r="F733" s="15"/>
      <c r="G733" s="15"/>
      <c r="H733" s="15"/>
      <c r="I733" s="15"/>
      <c r="J733" s="15"/>
      <c r="K733" s="15"/>
      <c r="L733" s="15"/>
      <c r="M733" s="15"/>
      <c r="N733" s="15"/>
      <c r="O733" s="15"/>
    </row>
    <row r="734" spans="2:15" ht="13.8">
      <c r="B734" s="9"/>
      <c r="C734" s="15"/>
      <c r="D734" s="15"/>
      <c r="E734" s="15"/>
      <c r="F734" s="15"/>
      <c r="G734" s="15"/>
      <c r="H734" s="15"/>
      <c r="I734" s="15"/>
      <c r="J734" s="15"/>
      <c r="K734" s="15"/>
      <c r="L734" s="15"/>
      <c r="M734" s="15"/>
      <c r="N734" s="15"/>
      <c r="O734" s="15"/>
    </row>
    <row r="735" spans="2:15" ht="13.8">
      <c r="B735" s="9"/>
      <c r="C735" s="15"/>
      <c r="D735" s="15"/>
      <c r="E735" s="15"/>
      <c r="F735" s="15"/>
      <c r="G735" s="15"/>
      <c r="H735" s="15"/>
      <c r="I735" s="15"/>
      <c r="J735" s="15"/>
      <c r="K735" s="15"/>
      <c r="L735" s="15"/>
      <c r="M735" s="15"/>
      <c r="N735" s="15"/>
      <c r="O735" s="15"/>
    </row>
    <row r="736" spans="2:15" ht="17.399999999999999">
      <c r="B736" s="682"/>
      <c r="C736" s="682"/>
      <c r="D736" s="682"/>
      <c r="E736" s="682"/>
      <c r="F736" s="682"/>
      <c r="G736" s="682"/>
      <c r="H736" s="682"/>
      <c r="I736" s="682"/>
      <c r="J736" s="682"/>
      <c r="K736" s="682"/>
      <c r="L736" s="682"/>
      <c r="M736" s="682"/>
      <c r="N736" s="682"/>
      <c r="O736"/>
    </row>
    <row r="737" spans="2:15" ht="13.8">
      <c r="B737" s="10"/>
      <c r="C737" s="15"/>
      <c r="D737" s="15"/>
      <c r="E737" s="15"/>
      <c r="F737" s="15"/>
      <c r="G737" s="15"/>
      <c r="H737" s="15"/>
      <c r="I737" s="15"/>
      <c r="J737" s="15"/>
      <c r="K737" s="15"/>
      <c r="L737" s="15"/>
      <c r="M737" s="15"/>
      <c r="N737" s="15"/>
      <c r="O737" s="15"/>
    </row>
    <row r="738" spans="2:15" ht="13.8">
      <c r="B738" s="683"/>
      <c r="C738" s="683"/>
      <c r="D738" s="683"/>
      <c r="E738" s="683"/>
      <c r="F738" s="683"/>
      <c r="G738" s="683"/>
      <c r="H738" s="683"/>
      <c r="I738" s="683"/>
      <c r="J738" s="683"/>
      <c r="K738" s="683"/>
      <c r="L738" s="683"/>
      <c r="M738" s="683"/>
      <c r="N738" s="683"/>
      <c r="O738"/>
    </row>
    <row r="739" spans="2:15" ht="13.8">
      <c r="B739" s="19"/>
      <c r="C739" s="16"/>
      <c r="D739" s="16"/>
      <c r="E739" s="16"/>
      <c r="F739" s="16"/>
      <c r="G739" s="16"/>
      <c r="H739" s="16"/>
      <c r="I739" s="16"/>
      <c r="J739" s="16"/>
      <c r="K739" s="16"/>
      <c r="L739" s="16"/>
      <c r="M739" s="15"/>
      <c r="N739" s="15"/>
      <c r="O739" s="15"/>
    </row>
    <row r="740" spans="2:15" ht="13.8">
      <c r="B740" s="4"/>
      <c r="C740" s="15"/>
      <c r="D740" s="17"/>
      <c r="E740" s="17"/>
      <c r="F740" s="15"/>
      <c r="G740" s="17"/>
      <c r="H740" s="17"/>
      <c r="I740" s="17"/>
      <c r="J740" s="15"/>
      <c r="K740" s="15"/>
      <c r="L740" s="15"/>
      <c r="M740" s="15"/>
      <c r="N740" s="15"/>
      <c r="O740" s="15"/>
    </row>
    <row r="741" spans="2:15" ht="13.8">
      <c r="B741" s="10"/>
      <c r="C741" s="17"/>
      <c r="D741" s="17"/>
      <c r="E741" s="17"/>
      <c r="F741" s="17"/>
      <c r="G741" s="17"/>
      <c r="H741" s="17"/>
      <c r="I741" s="17"/>
      <c r="J741" s="17"/>
      <c r="K741" s="17"/>
      <c r="L741" s="17"/>
      <c r="M741" s="17"/>
      <c r="N741" s="17"/>
      <c r="O741" s="17"/>
    </row>
    <row r="742" spans="2:15" ht="13.8">
      <c r="B742" s="9"/>
      <c r="C742" s="17"/>
      <c r="D742" s="17"/>
      <c r="E742" s="17"/>
      <c r="F742" s="20"/>
      <c r="G742" s="20"/>
      <c r="H742" s="20"/>
      <c r="I742" s="20"/>
      <c r="J742" s="20"/>
      <c r="K742" s="20"/>
      <c r="L742" s="20"/>
      <c r="M742" s="20"/>
      <c r="N742" s="20"/>
      <c r="O742" s="20"/>
    </row>
    <row r="743" spans="2:15" ht="13.8">
      <c r="B743" s="9"/>
      <c r="C743" s="17"/>
      <c r="D743" s="15"/>
      <c r="E743" s="15"/>
      <c r="F743" s="15"/>
      <c r="G743" s="15"/>
      <c r="H743" s="15"/>
      <c r="I743" s="15"/>
      <c r="J743" s="15"/>
      <c r="K743" s="15"/>
      <c r="L743" s="15"/>
      <c r="M743" s="15"/>
      <c r="N743" s="15"/>
      <c r="O743" s="15"/>
    </row>
    <row r="744" spans="2:15" ht="13.8">
      <c r="B744" s="21"/>
      <c r="C744" s="15"/>
      <c r="D744" s="15"/>
      <c r="E744" s="15"/>
      <c r="F744" s="15"/>
      <c r="G744" s="15"/>
      <c r="H744" s="15"/>
      <c r="I744" s="15"/>
      <c r="J744" s="15"/>
      <c r="K744" s="15"/>
      <c r="L744" s="15"/>
      <c r="M744" s="15"/>
      <c r="N744" s="15"/>
      <c r="O744" s="15"/>
    </row>
    <row r="745" spans="2:15" ht="13.8">
      <c r="B745" s="22"/>
      <c r="C745" s="15"/>
      <c r="D745" s="15"/>
      <c r="E745" s="15"/>
      <c r="F745" s="15"/>
      <c r="G745" s="15"/>
      <c r="H745" s="15"/>
      <c r="I745" s="15"/>
      <c r="J745" s="15"/>
      <c r="K745" s="15"/>
      <c r="L745" s="15"/>
      <c r="M745" s="15"/>
      <c r="N745" s="15"/>
      <c r="O745" s="15"/>
    </row>
    <row r="746" spans="2:15" ht="13.8">
      <c r="B746" s="11"/>
      <c r="C746" s="15"/>
      <c r="D746" s="15"/>
      <c r="E746" s="15"/>
      <c r="F746" s="15"/>
      <c r="G746" s="15"/>
      <c r="H746" s="15"/>
      <c r="I746" s="15"/>
      <c r="J746" s="15"/>
      <c r="K746" s="15"/>
      <c r="L746" s="15"/>
      <c r="M746" s="15"/>
      <c r="N746" s="15"/>
      <c r="O746" s="15"/>
    </row>
    <row r="747" spans="2:15" ht="13.8">
      <c r="B747" s="12"/>
      <c r="C747" s="15"/>
      <c r="D747" s="15"/>
      <c r="E747" s="15"/>
      <c r="F747" s="15"/>
      <c r="G747" s="15"/>
      <c r="H747" s="15"/>
      <c r="I747" s="15"/>
      <c r="J747" s="15"/>
      <c r="K747" s="15"/>
      <c r="L747" s="15"/>
      <c r="M747" s="15"/>
      <c r="N747" s="15"/>
      <c r="O747" s="15"/>
    </row>
    <row r="748" spans="2:15" ht="13.8">
      <c r="B748" s="9"/>
      <c r="C748" s="15"/>
      <c r="D748" s="15"/>
      <c r="E748" s="15"/>
      <c r="F748" s="15"/>
      <c r="G748" s="15"/>
      <c r="H748" s="15"/>
      <c r="I748" s="15"/>
      <c r="J748" s="15"/>
      <c r="K748" s="15"/>
      <c r="L748" s="15"/>
      <c r="M748" s="15"/>
      <c r="N748" s="15"/>
      <c r="O748" s="15"/>
    </row>
    <row r="749" spans="2:15" ht="13.8">
      <c r="B749" s="21"/>
      <c r="C749" s="15"/>
      <c r="D749" s="15"/>
      <c r="E749" s="15"/>
      <c r="F749" s="15"/>
      <c r="G749" s="15"/>
      <c r="H749" s="15"/>
      <c r="I749" s="15"/>
      <c r="J749" s="15"/>
      <c r="K749" s="15"/>
      <c r="L749" s="15"/>
      <c r="M749" s="15"/>
      <c r="N749" s="15"/>
      <c r="O749" s="15"/>
    </row>
    <row r="750" spans="2:15" ht="13.8">
      <c r="B750" s="11"/>
      <c r="C750" s="15"/>
      <c r="D750" s="15"/>
      <c r="E750" s="15"/>
      <c r="F750" s="15"/>
      <c r="G750" s="15"/>
      <c r="H750" s="15"/>
      <c r="I750" s="15"/>
      <c r="J750" s="15"/>
      <c r="K750" s="15"/>
      <c r="L750" s="15"/>
      <c r="M750" s="15"/>
      <c r="N750" s="15"/>
      <c r="O750" s="15"/>
    </row>
    <row r="751" spans="2:15" ht="13.8">
      <c r="B751" s="11"/>
      <c r="C751" s="15"/>
      <c r="D751" s="15"/>
      <c r="E751" s="15"/>
      <c r="F751" s="15"/>
      <c r="G751" s="15"/>
      <c r="H751" s="15"/>
      <c r="I751" s="15"/>
      <c r="J751" s="15"/>
      <c r="K751" s="15"/>
      <c r="L751" s="15"/>
      <c r="M751" s="15"/>
      <c r="N751" s="15"/>
      <c r="O751" s="15"/>
    </row>
    <row r="752" spans="2:15" ht="13.8">
      <c r="B752" s="12"/>
      <c r="C752" s="15"/>
      <c r="D752" s="15"/>
      <c r="E752" s="15"/>
      <c r="F752" s="15"/>
      <c r="G752" s="15"/>
      <c r="H752" s="15"/>
      <c r="I752" s="15"/>
      <c r="J752" s="15"/>
      <c r="K752" s="15"/>
      <c r="L752" s="15"/>
      <c r="M752" s="15"/>
      <c r="N752" s="15"/>
      <c r="O752" s="15"/>
    </row>
    <row r="753" spans="2:15" ht="13.8">
      <c r="B753" s="12"/>
      <c r="C753" s="15"/>
      <c r="D753" s="15"/>
      <c r="E753" s="15"/>
      <c r="F753" s="15"/>
      <c r="G753" s="15"/>
      <c r="H753" s="15"/>
      <c r="I753" s="15"/>
      <c r="J753" s="15"/>
      <c r="K753" s="15"/>
      <c r="L753" s="15"/>
      <c r="M753" s="15"/>
      <c r="N753" s="15"/>
      <c r="O753" s="15"/>
    </row>
    <row r="754" spans="2:15" ht="13.8">
      <c r="B754" s="13"/>
      <c r="C754" s="15"/>
      <c r="D754" s="15"/>
      <c r="E754" s="15"/>
      <c r="F754" s="15"/>
      <c r="G754" s="15"/>
      <c r="H754" s="15"/>
      <c r="I754" s="15"/>
      <c r="J754" s="15"/>
      <c r="K754" s="15"/>
      <c r="L754" s="15"/>
      <c r="M754" s="15"/>
      <c r="N754" s="15"/>
      <c r="O754" s="15"/>
    </row>
    <row r="755" spans="2:15" ht="13.8">
      <c r="B755" s="13"/>
      <c r="C755" s="15"/>
      <c r="D755" s="15"/>
      <c r="E755" s="15"/>
      <c r="F755" s="15"/>
      <c r="G755" s="15"/>
      <c r="H755" s="15"/>
      <c r="I755" s="15"/>
      <c r="J755" s="15"/>
      <c r="K755" s="15"/>
      <c r="L755" s="15"/>
      <c r="M755" s="15"/>
      <c r="N755" s="15"/>
      <c r="O755" s="15"/>
    </row>
    <row r="756" spans="2:15" ht="13.8">
      <c r="B756" s="21"/>
      <c r="C756" s="15"/>
      <c r="D756" s="15"/>
      <c r="E756" s="15"/>
      <c r="F756" s="15"/>
      <c r="G756" s="15"/>
      <c r="H756" s="15"/>
      <c r="I756" s="15"/>
      <c r="J756" s="15"/>
      <c r="K756" s="15"/>
      <c r="L756" s="15"/>
      <c r="M756" s="15"/>
      <c r="N756" s="15"/>
      <c r="O756" s="15"/>
    </row>
    <row r="757" spans="2:15" ht="13.8">
      <c r="B757" s="14"/>
      <c r="C757" s="15"/>
      <c r="D757" s="15"/>
      <c r="E757" s="15"/>
      <c r="F757" s="15"/>
      <c r="G757" s="15"/>
      <c r="H757" s="15"/>
      <c r="I757" s="15"/>
      <c r="J757" s="15"/>
      <c r="K757" s="15"/>
      <c r="L757" s="15"/>
      <c r="M757" s="15"/>
      <c r="N757" s="15"/>
      <c r="O757" s="15"/>
    </row>
    <row r="758" spans="2:15" ht="13.8">
      <c r="B758" s="14"/>
      <c r="C758" s="15"/>
      <c r="D758" s="15"/>
      <c r="E758" s="15"/>
      <c r="F758" s="15"/>
      <c r="G758" s="15"/>
      <c r="H758" s="15"/>
      <c r="I758" s="15"/>
      <c r="J758" s="15"/>
      <c r="K758" s="15"/>
      <c r="L758" s="15"/>
      <c r="M758" s="15"/>
      <c r="N758" s="15"/>
      <c r="O758" s="15"/>
    </row>
    <row r="759" spans="2:15" ht="13.8">
      <c r="B759" s="9"/>
      <c r="C759" s="15"/>
      <c r="D759" s="15"/>
      <c r="E759" s="15"/>
      <c r="F759" s="15"/>
      <c r="G759" s="15"/>
      <c r="H759" s="15"/>
      <c r="I759" s="15"/>
      <c r="J759" s="15"/>
      <c r="K759" s="15"/>
      <c r="L759" s="15"/>
      <c r="M759" s="15"/>
      <c r="N759" s="15"/>
      <c r="O759" s="15"/>
    </row>
    <row r="760" spans="2:15" ht="13.8">
      <c r="B760" s="9"/>
      <c r="C760" s="15"/>
      <c r="D760" s="15"/>
      <c r="E760" s="15"/>
      <c r="F760" s="15"/>
      <c r="G760" s="15"/>
      <c r="H760" s="15"/>
      <c r="I760" s="15"/>
      <c r="J760" s="15"/>
      <c r="K760" s="15"/>
      <c r="L760" s="15"/>
      <c r="M760" s="15"/>
      <c r="N760" s="15"/>
      <c r="O760" s="15"/>
    </row>
    <row r="761" spans="2:15" ht="13.8">
      <c r="B761" s="9"/>
      <c r="C761" s="15"/>
      <c r="D761" s="15"/>
      <c r="E761" s="15"/>
      <c r="F761" s="15"/>
      <c r="G761" s="15"/>
      <c r="H761" s="15"/>
      <c r="I761" s="15"/>
      <c r="J761" s="15"/>
      <c r="K761" s="15"/>
      <c r="L761" s="15"/>
      <c r="M761" s="15"/>
      <c r="N761" s="15"/>
      <c r="O761" s="15"/>
    </row>
    <row r="762" spans="2:15" ht="13.8">
      <c r="B762" s="9"/>
      <c r="C762" s="15"/>
      <c r="D762" s="15"/>
      <c r="E762" s="15"/>
      <c r="F762" s="15"/>
      <c r="G762" s="15"/>
      <c r="H762" s="15"/>
      <c r="I762" s="15"/>
      <c r="J762" s="15"/>
      <c r="K762" s="15"/>
      <c r="L762" s="15"/>
      <c r="M762" s="15"/>
      <c r="N762" s="15"/>
      <c r="O762" s="15"/>
    </row>
    <row r="763" spans="2:15" ht="13.8">
      <c r="B763" s="9"/>
      <c r="C763" s="15"/>
      <c r="D763" s="15"/>
      <c r="E763" s="15"/>
      <c r="F763" s="15"/>
      <c r="G763" s="15"/>
      <c r="H763" s="15"/>
      <c r="I763" s="15"/>
      <c r="J763" s="15"/>
      <c r="K763" s="15"/>
      <c r="L763" s="15"/>
      <c r="M763" s="15"/>
      <c r="N763" s="15"/>
      <c r="O763" s="15"/>
    </row>
    <row r="764" spans="2:15" ht="13.8">
      <c r="B764" s="9"/>
      <c r="C764" s="15"/>
      <c r="D764" s="15"/>
      <c r="E764" s="15"/>
      <c r="F764" s="15"/>
      <c r="G764" s="15"/>
      <c r="H764" s="15"/>
      <c r="I764" s="15"/>
      <c r="J764" s="15"/>
      <c r="K764" s="15"/>
      <c r="L764" s="15"/>
      <c r="M764" s="15"/>
      <c r="N764" s="15"/>
      <c r="O764" s="15"/>
    </row>
    <row r="765" spans="2:15" ht="13.8">
      <c r="B765" s="9"/>
      <c r="C765" s="15"/>
      <c r="D765" s="15"/>
      <c r="E765" s="15"/>
      <c r="F765" s="15"/>
      <c r="G765" s="15"/>
      <c r="H765" s="15"/>
      <c r="I765" s="15"/>
      <c r="J765" s="15"/>
      <c r="K765" s="15"/>
      <c r="L765" s="15"/>
      <c r="M765" s="15"/>
      <c r="N765" s="15"/>
      <c r="O765" s="15"/>
    </row>
    <row r="766" spans="2:15" ht="13.8">
      <c r="B766" s="9"/>
      <c r="C766" s="15"/>
      <c r="D766" s="15"/>
      <c r="E766" s="15"/>
      <c r="F766" s="15"/>
      <c r="G766" s="15"/>
      <c r="H766" s="15"/>
      <c r="I766" s="15"/>
      <c r="J766" s="15"/>
      <c r="K766" s="15"/>
      <c r="L766" s="15"/>
      <c r="M766" s="15"/>
      <c r="N766" s="15"/>
      <c r="O766" s="15"/>
    </row>
    <row r="767" spans="2:15" ht="13.8">
      <c r="B767" s="9"/>
      <c r="C767" s="15"/>
      <c r="D767" s="15"/>
      <c r="E767" s="15"/>
      <c r="F767" s="15"/>
      <c r="G767" s="15"/>
      <c r="H767" s="15"/>
      <c r="I767" s="15"/>
      <c r="J767" s="15"/>
      <c r="K767" s="15"/>
      <c r="L767" s="15"/>
      <c r="M767" s="15"/>
      <c r="N767" s="15"/>
      <c r="O767" s="15"/>
    </row>
    <row r="768" spans="2:15" ht="13.8">
      <c r="B768" s="9"/>
      <c r="C768" s="15"/>
      <c r="D768" s="15"/>
      <c r="E768" s="15"/>
      <c r="F768" s="15"/>
      <c r="G768" s="15"/>
      <c r="H768" s="15"/>
      <c r="I768" s="15"/>
      <c r="J768" s="15"/>
      <c r="K768" s="15"/>
      <c r="L768" s="15"/>
      <c r="M768" s="15"/>
      <c r="N768" s="15"/>
      <c r="O768" s="15"/>
    </row>
    <row r="769" spans="2:15" ht="13.8">
      <c r="B769" s="9"/>
      <c r="C769" s="15"/>
      <c r="D769" s="15"/>
      <c r="E769" s="15"/>
      <c r="F769" s="15"/>
      <c r="G769" s="15"/>
      <c r="H769" s="15"/>
      <c r="I769" s="15"/>
      <c r="J769" s="15"/>
      <c r="K769" s="15"/>
      <c r="L769" s="15"/>
      <c r="M769" s="15"/>
      <c r="N769" s="15"/>
      <c r="O769" s="15"/>
    </row>
    <row r="770" spans="2:15" ht="13.8">
      <c r="B770" s="9"/>
      <c r="C770" s="15"/>
      <c r="D770" s="15"/>
      <c r="E770" s="15"/>
      <c r="F770" s="15"/>
      <c r="G770" s="15"/>
      <c r="H770" s="15"/>
      <c r="I770" s="15"/>
      <c r="J770" s="15"/>
      <c r="K770" s="15"/>
      <c r="L770" s="15"/>
      <c r="M770" s="15"/>
      <c r="N770" s="15"/>
      <c r="O770" s="15"/>
    </row>
  </sheetData>
  <mergeCells count="40">
    <mergeCell ref="B285:N285"/>
    <mergeCell ref="B419:N421"/>
    <mergeCell ref="B453:N453"/>
    <mergeCell ref="B455:N458"/>
    <mergeCell ref="B371:N371"/>
    <mergeCell ref="B373:N374"/>
    <mergeCell ref="B417:N417"/>
    <mergeCell ref="B500:N503"/>
    <mergeCell ref="B498:N498"/>
    <mergeCell ref="B287:N288"/>
    <mergeCell ref="B323:N323"/>
    <mergeCell ref="B325:N326"/>
    <mergeCell ref="B247:N247"/>
    <mergeCell ref="B122:O122"/>
    <mergeCell ref="B124:O125"/>
    <mergeCell ref="B153:O153"/>
    <mergeCell ref="B155:O156"/>
    <mergeCell ref="B210:N211"/>
    <mergeCell ref="B245:N245"/>
    <mergeCell ref="B738:N738"/>
    <mergeCell ref="B538:N538"/>
    <mergeCell ref="B540:N542"/>
    <mergeCell ref="B587:N587"/>
    <mergeCell ref="B589:N590"/>
    <mergeCell ref="B624:N624"/>
    <mergeCell ref="B626:N627"/>
    <mergeCell ref="B662:N662"/>
    <mergeCell ref="B664:N665"/>
    <mergeCell ref="B699:N699"/>
    <mergeCell ref="B701:N702"/>
    <mergeCell ref="B736:N736"/>
    <mergeCell ref="B1:O1"/>
    <mergeCell ref="B3:O5"/>
    <mergeCell ref="B32:O32"/>
    <mergeCell ref="B34:O36"/>
    <mergeCell ref="B208:N208"/>
    <mergeCell ref="B92:O92"/>
    <mergeCell ref="B94:O97"/>
    <mergeCell ref="B61:O61"/>
    <mergeCell ref="B63:O64"/>
  </mergeCells>
  <phoneticPr fontId="55" type="noConversion"/>
  <pageMargins left="0" right="0" top="0.5" bottom="0.25" header="0" footer="0"/>
  <pageSetup scale="92" orientation="landscape" r:id="rId1"/>
  <rowBreaks count="19" manualBreakCount="19">
    <brk id="31" max="10" man="1"/>
    <brk id="60" max="10" man="1"/>
    <brk id="91" max="10" man="1"/>
    <brk id="121" max="10" man="1"/>
    <brk id="152" max="10" man="1"/>
    <brk id="206" max="16383" man="1"/>
    <brk id="244" max="16383" man="1"/>
    <brk id="283" max="16383" man="1"/>
    <brk id="321" max="16383" man="1"/>
    <brk id="369" max="16383" man="1"/>
    <brk id="415" max="16383" man="1"/>
    <brk id="451" max="16383" man="1"/>
    <brk id="496" max="16383" man="1"/>
    <brk id="536" max="16383" man="1"/>
    <brk id="585" max="16383" man="1"/>
    <brk id="622" max="16383" man="1"/>
    <brk id="660" max="16383" man="1"/>
    <brk id="697" max="16383" man="1"/>
    <brk id="7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75"/>
  <sheetViews>
    <sheetView zoomScale="75" zoomScaleNormal="75" zoomScaleSheetLayoutView="75" workbookViewId="0">
      <selection activeCell="N1" sqref="N1"/>
    </sheetView>
  </sheetViews>
  <sheetFormatPr defaultColWidth="9.109375" defaultRowHeight="13.8"/>
  <cols>
    <col min="1" max="1" width="3.6640625" style="89" customWidth="1"/>
    <col min="2" max="2" width="33" style="89" customWidth="1"/>
    <col min="3" max="11" width="15.6640625" style="114" customWidth="1"/>
    <col min="12" max="13" width="15.6640625" style="672" customWidth="1"/>
    <col min="14" max="14" width="27.88671875" style="89" hidden="1" customWidth="1"/>
    <col min="15" max="16384" width="9.109375" style="89"/>
  </cols>
  <sheetData>
    <row r="1" spans="1:14" ht="17.399999999999999">
      <c r="A1" s="1"/>
      <c r="B1" s="682" t="s">
        <v>581</v>
      </c>
      <c r="C1" s="682"/>
      <c r="D1" s="682"/>
      <c r="E1" s="682"/>
      <c r="F1" s="682"/>
      <c r="G1" s="682"/>
      <c r="H1" s="682"/>
      <c r="I1" s="682"/>
      <c r="J1" s="682"/>
      <c r="K1" s="682"/>
      <c r="L1" s="662"/>
      <c r="M1" s="662"/>
      <c r="N1" s="91" t="s">
        <v>583</v>
      </c>
    </row>
    <row r="2" spans="1:14" ht="7.5" customHeight="1">
      <c r="A2" s="1"/>
      <c r="B2" s="43"/>
      <c r="C2" s="2"/>
      <c r="D2" s="2"/>
      <c r="E2" s="2"/>
      <c r="F2" s="2"/>
      <c r="G2" s="2"/>
      <c r="H2" s="2"/>
      <c r="I2" s="2"/>
      <c r="J2" s="2"/>
      <c r="K2" s="2"/>
      <c r="L2" s="663"/>
      <c r="M2" s="663"/>
    </row>
    <row r="3" spans="1:14" ht="15" customHeight="1">
      <c r="A3" s="1"/>
      <c r="B3" s="683" t="s">
        <v>582</v>
      </c>
      <c r="C3" s="683"/>
      <c r="D3" s="683"/>
      <c r="E3" s="683"/>
      <c r="F3" s="683"/>
      <c r="G3" s="683"/>
      <c r="H3" s="683"/>
      <c r="I3" s="683"/>
      <c r="J3" s="683"/>
      <c r="K3" s="683"/>
      <c r="L3" s="664"/>
      <c r="M3" s="664"/>
    </row>
    <row r="4" spans="1:14">
      <c r="A4" s="1"/>
      <c r="B4" s="683"/>
      <c r="C4" s="683"/>
      <c r="D4" s="683"/>
      <c r="E4" s="683"/>
      <c r="F4" s="683"/>
      <c r="G4" s="683"/>
      <c r="H4" s="683"/>
      <c r="I4" s="683"/>
      <c r="J4" s="683"/>
      <c r="K4" s="683"/>
      <c r="L4" s="664"/>
      <c r="M4" s="664"/>
    </row>
    <row r="5" spans="1:14" ht="7.5" customHeight="1">
      <c r="A5" s="1"/>
      <c r="B5" s="19"/>
      <c r="C5" s="16"/>
      <c r="D5" s="16"/>
      <c r="E5" s="16"/>
      <c r="F5" s="16"/>
      <c r="G5" s="16"/>
      <c r="H5" s="2"/>
      <c r="I5" s="2"/>
      <c r="J5" s="2"/>
      <c r="K5" s="2"/>
      <c r="L5" s="663"/>
      <c r="M5" s="663"/>
    </row>
    <row r="6" spans="1:14">
      <c r="A6" s="1"/>
      <c r="B6" s="4"/>
      <c r="C6" s="43"/>
      <c r="D6" s="573"/>
      <c r="E6" s="43" t="s">
        <v>815</v>
      </c>
      <c r="F6" s="573"/>
      <c r="G6" s="43" t="s">
        <v>816</v>
      </c>
      <c r="H6" s="573"/>
      <c r="I6" s="573"/>
      <c r="J6" s="573"/>
      <c r="K6" s="573"/>
      <c r="L6" s="304"/>
      <c r="M6" s="304"/>
    </row>
    <row r="7" spans="1:14">
      <c r="A7" s="1"/>
      <c r="B7" s="43"/>
      <c r="C7" s="43" t="s">
        <v>813</v>
      </c>
      <c r="D7" s="43" t="s">
        <v>814</v>
      </c>
      <c r="E7" s="43" t="s">
        <v>583</v>
      </c>
      <c r="F7" s="43" t="s">
        <v>815</v>
      </c>
      <c r="G7" s="156" t="str">
        <f>'Fund Cover Sheets'!$N$1</f>
        <v>Adopted</v>
      </c>
      <c r="H7" s="43" t="s">
        <v>817</v>
      </c>
      <c r="I7" s="43" t="s">
        <v>818</v>
      </c>
      <c r="J7" s="43" t="s">
        <v>819</v>
      </c>
      <c r="K7" s="43" t="s">
        <v>820</v>
      </c>
      <c r="L7" s="665"/>
      <c r="M7" s="665"/>
      <c r="N7" s="161"/>
    </row>
    <row r="8" spans="1:14" ht="14.4" thickBot="1">
      <c r="A8" s="1"/>
      <c r="B8" s="44"/>
      <c r="C8" s="45" t="s">
        <v>1</v>
      </c>
      <c r="D8" s="45" t="s">
        <v>1</v>
      </c>
      <c r="E8" s="45" t="s">
        <v>553</v>
      </c>
      <c r="F8" s="45" t="s">
        <v>19</v>
      </c>
      <c r="G8" s="45" t="s">
        <v>553</v>
      </c>
      <c r="H8" s="45" t="s">
        <v>19</v>
      </c>
      <c r="I8" s="45" t="s">
        <v>19</v>
      </c>
      <c r="J8" s="45" t="s">
        <v>19</v>
      </c>
      <c r="K8" s="45" t="s">
        <v>19</v>
      </c>
      <c r="L8" s="566"/>
      <c r="M8" s="566"/>
      <c r="N8" s="161"/>
    </row>
    <row r="9" spans="1:14">
      <c r="A9" s="1"/>
      <c r="B9" s="1"/>
      <c r="C9" s="52"/>
      <c r="D9" s="2"/>
      <c r="E9" s="2"/>
      <c r="F9" s="2"/>
      <c r="G9" s="2"/>
      <c r="H9" s="2"/>
      <c r="I9" s="2"/>
      <c r="J9" s="2"/>
      <c r="K9" s="2"/>
      <c r="L9" s="663"/>
      <c r="M9" s="663"/>
      <c r="N9" s="161"/>
    </row>
    <row r="10" spans="1:14">
      <c r="A10" s="1"/>
      <c r="B10" s="80" t="s">
        <v>685</v>
      </c>
      <c r="C10" s="2"/>
      <c r="D10" s="2"/>
      <c r="E10" s="2"/>
      <c r="F10" s="2"/>
      <c r="G10" s="2"/>
      <c r="H10" s="2"/>
      <c r="I10" s="2"/>
      <c r="J10" s="2"/>
      <c r="K10" s="2"/>
      <c r="L10" s="663"/>
      <c r="M10" s="663"/>
      <c r="N10" s="161"/>
    </row>
    <row r="11" spans="1:14" ht="20.100000000000001" customHeight="1">
      <c r="A11" s="1"/>
      <c r="B11" s="133" t="s">
        <v>584</v>
      </c>
      <c r="C11" s="49">
        <f>SUM('Budget Detail FY 2020-27'!M9:M25)</f>
        <v>11378438</v>
      </c>
      <c r="D11" s="49">
        <f>SUM('Budget Detail FY 2020-27'!N9:N25)</f>
        <v>11970763</v>
      </c>
      <c r="E11" s="49">
        <f>SUM('Budget Detail FY 2020-27'!O9:O25)</f>
        <v>12089017</v>
      </c>
      <c r="F11" s="49">
        <f>SUM('Budget Detail FY 2020-27'!P9:P25)</f>
        <v>13975569</v>
      </c>
      <c r="G11" s="49">
        <f>SUM('Budget Detail FY 2020-27'!Q9:Q25)</f>
        <v>14316507</v>
      </c>
      <c r="H11" s="49">
        <f>SUM('Budget Detail FY 2020-27'!R9:R25)</f>
        <v>14664248</v>
      </c>
      <c r="I11" s="49">
        <f>SUM('Budget Detail FY 2020-27'!S9:S25)</f>
        <v>15011394</v>
      </c>
      <c r="J11" s="49">
        <f>SUM('Budget Detail FY 2020-27'!T9:T25)</f>
        <v>15367998</v>
      </c>
      <c r="K11" s="49">
        <f>SUM('Budget Detail FY 2020-27'!U9:U25)</f>
        <v>15734141</v>
      </c>
      <c r="L11" s="666"/>
      <c r="M11" s="666"/>
      <c r="N11" s="659"/>
    </row>
    <row r="12" spans="1:14" ht="20.100000000000001" customHeight="1">
      <c r="A12" s="1"/>
      <c r="B12" s="133" t="s">
        <v>585</v>
      </c>
      <c r="C12" s="2">
        <f>SUM('Budget Detail FY 2020-27'!M26:M34)</f>
        <v>2742091</v>
      </c>
      <c r="D12" s="2">
        <f>SUM('Budget Detail FY 2020-27'!N26:N34)</f>
        <v>5016435</v>
      </c>
      <c r="E12" s="2">
        <f>SUM('Budget Detail FY 2020-27'!O26:O34)</f>
        <v>3401780</v>
      </c>
      <c r="F12" s="2">
        <f>SUM('Budget Detail FY 2020-27'!P26:P34)</f>
        <v>5227751</v>
      </c>
      <c r="G12" s="2">
        <f>SUM('Budget Detail FY 2020-27'!Q26:Q34)</f>
        <v>5282917</v>
      </c>
      <c r="H12" s="2">
        <f>SUM('Budget Detail FY 2020-27'!R26:R34)</f>
        <v>3881917</v>
      </c>
      <c r="I12" s="2">
        <f>SUM('Budget Detail FY 2020-27'!S26:S34)</f>
        <v>3939980</v>
      </c>
      <c r="J12" s="2">
        <f>SUM('Budget Detail FY 2020-27'!T26:T34)</f>
        <v>3999244</v>
      </c>
      <c r="K12" s="2">
        <f>SUM('Budget Detail FY 2020-27'!U26:U34)</f>
        <v>4061084</v>
      </c>
      <c r="L12" s="663"/>
      <c r="M12" s="663"/>
      <c r="N12" s="659"/>
    </row>
    <row r="13" spans="1:14" ht="20.100000000000001" customHeight="1">
      <c r="A13" s="1"/>
      <c r="B13" s="134" t="s">
        <v>586</v>
      </c>
      <c r="C13" s="2">
        <f>SUM('Budget Detail FY 2020-27'!M35:M37)</f>
        <v>490959</v>
      </c>
      <c r="D13" s="2">
        <f>SUM('Budget Detail FY 2020-27'!N35:N37)</f>
        <v>602328</v>
      </c>
      <c r="E13" s="2">
        <f>SUM('Budget Detail FY 2020-27'!O35:O37)</f>
        <v>524500</v>
      </c>
      <c r="F13" s="2">
        <f>SUM('Budget Detail FY 2020-27'!P35:P37)</f>
        <v>891470</v>
      </c>
      <c r="G13" s="2">
        <f>SUM('Budget Detail FY 2020-27'!Q35:Q37)</f>
        <v>574500</v>
      </c>
      <c r="H13" s="2">
        <f>SUM('Budget Detail FY 2020-27'!R35:R37)</f>
        <v>524500</v>
      </c>
      <c r="I13" s="2">
        <f>SUM('Budget Detail FY 2020-27'!S35:S37)</f>
        <v>474500</v>
      </c>
      <c r="J13" s="2">
        <f>SUM('Budget Detail FY 2020-27'!T35:T37)</f>
        <v>474500</v>
      </c>
      <c r="K13" s="2">
        <f>SUM('Budget Detail FY 2020-27'!U35:U37)</f>
        <v>474500</v>
      </c>
      <c r="L13" s="663"/>
      <c r="M13" s="663"/>
      <c r="N13" s="660"/>
    </row>
    <row r="14" spans="1:14" ht="20.100000000000001" customHeight="1">
      <c r="A14" s="1"/>
      <c r="B14" s="134" t="s">
        <v>587</v>
      </c>
      <c r="C14" s="2">
        <f>SUM('Budget Detail FY 2020-27'!M38:M41)</f>
        <v>73872</v>
      </c>
      <c r="D14" s="2">
        <f>SUM('Budget Detail FY 2020-27'!N38:N41)</f>
        <v>109268</v>
      </c>
      <c r="E14" s="2">
        <f>SUM('Budget Detail FY 2020-27'!O38:O41)</f>
        <v>116850</v>
      </c>
      <c r="F14" s="2">
        <f>SUM('Budget Detail FY 2020-27'!P38:P41)</f>
        <v>117860</v>
      </c>
      <c r="G14" s="2">
        <f>SUM('Budget Detail FY 2020-27'!Q38:Q41)</f>
        <v>115350</v>
      </c>
      <c r="H14" s="2">
        <f>SUM('Budget Detail FY 2020-27'!R38:R41)</f>
        <v>115350</v>
      </c>
      <c r="I14" s="2">
        <f>SUM('Budget Detail FY 2020-27'!S38:S41)</f>
        <v>117850</v>
      </c>
      <c r="J14" s="2">
        <f>SUM('Budget Detail FY 2020-27'!T38:T41)</f>
        <v>117850</v>
      </c>
      <c r="K14" s="2">
        <f>SUM('Budget Detail FY 2020-27'!U38:U41)</f>
        <v>117850</v>
      </c>
      <c r="L14" s="663"/>
      <c r="M14" s="663"/>
      <c r="N14" s="660"/>
    </row>
    <row r="15" spans="1:14" ht="20.100000000000001" customHeight="1">
      <c r="A15" s="1"/>
      <c r="B15" s="134" t="s">
        <v>588</v>
      </c>
      <c r="C15" s="2">
        <f>SUM('Budget Detail FY 2020-27'!M42:M46)</f>
        <v>1670693</v>
      </c>
      <c r="D15" s="2">
        <f>SUM('Budget Detail FY 2020-27'!N42:N46)</f>
        <v>1743212</v>
      </c>
      <c r="E15" s="2">
        <f>SUM('Budget Detail FY 2020-27'!O42:O46)</f>
        <v>1781123</v>
      </c>
      <c r="F15" s="2">
        <f>SUM('Budget Detail FY 2020-27'!P42:P46)</f>
        <v>1869313</v>
      </c>
      <c r="G15" s="2">
        <f>SUM('Budget Detail FY 2020-27'!Q42:Q46)</f>
        <v>1950962</v>
      </c>
      <c r="H15" s="2">
        <f>SUM('Budget Detail FY 2020-27'!R42:R46)</f>
        <v>2066205</v>
      </c>
      <c r="I15" s="2">
        <f>SUM('Budget Detail FY 2020-27'!S42:S46)</f>
        <v>2189417</v>
      </c>
      <c r="J15" s="2">
        <f>SUM('Budget Detail FY 2020-27'!T42:T46)</f>
        <v>2320881</v>
      </c>
      <c r="K15" s="2">
        <f>SUM('Budget Detail FY 2020-27'!U42:U46)</f>
        <v>2462064</v>
      </c>
      <c r="L15" s="663"/>
      <c r="M15" s="663"/>
      <c r="N15" s="660"/>
    </row>
    <row r="16" spans="1:14" ht="20.100000000000001" customHeight="1">
      <c r="A16" s="1"/>
      <c r="B16" s="134" t="s">
        <v>589</v>
      </c>
      <c r="C16" s="2">
        <f>'Budget Detail FY 2020-27'!M47+'Budget Detail FY 2020-27'!M48</f>
        <v>147836</v>
      </c>
      <c r="D16" s="2">
        <f>'Budget Detail FY 2020-27'!N47+'Budget Detail FY 2020-27'!N48</f>
        <v>12085</v>
      </c>
      <c r="E16" s="2">
        <f>'Budget Detail FY 2020-27'!O47+'Budget Detail FY 2020-27'!O48</f>
        <v>20000</v>
      </c>
      <c r="F16" s="2">
        <f>'Budget Detail FY 2020-27'!P47+'Budget Detail FY 2020-27'!P48</f>
        <v>8899</v>
      </c>
      <c r="G16" s="2">
        <f>'Budget Detail FY 2020-27'!Q47+'Budget Detail FY 2020-27'!Q48</f>
        <v>7500</v>
      </c>
      <c r="H16" s="2">
        <f>'Budget Detail FY 2020-27'!R47+'Budget Detail FY 2020-27'!R48</f>
        <v>20000</v>
      </c>
      <c r="I16" s="2">
        <f>'Budget Detail FY 2020-27'!S47+'Budget Detail FY 2020-27'!S48</f>
        <v>35000</v>
      </c>
      <c r="J16" s="2">
        <f>'Budget Detail FY 2020-27'!T47+'Budget Detail FY 2020-27'!T48</f>
        <v>50000</v>
      </c>
      <c r="K16" s="2">
        <f>'Budget Detail FY 2020-27'!U47+'Budget Detail FY 2020-27'!U48</f>
        <v>75000</v>
      </c>
      <c r="L16" s="663"/>
      <c r="M16" s="663"/>
      <c r="N16" s="660"/>
    </row>
    <row r="17" spans="1:14" ht="20.100000000000001" customHeight="1">
      <c r="A17" s="1"/>
      <c r="B17" s="134" t="s">
        <v>590</v>
      </c>
      <c r="C17" s="2">
        <f>SUM('Budget Detail FY 2020-27'!M49:M52)</f>
        <v>76923</v>
      </c>
      <c r="D17" s="2">
        <f>SUM('Budget Detail FY 2020-27'!N49:N52)</f>
        <v>56038</v>
      </c>
      <c r="E17" s="2">
        <f>SUM('Budget Detail FY 2020-27'!O49:O52)</f>
        <v>37000</v>
      </c>
      <c r="F17" s="2">
        <f>SUM('Budget Detail FY 2020-27'!P49:P52)</f>
        <v>27056</v>
      </c>
      <c r="G17" s="2">
        <f>SUM('Budget Detail FY 2020-27'!Q49:Q52)</f>
        <v>30000</v>
      </c>
      <c r="H17" s="2">
        <f>SUM('Budget Detail FY 2020-27'!R49:R52)</f>
        <v>30000</v>
      </c>
      <c r="I17" s="2">
        <f>SUM('Budget Detail FY 2020-27'!S49:S52)</f>
        <v>30000</v>
      </c>
      <c r="J17" s="2">
        <f>SUM('Budget Detail FY 2020-27'!T49:T52)</f>
        <v>30000</v>
      </c>
      <c r="K17" s="2">
        <f>SUM('Budget Detail FY 2020-27'!U49:U52)</f>
        <v>30000</v>
      </c>
      <c r="L17" s="663"/>
      <c r="M17" s="663"/>
      <c r="N17" s="161"/>
    </row>
    <row r="18" spans="1:14" ht="20.100000000000001" customHeight="1">
      <c r="A18" s="1"/>
      <c r="B18" s="506" t="s">
        <v>591</v>
      </c>
      <c r="C18" s="65">
        <f>SUM('Budget Detail FY 2020-27'!M53:M54)</f>
        <v>24895</v>
      </c>
      <c r="D18" s="65">
        <f>SUM('Budget Detail FY 2020-27'!N53:N54)</f>
        <v>50612</v>
      </c>
      <c r="E18" s="65">
        <f>SUM('Budget Detail FY 2020-27'!O53:O54)</f>
        <v>95000</v>
      </c>
      <c r="F18" s="65">
        <f>SUM('Budget Detail FY 2020-27'!P53:P54)</f>
        <v>95000</v>
      </c>
      <c r="G18" s="65">
        <f>SUM('Budget Detail FY 2020-27'!Q53:Q54)</f>
        <v>62000</v>
      </c>
      <c r="H18" s="65">
        <f>SUM('Budget Detail FY 2020-27'!R53:R54)</f>
        <v>12000</v>
      </c>
      <c r="I18" s="65">
        <f>SUM('Budget Detail FY 2020-27'!S53:S54)</f>
        <v>12000</v>
      </c>
      <c r="J18" s="65">
        <f>SUM('Budget Detail FY 2020-27'!T53:T54)</f>
        <v>12000</v>
      </c>
      <c r="K18" s="65">
        <f>SUM('Budget Detail FY 2020-27'!U53:U54)</f>
        <v>12000</v>
      </c>
      <c r="L18" s="667"/>
      <c r="M18" s="667"/>
      <c r="N18" s="660"/>
    </row>
    <row r="19" spans="1:14" s="470" customFormat="1" ht="20.100000000000001" customHeight="1">
      <c r="A19" s="468"/>
      <c r="B19" s="515" t="s">
        <v>1241</v>
      </c>
      <c r="C19" s="514">
        <f t="shared" ref="C19:K19" si="0">SUM(C11:C18)</f>
        <v>16605707</v>
      </c>
      <c r="D19" s="514">
        <f t="shared" si="0"/>
        <v>19560741</v>
      </c>
      <c r="E19" s="514">
        <f t="shared" si="0"/>
        <v>18065270</v>
      </c>
      <c r="F19" s="514">
        <f t="shared" si="0"/>
        <v>22212918</v>
      </c>
      <c r="G19" s="514">
        <f t="shared" si="0"/>
        <v>22339736</v>
      </c>
      <c r="H19" s="514">
        <f t="shared" si="0"/>
        <v>21314220</v>
      </c>
      <c r="I19" s="514">
        <f t="shared" si="0"/>
        <v>21810141</v>
      </c>
      <c r="J19" s="514">
        <f t="shared" si="0"/>
        <v>22372473</v>
      </c>
      <c r="K19" s="514">
        <f t="shared" si="0"/>
        <v>22966639</v>
      </c>
      <c r="L19" s="406"/>
      <c r="M19" s="406"/>
      <c r="N19" s="660"/>
    </row>
    <row r="20" spans="1:14" s="470" customFormat="1" ht="6.9" customHeight="1">
      <c r="A20" s="468"/>
      <c r="B20" s="134"/>
      <c r="C20" s="2"/>
      <c r="D20" s="2"/>
      <c r="E20" s="2"/>
      <c r="F20" s="2"/>
      <c r="G20" s="2"/>
      <c r="H20" s="2"/>
      <c r="I20" s="2"/>
      <c r="J20" s="2"/>
      <c r="K20" s="2"/>
      <c r="L20" s="663"/>
      <c r="M20" s="663"/>
      <c r="N20" s="660"/>
    </row>
    <row r="21" spans="1:14" ht="20.100000000000001" customHeight="1">
      <c r="A21" s="1"/>
      <c r="B21" s="134" t="s">
        <v>592</v>
      </c>
      <c r="C21" s="2">
        <f>SUM('Budget Detail FY 2020-27'!M57:M57)</f>
        <v>32092</v>
      </c>
      <c r="D21" s="2">
        <f>SUM('Budget Detail FY 2020-27'!N57:N57)</f>
        <v>132689</v>
      </c>
      <c r="E21" s="2">
        <f>SUM('Budget Detail FY 2020-27'!O57:O57)</f>
        <v>35000</v>
      </c>
      <c r="F21" s="2">
        <f>SUM('Budget Detail FY 2020-27'!P57:P57)</f>
        <v>25000</v>
      </c>
      <c r="G21" s="2">
        <f>SUM('Budget Detail FY 2020-27'!Q57:Q57)</f>
        <v>0</v>
      </c>
      <c r="H21" s="2">
        <f>SUM('Budget Detail FY 2020-27'!R57:R57)</f>
        <v>0</v>
      </c>
      <c r="I21" s="2">
        <f>SUM('Budget Detail FY 2020-27'!S57:S57)</f>
        <v>0</v>
      </c>
      <c r="J21" s="2">
        <f>SUM('Budget Detail FY 2020-27'!T57:T57)</f>
        <v>0</v>
      </c>
      <c r="K21" s="2">
        <f>SUM('Budget Detail FY 2020-27'!U57:U57)</f>
        <v>0</v>
      </c>
      <c r="L21" s="663"/>
      <c r="M21" s="663"/>
      <c r="N21" s="660"/>
    </row>
    <row r="22" spans="1:14" ht="20.100000000000001" customHeight="1" thickBot="1">
      <c r="A22" s="1"/>
      <c r="B22" s="79" t="s">
        <v>1243</v>
      </c>
      <c r="C22" s="433">
        <f t="shared" ref="C22:K22" si="1">C19+C21</f>
        <v>16637799</v>
      </c>
      <c r="D22" s="433">
        <f t="shared" si="1"/>
        <v>19693430</v>
      </c>
      <c r="E22" s="433">
        <f t="shared" si="1"/>
        <v>18100270</v>
      </c>
      <c r="F22" s="433">
        <f t="shared" si="1"/>
        <v>22237918</v>
      </c>
      <c r="G22" s="433">
        <f t="shared" si="1"/>
        <v>22339736</v>
      </c>
      <c r="H22" s="433">
        <f t="shared" si="1"/>
        <v>21314220</v>
      </c>
      <c r="I22" s="433">
        <f t="shared" si="1"/>
        <v>21810141</v>
      </c>
      <c r="J22" s="433">
        <f t="shared" si="1"/>
        <v>22372473</v>
      </c>
      <c r="K22" s="433">
        <f t="shared" si="1"/>
        <v>22966639</v>
      </c>
      <c r="L22" s="406"/>
      <c r="M22" s="406"/>
      <c r="N22" s="161"/>
    </row>
    <row r="23" spans="1:14" ht="7.5" customHeight="1">
      <c r="A23" s="1"/>
      <c r="B23" s="1"/>
      <c r="C23" s="2"/>
      <c r="D23" s="2"/>
      <c r="E23" s="2"/>
      <c r="F23" s="2"/>
      <c r="G23" s="2"/>
      <c r="H23" s="2"/>
      <c r="I23" s="2"/>
      <c r="J23" s="2"/>
      <c r="K23" s="2"/>
      <c r="L23" s="663"/>
      <c r="M23" s="663"/>
      <c r="N23" s="161"/>
    </row>
    <row r="24" spans="1:14">
      <c r="A24" s="1"/>
      <c r="B24" s="80" t="s">
        <v>424</v>
      </c>
      <c r="C24" s="2"/>
      <c r="D24" s="89"/>
      <c r="E24" s="89"/>
      <c r="F24" s="89"/>
      <c r="G24" s="89"/>
      <c r="H24" s="89"/>
      <c r="I24" s="89"/>
      <c r="J24" s="89"/>
      <c r="K24" s="89"/>
      <c r="L24" s="161"/>
      <c r="M24" s="161"/>
      <c r="N24" s="161"/>
    </row>
    <row r="25" spans="1:14" ht="20.100000000000001" customHeight="1">
      <c r="A25" s="1"/>
      <c r="B25" s="134" t="s">
        <v>594</v>
      </c>
      <c r="C25" s="49">
        <f>'Gen Fd Cover Sheets'!C12+'Gen Fd Cover Sheets'!C43+'Gen Fd Cover Sheets'!C71+'Gen Fd Cover Sheets'!C104+'Gen Fd Cover Sheets'!C132+'Gen Fd Cover Sheets'!C163</f>
        <v>5209011</v>
      </c>
      <c r="D25" s="49">
        <f>'Gen Fd Cover Sheets'!D12+'Gen Fd Cover Sheets'!D43+'Gen Fd Cover Sheets'!D71+'Gen Fd Cover Sheets'!D104+'Gen Fd Cover Sheets'!D132+'Gen Fd Cover Sheets'!D163</f>
        <v>4906111</v>
      </c>
      <c r="E25" s="49">
        <f>'Gen Fd Cover Sheets'!F12+'Gen Fd Cover Sheets'!F43+'Gen Fd Cover Sheets'!F71+'Gen Fd Cover Sheets'!F104+'Gen Fd Cover Sheets'!F132+'Gen Fd Cover Sheets'!F163</f>
        <v>5566894</v>
      </c>
      <c r="F25" s="49">
        <f>'Gen Fd Cover Sheets'!G12+'Gen Fd Cover Sheets'!G43+'Gen Fd Cover Sheets'!G71+'Gen Fd Cover Sheets'!G104+'Gen Fd Cover Sheets'!G132+'Gen Fd Cover Sheets'!G163</f>
        <v>5406844</v>
      </c>
      <c r="G25" s="49">
        <f>'Gen Fd Cover Sheets'!J12+'Gen Fd Cover Sheets'!J43+'Gen Fd Cover Sheets'!J71+'Gen Fd Cover Sheets'!J104+'Gen Fd Cover Sheets'!J132+'Gen Fd Cover Sheets'!J163</f>
        <v>5880082</v>
      </c>
      <c r="H25" s="49">
        <f>'Gen Fd Cover Sheets'!L12+'Gen Fd Cover Sheets'!L43+'Gen Fd Cover Sheets'!L71+'Gen Fd Cover Sheets'!L104+'Gen Fd Cover Sheets'!L132+'Gen Fd Cover Sheets'!L163</f>
        <v>6139386</v>
      </c>
      <c r="I25" s="49">
        <f>'Gen Fd Cover Sheets'!M12+'Gen Fd Cover Sheets'!M43+'Gen Fd Cover Sheets'!M71+'Gen Fd Cover Sheets'!M104+'Gen Fd Cover Sheets'!M132+'Gen Fd Cover Sheets'!M163</f>
        <v>6386070</v>
      </c>
      <c r="J25" s="49">
        <f>'Gen Fd Cover Sheets'!N12+'Gen Fd Cover Sheets'!N43+'Gen Fd Cover Sheets'!N71+'Gen Fd Cover Sheets'!N104+'Gen Fd Cover Sheets'!N132+'Gen Fd Cover Sheets'!N163</f>
        <v>6642114</v>
      </c>
      <c r="K25" s="49">
        <f>'Gen Fd Cover Sheets'!O12+'Gen Fd Cover Sheets'!O43+'Gen Fd Cover Sheets'!O71+'Gen Fd Cover Sheets'!O104+'Gen Fd Cover Sheets'!O132+'Gen Fd Cover Sheets'!O163</f>
        <v>6907850</v>
      </c>
      <c r="L25" s="666"/>
      <c r="M25" s="666"/>
      <c r="N25" s="660"/>
    </row>
    <row r="26" spans="1:14" ht="20.100000000000001" customHeight="1">
      <c r="A26" s="1"/>
      <c r="B26" s="134" t="s">
        <v>595</v>
      </c>
      <c r="C26" s="2">
        <f>'Gen Fd Cover Sheets'!C13+'Gen Fd Cover Sheets'!C44+'Gen Fd Cover Sheets'!C72+'Gen Fd Cover Sheets'!C105+'Gen Fd Cover Sheets'!C133+'Gen Fd Cover Sheets'!C164</f>
        <v>3086254</v>
      </c>
      <c r="D26" s="2">
        <f>'Gen Fd Cover Sheets'!D13+'Gen Fd Cover Sheets'!D44+'Gen Fd Cover Sheets'!D72+'Gen Fd Cover Sheets'!D105+'Gen Fd Cover Sheets'!D133+'Gen Fd Cover Sheets'!D164</f>
        <v>3124113</v>
      </c>
      <c r="E26" s="2">
        <f>'Gen Fd Cover Sheets'!F13+'Gen Fd Cover Sheets'!F44+'Gen Fd Cover Sheets'!F72+'Gen Fd Cover Sheets'!F105+'Gen Fd Cover Sheets'!F133+'Gen Fd Cover Sheets'!F164</f>
        <v>3421209</v>
      </c>
      <c r="F26" s="2">
        <f>'Gen Fd Cover Sheets'!G13+'Gen Fd Cover Sheets'!G44+'Gen Fd Cover Sheets'!G72+'Gen Fd Cover Sheets'!G105+'Gen Fd Cover Sheets'!G133+'Gen Fd Cover Sheets'!G164</f>
        <v>3383999.73</v>
      </c>
      <c r="G26" s="2">
        <f>'Gen Fd Cover Sheets'!J13+'Gen Fd Cover Sheets'!J44+'Gen Fd Cover Sheets'!J72+'Gen Fd Cover Sheets'!J105+'Gen Fd Cover Sheets'!J133+'Gen Fd Cover Sheets'!J164</f>
        <v>3601680</v>
      </c>
      <c r="H26" s="2">
        <f>'Gen Fd Cover Sheets'!L13+'Gen Fd Cover Sheets'!L44+'Gen Fd Cover Sheets'!L72+'Gen Fd Cover Sheets'!L105+'Gen Fd Cover Sheets'!L133+'Gen Fd Cover Sheets'!L164</f>
        <v>3845783</v>
      </c>
      <c r="I26" s="2">
        <f>'Gen Fd Cover Sheets'!M13+'Gen Fd Cover Sheets'!M44+'Gen Fd Cover Sheets'!M72+'Gen Fd Cover Sheets'!M105+'Gen Fd Cover Sheets'!M133+'Gen Fd Cover Sheets'!M164</f>
        <v>4110054</v>
      </c>
      <c r="J26" s="2">
        <f>'Gen Fd Cover Sheets'!N13+'Gen Fd Cover Sheets'!N44+'Gen Fd Cover Sheets'!N72+'Gen Fd Cover Sheets'!N105+'Gen Fd Cover Sheets'!N133+'Gen Fd Cover Sheets'!N164</f>
        <v>4365048</v>
      </c>
      <c r="K26" s="2">
        <f>'Gen Fd Cover Sheets'!O13+'Gen Fd Cover Sheets'!O44+'Gen Fd Cover Sheets'!O72+'Gen Fd Cover Sheets'!O105+'Gen Fd Cover Sheets'!O133+'Gen Fd Cover Sheets'!O164</f>
        <v>4659769</v>
      </c>
      <c r="L26" s="663"/>
      <c r="M26" s="663"/>
      <c r="N26" s="660"/>
    </row>
    <row r="27" spans="1:14" ht="20.100000000000001" customHeight="1">
      <c r="A27" s="1"/>
      <c r="B27" s="134" t="s">
        <v>596</v>
      </c>
      <c r="C27" s="2">
        <f>'Gen Fd Cover Sheets'!C14+'Gen Fd Cover Sheets'!C45+'Gen Fd Cover Sheets'!C73+'Gen Fd Cover Sheets'!C106+'Gen Fd Cover Sheets'!C134+'Gen Fd Cover Sheets'!C165</f>
        <v>4800124</v>
      </c>
      <c r="D27" s="2">
        <f>'Gen Fd Cover Sheets'!D14+'Gen Fd Cover Sheets'!D45+'Gen Fd Cover Sheets'!D73+'Gen Fd Cover Sheets'!D106+'Gen Fd Cover Sheets'!D134+'Gen Fd Cover Sheets'!D165</f>
        <v>6342215</v>
      </c>
      <c r="E27" s="2">
        <f>'Gen Fd Cover Sheets'!F14+'Gen Fd Cover Sheets'!F45+'Gen Fd Cover Sheets'!F73+'Gen Fd Cover Sheets'!F106+'Gen Fd Cover Sheets'!F134+'Gen Fd Cover Sheets'!F165</f>
        <v>5775712</v>
      </c>
      <c r="F27" s="2">
        <f>'Gen Fd Cover Sheets'!G14+'Gen Fd Cover Sheets'!G45+'Gen Fd Cover Sheets'!G73+'Gen Fd Cover Sheets'!G106+'Gen Fd Cover Sheets'!G134+'Gen Fd Cover Sheets'!G165</f>
        <v>6069400</v>
      </c>
      <c r="G27" s="2">
        <f>'Gen Fd Cover Sheets'!J14+'Gen Fd Cover Sheets'!J45+'Gen Fd Cover Sheets'!J73+'Gen Fd Cover Sheets'!J106+'Gen Fd Cover Sheets'!J134+'Gen Fd Cover Sheets'!J165</f>
        <v>6762794</v>
      </c>
      <c r="H27" s="2">
        <f>'Gen Fd Cover Sheets'!L14+'Gen Fd Cover Sheets'!L45+'Gen Fd Cover Sheets'!L73+'Gen Fd Cover Sheets'!L106+'Gen Fd Cover Sheets'!L134+'Gen Fd Cover Sheets'!L165</f>
        <v>6748337</v>
      </c>
      <c r="I27" s="2">
        <f>'Gen Fd Cover Sheets'!M14+'Gen Fd Cover Sheets'!M45+'Gen Fd Cover Sheets'!M73+'Gen Fd Cover Sheets'!M106+'Gen Fd Cover Sheets'!M134+'Gen Fd Cover Sheets'!M165</f>
        <v>6788535</v>
      </c>
      <c r="J27" s="2">
        <f>'Gen Fd Cover Sheets'!N14+'Gen Fd Cover Sheets'!N45+'Gen Fd Cover Sheets'!N73+'Gen Fd Cover Sheets'!N106+'Gen Fd Cover Sheets'!N134+'Gen Fd Cover Sheets'!N165</f>
        <v>7017717</v>
      </c>
      <c r="K27" s="2">
        <f>'Gen Fd Cover Sheets'!O14+'Gen Fd Cover Sheets'!O45+'Gen Fd Cover Sheets'!O73+'Gen Fd Cover Sheets'!O106+'Gen Fd Cover Sheets'!O134+'Gen Fd Cover Sheets'!O165</f>
        <v>7068161</v>
      </c>
      <c r="L27" s="663"/>
      <c r="M27" s="663"/>
      <c r="N27" s="660"/>
    </row>
    <row r="28" spans="1:14" ht="20.100000000000001" customHeight="1">
      <c r="A28" s="1"/>
      <c r="B28" s="134" t="s">
        <v>597</v>
      </c>
      <c r="C28" s="2">
        <f>'Gen Fd Cover Sheets'!C15+'Gen Fd Cover Sheets'!C46+'Gen Fd Cover Sheets'!C74+'Gen Fd Cover Sheets'!C107+'Gen Fd Cover Sheets'!C135+'Gen Fd Cover Sheets'!C166</f>
        <v>343632</v>
      </c>
      <c r="D28" s="2">
        <f>'Gen Fd Cover Sheets'!D15+'Gen Fd Cover Sheets'!D46+'Gen Fd Cover Sheets'!D74+'Gen Fd Cover Sheets'!D107+'Gen Fd Cover Sheets'!D135+'Gen Fd Cover Sheets'!D166</f>
        <v>234069</v>
      </c>
      <c r="E28" s="2">
        <f>'Gen Fd Cover Sheets'!F15+'Gen Fd Cover Sheets'!F46+'Gen Fd Cover Sheets'!F74+'Gen Fd Cover Sheets'!F107+'Gen Fd Cover Sheets'!F135+'Gen Fd Cover Sheets'!F166</f>
        <v>284030</v>
      </c>
      <c r="F28" s="2">
        <f>'Gen Fd Cover Sheets'!G15+'Gen Fd Cover Sheets'!G46+'Gen Fd Cover Sheets'!G74+'Gen Fd Cover Sheets'!G107+'Gen Fd Cover Sheets'!G135+'Gen Fd Cover Sheets'!G166</f>
        <v>277502</v>
      </c>
      <c r="G28" s="2">
        <f>'Gen Fd Cover Sheets'!J15+'Gen Fd Cover Sheets'!J46+'Gen Fd Cover Sheets'!J74+'Gen Fd Cover Sheets'!J107+'Gen Fd Cover Sheets'!J135+'Gen Fd Cover Sheets'!J166</f>
        <v>313775</v>
      </c>
      <c r="H28" s="2">
        <f>'Gen Fd Cover Sheets'!L15+'Gen Fd Cover Sheets'!L46+'Gen Fd Cover Sheets'!L74+'Gen Fd Cover Sheets'!L107+'Gen Fd Cover Sheets'!L135+'Gen Fd Cover Sheets'!L166</f>
        <v>300175</v>
      </c>
      <c r="I28" s="2">
        <f>'Gen Fd Cover Sheets'!M15+'Gen Fd Cover Sheets'!M46+'Gen Fd Cover Sheets'!M74+'Gen Fd Cover Sheets'!M107+'Gen Fd Cover Sheets'!M135+'Gen Fd Cover Sheets'!M166</f>
        <v>306302</v>
      </c>
      <c r="J28" s="2">
        <f>'Gen Fd Cover Sheets'!N15+'Gen Fd Cover Sheets'!N46+'Gen Fd Cover Sheets'!N74+'Gen Fd Cover Sheets'!N107+'Gen Fd Cover Sheets'!N135+'Gen Fd Cover Sheets'!N166</f>
        <v>313047</v>
      </c>
      <c r="K28" s="2">
        <f>'Gen Fd Cover Sheets'!O15+'Gen Fd Cover Sheets'!O46+'Gen Fd Cover Sheets'!O74+'Gen Fd Cover Sheets'!O107+'Gen Fd Cover Sheets'!O135+'Gen Fd Cover Sheets'!O166</f>
        <v>323154</v>
      </c>
      <c r="L28" s="663"/>
      <c r="M28" s="663"/>
      <c r="N28" s="660"/>
    </row>
    <row r="29" spans="1:14" s="346" customFormat="1" ht="20.100000000000001" customHeight="1">
      <c r="A29" s="345"/>
      <c r="B29" s="134" t="s">
        <v>1165</v>
      </c>
      <c r="C29" s="2">
        <f>'Gen Fd Cover Sheets'!C167</f>
        <v>0</v>
      </c>
      <c r="D29" s="2">
        <f>'Gen Fd Cover Sheets'!D167</f>
        <v>0</v>
      </c>
      <c r="E29" s="2">
        <f>'Gen Fd Cover Sheets'!F167</f>
        <v>44000</v>
      </c>
      <c r="F29" s="2">
        <f>'Gen Fd Cover Sheets'!G167</f>
        <v>0</v>
      </c>
      <c r="G29" s="2">
        <f>'Gen Fd Cover Sheets'!J167</f>
        <v>75000</v>
      </c>
      <c r="H29" s="2">
        <f>'Gen Fd Cover Sheets'!L167</f>
        <v>75000</v>
      </c>
      <c r="I29" s="2">
        <f>'Gen Fd Cover Sheets'!M167</f>
        <v>75000</v>
      </c>
      <c r="J29" s="2">
        <f>'Gen Fd Cover Sheets'!N167</f>
        <v>75000</v>
      </c>
      <c r="K29" s="2">
        <f>'Gen Fd Cover Sheets'!O167</f>
        <v>75000</v>
      </c>
      <c r="L29" s="663"/>
      <c r="M29" s="663"/>
      <c r="N29" s="660"/>
    </row>
    <row r="30" spans="1:14" s="470" customFormat="1" ht="20.100000000000001" customHeight="1">
      <c r="A30" s="468"/>
      <c r="B30" s="515" t="s">
        <v>600</v>
      </c>
      <c r="C30" s="514">
        <f t="shared" ref="C30:K30" si="2">SUM(C25:C29)</f>
        <v>13439021</v>
      </c>
      <c r="D30" s="514">
        <f t="shared" si="2"/>
        <v>14606508</v>
      </c>
      <c r="E30" s="514">
        <f t="shared" si="2"/>
        <v>15091845</v>
      </c>
      <c r="F30" s="514">
        <f t="shared" si="2"/>
        <v>15137745.73</v>
      </c>
      <c r="G30" s="514">
        <f t="shared" si="2"/>
        <v>16633331</v>
      </c>
      <c r="H30" s="514">
        <f t="shared" si="2"/>
        <v>17108681</v>
      </c>
      <c r="I30" s="514">
        <f t="shared" si="2"/>
        <v>17665961</v>
      </c>
      <c r="J30" s="514">
        <f t="shared" si="2"/>
        <v>18412926</v>
      </c>
      <c r="K30" s="514">
        <f t="shared" si="2"/>
        <v>19033934</v>
      </c>
      <c r="L30" s="406"/>
      <c r="M30" s="406"/>
      <c r="N30" s="660"/>
    </row>
    <row r="31" spans="1:14" s="470" customFormat="1" ht="6.9" customHeight="1">
      <c r="A31" s="468"/>
      <c r="B31" s="134"/>
      <c r="C31" s="2"/>
      <c r="D31" s="2"/>
      <c r="E31" s="2"/>
      <c r="F31" s="2"/>
      <c r="G31" s="2"/>
      <c r="H31" s="2"/>
      <c r="I31" s="2"/>
      <c r="J31" s="2"/>
      <c r="K31" s="2"/>
      <c r="L31" s="663"/>
      <c r="M31" s="663"/>
      <c r="N31" s="660"/>
    </row>
    <row r="32" spans="1:14" ht="20.100000000000001" customHeight="1">
      <c r="A32" s="1"/>
      <c r="B32" s="134" t="s">
        <v>599</v>
      </c>
      <c r="C32" s="2">
        <f>'Gen Fd Cover Sheets'!C170</f>
        <v>2566540</v>
      </c>
      <c r="D32" s="2">
        <f>'Gen Fd Cover Sheets'!D170</f>
        <v>3426628</v>
      </c>
      <c r="E32" s="2">
        <f>'Gen Fd Cover Sheets'!F170</f>
        <v>3008425</v>
      </c>
      <c r="F32" s="2">
        <f>'Gen Fd Cover Sheets'!G170</f>
        <v>6874060</v>
      </c>
      <c r="G32" s="2">
        <f>'Gen Fd Cover Sheets'!J170</f>
        <v>5706405</v>
      </c>
      <c r="H32" s="2">
        <f>'Gen Fd Cover Sheets'!L170</f>
        <v>5299460</v>
      </c>
      <c r="I32" s="2">
        <f>'Gen Fd Cover Sheets'!M170</f>
        <v>4767851</v>
      </c>
      <c r="J32" s="2">
        <f>'Gen Fd Cover Sheets'!N170</f>
        <v>4861135</v>
      </c>
      <c r="K32" s="2">
        <f>'Gen Fd Cover Sheets'!O170</f>
        <v>4566806</v>
      </c>
      <c r="L32" s="663"/>
      <c r="M32" s="663"/>
      <c r="N32" s="161"/>
    </row>
    <row r="33" spans="1:14" ht="20.100000000000001" customHeight="1" thickBot="1">
      <c r="A33" s="1"/>
      <c r="B33" s="79" t="s">
        <v>1242</v>
      </c>
      <c r="C33" s="433">
        <f t="shared" ref="C33:K33" si="3">C30+C32</f>
        <v>16005561</v>
      </c>
      <c r="D33" s="433">
        <f t="shared" si="3"/>
        <v>18033136</v>
      </c>
      <c r="E33" s="433">
        <f t="shared" si="3"/>
        <v>18100270</v>
      </c>
      <c r="F33" s="433">
        <f t="shared" si="3"/>
        <v>22011805.73</v>
      </c>
      <c r="G33" s="433">
        <f t="shared" si="3"/>
        <v>22339736</v>
      </c>
      <c r="H33" s="433">
        <f t="shared" si="3"/>
        <v>22408141</v>
      </c>
      <c r="I33" s="433">
        <f t="shared" si="3"/>
        <v>22433812</v>
      </c>
      <c r="J33" s="433">
        <f t="shared" si="3"/>
        <v>23274061</v>
      </c>
      <c r="K33" s="433">
        <f t="shared" si="3"/>
        <v>23600740</v>
      </c>
      <c r="L33" s="406"/>
      <c r="M33" s="406"/>
      <c r="N33" s="661"/>
    </row>
    <row r="34" spans="1:14" s="118" customFormat="1">
      <c r="B34" s="80"/>
      <c r="C34" s="2"/>
      <c r="D34" s="2"/>
      <c r="E34" s="2"/>
      <c r="F34" s="2"/>
      <c r="G34" s="2"/>
      <c r="H34" s="2"/>
      <c r="I34" s="2"/>
      <c r="J34" s="2"/>
      <c r="K34" s="2"/>
      <c r="L34" s="663"/>
      <c r="M34" s="663"/>
      <c r="N34" s="305"/>
    </row>
    <row r="35" spans="1:14" ht="20.100000000000001" customHeight="1">
      <c r="A35" s="1"/>
      <c r="B35" s="133" t="s">
        <v>601</v>
      </c>
      <c r="C35" s="49">
        <f t="shared" ref="C35:K35" si="4">+C22-C33</f>
        <v>632238</v>
      </c>
      <c r="D35" s="49">
        <f t="shared" si="4"/>
        <v>1660294</v>
      </c>
      <c r="E35" s="49">
        <f t="shared" si="4"/>
        <v>0</v>
      </c>
      <c r="F35" s="49">
        <f t="shared" si="4"/>
        <v>226112.26999999955</v>
      </c>
      <c r="G35" s="49">
        <f t="shared" si="4"/>
        <v>0</v>
      </c>
      <c r="H35" s="49">
        <f t="shared" si="4"/>
        <v>-1093921</v>
      </c>
      <c r="I35" s="49">
        <f t="shared" si="4"/>
        <v>-623671</v>
      </c>
      <c r="J35" s="49">
        <f t="shared" si="4"/>
        <v>-901588</v>
      </c>
      <c r="K35" s="49">
        <f t="shared" si="4"/>
        <v>-634101</v>
      </c>
      <c r="L35" s="666"/>
      <c r="M35" s="666"/>
      <c r="N35" s="161"/>
    </row>
    <row r="36" spans="1:14">
      <c r="A36" s="1"/>
      <c r="B36" s="81"/>
      <c r="C36" s="2"/>
      <c r="D36" s="2"/>
      <c r="E36" s="2"/>
      <c r="F36" s="2"/>
      <c r="G36" s="2"/>
      <c r="H36" s="2"/>
      <c r="I36" s="2"/>
      <c r="J36" s="2"/>
      <c r="K36" s="2"/>
      <c r="L36" s="663"/>
      <c r="M36" s="663"/>
      <c r="N36" s="161"/>
    </row>
    <row r="37" spans="1:14" ht="20.100000000000001" customHeight="1" thickBot="1">
      <c r="A37" s="1"/>
      <c r="B37" s="78" t="s">
        <v>602</v>
      </c>
      <c r="C37" s="431">
        <v>7512060</v>
      </c>
      <c r="D37" s="431">
        <v>9172354</v>
      </c>
      <c r="E37" s="431">
        <v>7512060</v>
      </c>
      <c r="F37" s="431">
        <f>D37+F35</f>
        <v>9398466.2699999996</v>
      </c>
      <c r="G37" s="431">
        <f>F37+G35</f>
        <v>9398466.2699999996</v>
      </c>
      <c r="H37" s="431">
        <f>G37+H35</f>
        <v>8304545.2699999996</v>
      </c>
      <c r="I37" s="431">
        <f>H37+I35</f>
        <v>7680874.2699999996</v>
      </c>
      <c r="J37" s="431">
        <f>I37+J35</f>
        <v>6779286.2699999996</v>
      </c>
      <c r="K37" s="431">
        <f>J37+K35</f>
        <v>6145185.2699999996</v>
      </c>
      <c r="L37" s="406"/>
      <c r="M37" s="406"/>
      <c r="N37" s="161"/>
    </row>
    <row r="38" spans="1:14" ht="14.4" thickTop="1">
      <c r="A38" s="1"/>
      <c r="B38" s="4"/>
      <c r="C38" s="82">
        <f t="shared" ref="C38:K38" si="5">+C37/C33</f>
        <v>0.46934062479909328</v>
      </c>
      <c r="D38" s="82">
        <f t="shared" si="5"/>
        <v>0.50863887456957013</v>
      </c>
      <c r="E38" s="82">
        <f t="shared" si="5"/>
        <v>0.41502474824961172</v>
      </c>
      <c r="F38" s="82">
        <f t="shared" si="5"/>
        <v>0.42697388779834555</v>
      </c>
      <c r="G38" s="82">
        <f t="shared" si="5"/>
        <v>0.4207062370835537</v>
      </c>
      <c r="H38" s="82">
        <f t="shared" si="5"/>
        <v>0.37060393675673498</v>
      </c>
      <c r="I38" s="82">
        <f t="shared" si="5"/>
        <v>0.34237936334671965</v>
      </c>
      <c r="J38" s="82">
        <f t="shared" si="5"/>
        <v>0.29128076402308989</v>
      </c>
      <c r="K38" s="82">
        <f t="shared" si="5"/>
        <v>0.26038104186563638</v>
      </c>
      <c r="L38" s="670"/>
      <c r="M38" s="670"/>
      <c r="N38" s="161"/>
    </row>
    <row r="39" spans="1:14" ht="8.1" customHeight="1">
      <c r="A39" s="1"/>
      <c r="B39" s="4"/>
      <c r="C39" s="53"/>
      <c r="D39" s="53"/>
      <c r="E39" s="53"/>
      <c r="F39" s="53"/>
      <c r="G39" s="53"/>
      <c r="H39" s="53"/>
      <c r="I39" s="53"/>
      <c r="J39" s="53"/>
      <c r="K39" s="53"/>
      <c r="L39" s="671"/>
      <c r="M39" s="671"/>
      <c r="N39" s="161"/>
    </row>
    <row r="40" spans="1:14">
      <c r="A40" s="1"/>
      <c r="B40" s="1"/>
      <c r="C40" s="2"/>
      <c r="D40" s="2"/>
      <c r="E40" s="2"/>
      <c r="F40" s="2"/>
      <c r="G40" s="2"/>
      <c r="H40" s="2"/>
      <c r="I40" s="2"/>
      <c r="J40" s="2"/>
      <c r="K40" s="2"/>
      <c r="L40" s="663"/>
      <c r="M40" s="663"/>
      <c r="N40" s="161"/>
    </row>
    <row r="41" spans="1:14">
      <c r="A41" s="1"/>
      <c r="B41" s="1"/>
      <c r="C41" s="2"/>
      <c r="D41" s="2"/>
      <c r="E41" s="2"/>
      <c r="F41" s="2"/>
      <c r="G41" s="2"/>
      <c r="H41" s="2"/>
      <c r="I41" s="2"/>
      <c r="J41" s="2"/>
      <c r="K41" s="2"/>
      <c r="L41" s="663"/>
      <c r="M41" s="663"/>
      <c r="N41" s="161"/>
    </row>
    <row r="42" spans="1:14">
      <c r="A42" s="1"/>
      <c r="B42" s="1"/>
      <c r="C42" s="2"/>
      <c r="D42" s="2"/>
      <c r="E42" s="2"/>
      <c r="F42" s="2"/>
      <c r="G42" s="2"/>
      <c r="H42" s="2"/>
      <c r="I42" s="2"/>
      <c r="J42" s="2"/>
      <c r="K42" s="2"/>
      <c r="L42" s="663"/>
      <c r="M42" s="663"/>
      <c r="N42" s="161"/>
    </row>
    <row r="43" spans="1:14">
      <c r="A43" s="1"/>
      <c r="B43" s="1"/>
      <c r="C43" s="2"/>
      <c r="D43" s="2"/>
      <c r="E43" s="2"/>
      <c r="F43" s="2"/>
      <c r="G43" s="2"/>
      <c r="H43" s="2"/>
      <c r="I43" s="2"/>
      <c r="J43" s="2"/>
      <c r="K43" s="2"/>
      <c r="L43" s="663"/>
      <c r="M43" s="663"/>
      <c r="N43" s="161"/>
    </row>
    <row r="44" spans="1:14">
      <c r="A44" s="1"/>
      <c r="B44" s="1"/>
      <c r="C44" s="2"/>
      <c r="D44" s="2"/>
      <c r="E44" s="2"/>
      <c r="F44" s="2"/>
      <c r="G44" s="2"/>
      <c r="H44" s="2"/>
      <c r="I44" s="2"/>
      <c r="J44" s="2"/>
      <c r="K44" s="2"/>
      <c r="L44" s="663"/>
      <c r="M44" s="663"/>
      <c r="N44" s="161"/>
    </row>
    <row r="45" spans="1:14">
      <c r="A45" s="1"/>
      <c r="B45" s="1"/>
      <c r="C45" s="2"/>
      <c r="D45" s="2"/>
      <c r="E45" s="2"/>
      <c r="F45" s="2"/>
      <c r="G45" s="2"/>
      <c r="H45" s="2"/>
      <c r="I45" s="2"/>
      <c r="J45" s="2"/>
      <c r="K45" s="2"/>
      <c r="L45" s="663"/>
      <c r="M45" s="663"/>
      <c r="N45" s="161"/>
    </row>
    <row r="46" spans="1:14">
      <c r="A46" s="1"/>
      <c r="B46" s="1"/>
      <c r="C46" s="2"/>
      <c r="D46" s="2"/>
      <c r="E46" s="2"/>
      <c r="F46" s="2"/>
      <c r="G46" s="2"/>
      <c r="H46" s="2"/>
      <c r="I46" s="2"/>
      <c r="J46" s="2"/>
      <c r="K46" s="2"/>
      <c r="L46" s="663"/>
      <c r="M46" s="663"/>
      <c r="N46" s="161"/>
    </row>
    <row r="47" spans="1:14">
      <c r="A47" s="1"/>
      <c r="B47" s="1"/>
      <c r="C47" s="2"/>
      <c r="D47" s="2"/>
      <c r="E47" s="2"/>
      <c r="F47" s="2"/>
      <c r="G47" s="2"/>
      <c r="H47" s="2"/>
      <c r="I47" s="2"/>
      <c r="J47" s="2"/>
      <c r="K47" s="2"/>
      <c r="L47" s="663"/>
      <c r="M47" s="663"/>
      <c r="N47" s="161"/>
    </row>
    <row r="48" spans="1:14">
      <c r="A48" s="1"/>
      <c r="B48" s="1"/>
      <c r="C48" s="2"/>
      <c r="D48" s="2"/>
      <c r="E48" s="2"/>
      <c r="F48" s="2"/>
      <c r="G48" s="2"/>
      <c r="H48" s="2"/>
      <c r="I48" s="2"/>
      <c r="J48" s="2"/>
      <c r="K48" s="2"/>
      <c r="L48" s="663"/>
      <c r="M48" s="663"/>
      <c r="N48" s="161"/>
    </row>
    <row r="49" spans="1:14">
      <c r="A49" s="1"/>
      <c r="B49" s="1"/>
      <c r="C49" s="2"/>
      <c r="D49" s="2"/>
      <c r="E49" s="2"/>
      <c r="F49" s="2"/>
      <c r="G49" s="2"/>
      <c r="H49" s="2"/>
      <c r="I49" s="2"/>
      <c r="J49" s="2"/>
      <c r="K49" s="2"/>
      <c r="L49" s="663"/>
      <c r="M49" s="663"/>
      <c r="N49" s="161"/>
    </row>
    <row r="50" spans="1:14">
      <c r="N50" s="161"/>
    </row>
    <row r="51" spans="1:14">
      <c r="N51" s="161"/>
    </row>
    <row r="52" spans="1:14" ht="17.399999999999999">
      <c r="B52" s="682" t="s">
        <v>603</v>
      </c>
      <c r="C52" s="682"/>
      <c r="D52" s="682"/>
      <c r="E52" s="682"/>
      <c r="F52" s="682"/>
      <c r="G52" s="682"/>
      <c r="H52" s="682"/>
      <c r="I52" s="682"/>
      <c r="J52" s="682"/>
      <c r="K52" s="682"/>
      <c r="L52" s="662"/>
      <c r="M52" s="662"/>
      <c r="N52" s="161"/>
    </row>
    <row r="53" spans="1:14">
      <c r="B53" s="43"/>
      <c r="C53" s="2"/>
      <c r="D53" s="2"/>
      <c r="E53" s="2"/>
      <c r="F53" s="2"/>
      <c r="G53" s="2"/>
      <c r="H53" s="2"/>
      <c r="I53" s="2"/>
      <c r="J53" s="2"/>
      <c r="K53" s="2"/>
      <c r="L53" s="663"/>
      <c r="M53" s="663"/>
      <c r="N53" s="161"/>
    </row>
    <row r="54" spans="1:14" ht="12.75" customHeight="1">
      <c r="B54" s="683" t="s">
        <v>604</v>
      </c>
      <c r="C54" s="683"/>
      <c r="D54" s="683"/>
      <c r="E54" s="683"/>
      <c r="F54" s="683"/>
      <c r="G54" s="683"/>
      <c r="H54" s="683"/>
      <c r="I54" s="683"/>
      <c r="J54" s="683"/>
      <c r="K54" s="683"/>
      <c r="L54" s="664"/>
      <c r="M54" s="664"/>
      <c r="N54" s="161"/>
    </row>
    <row r="55" spans="1:14" ht="17.25" customHeight="1">
      <c r="B55" s="683"/>
      <c r="C55" s="683"/>
      <c r="D55" s="683"/>
      <c r="E55" s="683"/>
      <c r="F55" s="683"/>
      <c r="G55" s="683"/>
      <c r="H55" s="683"/>
      <c r="I55" s="683"/>
      <c r="J55" s="683"/>
      <c r="K55" s="683"/>
      <c r="L55" s="664"/>
      <c r="M55" s="664"/>
      <c r="N55" s="161"/>
    </row>
    <row r="56" spans="1:14" ht="17.25" customHeight="1">
      <c r="B56" s="19"/>
      <c r="C56" s="19"/>
      <c r="D56" s="19"/>
      <c r="E56" s="19"/>
      <c r="F56" s="19"/>
      <c r="G56" s="19"/>
      <c r="H56" s="19"/>
      <c r="I56" s="19"/>
      <c r="J56" s="19"/>
      <c r="K56" s="89"/>
      <c r="L56" s="161"/>
      <c r="M56" s="161"/>
      <c r="N56" s="161"/>
    </row>
    <row r="57" spans="1:14">
      <c r="B57" s="4"/>
      <c r="C57" s="43"/>
      <c r="D57" s="573"/>
      <c r="E57" s="43" t="s">
        <v>815</v>
      </c>
      <c r="F57" s="573"/>
      <c r="G57" s="43" t="s">
        <v>816</v>
      </c>
      <c r="H57" s="573"/>
      <c r="I57" s="573"/>
      <c r="J57" s="573"/>
      <c r="K57" s="573"/>
      <c r="L57" s="304"/>
      <c r="M57" s="304"/>
      <c r="N57" s="161"/>
    </row>
    <row r="58" spans="1:14">
      <c r="B58" s="43"/>
      <c r="C58" s="43" t="s">
        <v>813</v>
      </c>
      <c r="D58" s="43" t="s">
        <v>814</v>
      </c>
      <c r="E58" s="43" t="s">
        <v>583</v>
      </c>
      <c r="F58" s="43" t="s">
        <v>815</v>
      </c>
      <c r="G58" s="156" t="str">
        <f>'Fund Cover Sheets'!$N$1</f>
        <v>Adopted</v>
      </c>
      <c r="H58" s="43" t="s">
        <v>817</v>
      </c>
      <c r="I58" s="43" t="s">
        <v>818</v>
      </c>
      <c r="J58" s="43" t="s">
        <v>819</v>
      </c>
      <c r="K58" s="43" t="s">
        <v>820</v>
      </c>
      <c r="L58" s="665"/>
      <c r="M58" s="665"/>
      <c r="N58" s="161"/>
    </row>
    <row r="59" spans="1:14" ht="14.4" thickBot="1">
      <c r="B59" s="44"/>
      <c r="C59" s="45" t="s">
        <v>1</v>
      </c>
      <c r="D59" s="45" t="s">
        <v>1</v>
      </c>
      <c r="E59" s="45" t="s">
        <v>553</v>
      </c>
      <c r="F59" s="45" t="s">
        <v>19</v>
      </c>
      <c r="G59" s="45" t="s">
        <v>553</v>
      </c>
      <c r="H59" s="45" t="s">
        <v>19</v>
      </c>
      <c r="I59" s="45" t="s">
        <v>19</v>
      </c>
      <c r="J59" s="45" t="s">
        <v>19</v>
      </c>
      <c r="K59" s="45" t="s">
        <v>19</v>
      </c>
      <c r="L59" s="566"/>
      <c r="M59" s="566"/>
      <c r="N59" s="161"/>
    </row>
    <row r="60" spans="1:14">
      <c r="B60" s="1"/>
      <c r="C60" s="52"/>
      <c r="D60" s="2"/>
      <c r="E60" s="2"/>
      <c r="F60" s="2"/>
      <c r="G60" s="2"/>
      <c r="H60" s="2"/>
      <c r="I60" s="2"/>
      <c r="J60" s="2"/>
      <c r="K60" s="2"/>
      <c r="L60" s="663"/>
      <c r="M60" s="663"/>
      <c r="N60" s="161"/>
    </row>
    <row r="61" spans="1:14">
      <c r="B61" s="80" t="s">
        <v>685</v>
      </c>
      <c r="C61" s="2"/>
      <c r="D61" s="2"/>
      <c r="E61" s="2"/>
      <c r="F61" s="2"/>
      <c r="G61" s="2"/>
      <c r="H61" s="2"/>
      <c r="I61" s="2"/>
      <c r="J61" s="2"/>
      <c r="K61" s="2"/>
      <c r="L61" s="663"/>
      <c r="M61" s="663"/>
      <c r="N61" s="161"/>
    </row>
    <row r="62" spans="1:14" ht="20.100000000000001" customHeight="1">
      <c r="B62" s="133" t="s">
        <v>584</v>
      </c>
      <c r="C62" s="49">
        <f>'Budget Detail FY 2020-27'!M277</f>
        <v>13382</v>
      </c>
      <c r="D62" s="49">
        <f>'Budget Detail FY 2020-27'!N277</f>
        <v>16034</v>
      </c>
      <c r="E62" s="49">
        <f>'Budget Detail FY 2020-27'!O277</f>
        <v>19000</v>
      </c>
      <c r="F62" s="49">
        <f>'Budget Detail FY 2020-27'!P277</f>
        <v>16034</v>
      </c>
      <c r="G62" s="49">
        <f>'Budget Detail FY 2020-27'!Q277</f>
        <v>21500</v>
      </c>
      <c r="H62" s="49">
        <f>'Budget Detail FY 2020-27'!R277</f>
        <v>24000</v>
      </c>
      <c r="I62" s="49">
        <f>'Budget Detail FY 2020-27'!S277</f>
        <v>26500</v>
      </c>
      <c r="J62" s="49">
        <f>'Budget Detail FY 2020-27'!T277</f>
        <v>26500</v>
      </c>
      <c r="K62" s="49">
        <f>'Budget Detail FY 2020-27'!U277</f>
        <v>26500</v>
      </c>
      <c r="L62" s="666"/>
      <c r="M62" s="666"/>
      <c r="N62" s="161"/>
    </row>
    <row r="63" spans="1:14" ht="20.100000000000001" customHeight="1" thickBot="1">
      <c r="B63" s="79" t="s">
        <v>1241</v>
      </c>
      <c r="C63" s="433">
        <f t="shared" ref="C63:K63" si="6">SUM(C62:C62)</f>
        <v>13382</v>
      </c>
      <c r="D63" s="433">
        <f t="shared" si="6"/>
        <v>16034</v>
      </c>
      <c r="E63" s="433">
        <f t="shared" si="6"/>
        <v>19000</v>
      </c>
      <c r="F63" s="433">
        <f t="shared" si="6"/>
        <v>16034</v>
      </c>
      <c r="G63" s="433">
        <f t="shared" si="6"/>
        <v>21500</v>
      </c>
      <c r="H63" s="433">
        <f t="shared" si="6"/>
        <v>24000</v>
      </c>
      <c r="I63" s="433">
        <f t="shared" si="6"/>
        <v>26500</v>
      </c>
      <c r="J63" s="433">
        <f t="shared" si="6"/>
        <v>26500</v>
      </c>
      <c r="K63" s="433">
        <f t="shared" si="6"/>
        <v>26500</v>
      </c>
      <c r="L63" s="406"/>
      <c r="M63" s="406"/>
      <c r="N63" s="161"/>
    </row>
    <row r="64" spans="1:14">
      <c r="B64" s="1"/>
      <c r="C64" s="2"/>
      <c r="D64" s="2"/>
      <c r="E64" s="2"/>
      <c r="F64" s="2"/>
      <c r="G64" s="2"/>
      <c r="H64" s="2"/>
      <c r="I64" s="2"/>
      <c r="J64" s="2"/>
      <c r="K64" s="2"/>
      <c r="L64" s="663"/>
      <c r="M64" s="663"/>
      <c r="N64" s="161"/>
    </row>
    <row r="65" spans="2:14">
      <c r="B65" s="80" t="s">
        <v>424</v>
      </c>
      <c r="C65" s="2"/>
      <c r="D65" s="2"/>
      <c r="E65" s="2"/>
      <c r="F65" s="2"/>
      <c r="G65" s="2"/>
      <c r="H65" s="2"/>
      <c r="I65" s="2"/>
      <c r="J65" s="2"/>
      <c r="K65" s="2"/>
      <c r="L65" s="663"/>
      <c r="M65" s="663"/>
      <c r="N65" s="161"/>
    </row>
    <row r="66" spans="2:14" ht="20.100000000000001" customHeight="1">
      <c r="B66" s="134" t="s">
        <v>596</v>
      </c>
      <c r="C66" s="49">
        <f>SUM('Budget Detail FY 2020-27'!M281:M282)</f>
        <v>10374</v>
      </c>
      <c r="D66" s="49">
        <f>SUM('Budget Detail FY 2020-27'!N281:N282)</f>
        <v>19295</v>
      </c>
      <c r="E66" s="49">
        <f>SUM('Budget Detail FY 2020-27'!O281:O282)</f>
        <v>59200</v>
      </c>
      <c r="F66" s="49">
        <f>SUM('Budget Detail FY 2020-27'!P281:P282)</f>
        <v>11200</v>
      </c>
      <c r="G66" s="49">
        <f>SUM('Budget Detail FY 2020-27'!Q281:Q282)</f>
        <v>59200</v>
      </c>
      <c r="H66" s="49">
        <f>SUM('Budget Detail FY 2020-27'!R281:R282)</f>
        <v>13640</v>
      </c>
      <c r="I66" s="49">
        <f>SUM('Budget Detail FY 2020-27'!S281:S282)</f>
        <v>13640</v>
      </c>
      <c r="J66" s="49">
        <f>SUM('Budget Detail FY 2020-27'!T281:T282)</f>
        <v>13640</v>
      </c>
      <c r="K66" s="49">
        <f>SUM('Budget Detail FY 2020-27'!U281:U282)</f>
        <v>15368</v>
      </c>
      <c r="L66" s="666"/>
      <c r="M66" s="666"/>
      <c r="N66" s="161"/>
    </row>
    <row r="67" spans="2:14" ht="20.100000000000001" customHeight="1" thickBot="1">
      <c r="B67" s="79" t="s">
        <v>600</v>
      </c>
      <c r="C67" s="433">
        <f t="shared" ref="C67:J67" si="7">SUM(C66:C66)</f>
        <v>10374</v>
      </c>
      <c r="D67" s="433">
        <f t="shared" si="7"/>
        <v>19295</v>
      </c>
      <c r="E67" s="433">
        <f t="shared" si="7"/>
        <v>59200</v>
      </c>
      <c r="F67" s="433">
        <f t="shared" si="7"/>
        <v>11200</v>
      </c>
      <c r="G67" s="433">
        <f t="shared" si="7"/>
        <v>59200</v>
      </c>
      <c r="H67" s="433">
        <f t="shared" si="7"/>
        <v>13640</v>
      </c>
      <c r="I67" s="433">
        <f t="shared" si="7"/>
        <v>13640</v>
      </c>
      <c r="J67" s="433">
        <f t="shared" si="7"/>
        <v>13640</v>
      </c>
      <c r="K67" s="433">
        <f>SUM(K66:K66)</f>
        <v>15368</v>
      </c>
      <c r="L67" s="406"/>
      <c r="M67" s="406"/>
      <c r="N67" s="661"/>
    </row>
    <row r="68" spans="2:14">
      <c r="B68" s="80"/>
      <c r="C68" s="2"/>
      <c r="D68" s="2"/>
      <c r="E68" s="2"/>
      <c r="F68" s="2"/>
      <c r="G68" s="2"/>
      <c r="H68" s="2"/>
      <c r="I68" s="2"/>
      <c r="J68" s="2"/>
      <c r="K68" s="2"/>
      <c r="L68" s="663"/>
      <c r="M68" s="663"/>
      <c r="N68" s="161"/>
    </row>
    <row r="69" spans="2:14" ht="20.100000000000001" customHeight="1">
      <c r="B69" s="133" t="s">
        <v>601</v>
      </c>
      <c r="C69" s="49">
        <f t="shared" ref="C69:K69" si="8">+C63-C67</f>
        <v>3008</v>
      </c>
      <c r="D69" s="49">
        <f t="shared" si="8"/>
        <v>-3261</v>
      </c>
      <c r="E69" s="49">
        <f t="shared" si="8"/>
        <v>-40200</v>
      </c>
      <c r="F69" s="49">
        <f t="shared" si="8"/>
        <v>4834</v>
      </c>
      <c r="G69" s="49">
        <f t="shared" si="8"/>
        <v>-37700</v>
      </c>
      <c r="H69" s="49">
        <f t="shared" si="8"/>
        <v>10360</v>
      </c>
      <c r="I69" s="49">
        <f t="shared" si="8"/>
        <v>12860</v>
      </c>
      <c r="J69" s="49">
        <f t="shared" si="8"/>
        <v>12860</v>
      </c>
      <c r="K69" s="49">
        <f t="shared" si="8"/>
        <v>11132</v>
      </c>
      <c r="L69" s="666"/>
      <c r="M69" s="666"/>
      <c r="N69" s="161"/>
    </row>
    <row r="70" spans="2:14">
      <c r="B70" s="81"/>
      <c r="C70" s="2"/>
      <c r="D70" s="2"/>
      <c r="E70" s="2"/>
      <c r="F70" s="2"/>
      <c r="G70" s="2"/>
      <c r="H70" s="2"/>
      <c r="I70" s="2"/>
      <c r="J70" s="2"/>
      <c r="K70" s="2"/>
      <c r="L70" s="663"/>
      <c r="M70" s="663"/>
      <c r="N70" s="161"/>
    </row>
    <row r="71" spans="2:14" ht="20.100000000000001" customHeight="1" thickBot="1">
      <c r="B71" s="78" t="s">
        <v>602</v>
      </c>
      <c r="C71" s="431">
        <v>13492</v>
      </c>
      <c r="D71" s="431">
        <v>10231</v>
      </c>
      <c r="E71" s="431">
        <v>-32199</v>
      </c>
      <c r="F71" s="431">
        <f>D71+F69</f>
        <v>15065</v>
      </c>
      <c r="G71" s="431">
        <f>F71+G69</f>
        <v>-22635</v>
      </c>
      <c r="H71" s="431">
        <f>G71+H69</f>
        <v>-12275</v>
      </c>
      <c r="I71" s="431">
        <f>H71+I69</f>
        <v>585</v>
      </c>
      <c r="J71" s="431">
        <f>I71+J69</f>
        <v>13445</v>
      </c>
      <c r="K71" s="431">
        <f>J71+K69</f>
        <v>24577</v>
      </c>
      <c r="L71" s="406"/>
      <c r="M71" s="406"/>
      <c r="N71" s="161"/>
    </row>
    <row r="72" spans="2:14" ht="14.4" thickTop="1">
      <c r="B72" s="4"/>
      <c r="C72" s="82">
        <f t="shared" ref="C72:K72" si="9">C71/C67</f>
        <v>1.3005590900327741</v>
      </c>
      <c r="D72" s="82">
        <f t="shared" si="9"/>
        <v>0.53024099507644462</v>
      </c>
      <c r="E72" s="82">
        <f t="shared" si="9"/>
        <v>-0.54390202702702706</v>
      </c>
      <c r="F72" s="82">
        <f t="shared" si="9"/>
        <v>1.3450892857142858</v>
      </c>
      <c r="G72" s="82">
        <f t="shared" si="9"/>
        <v>-0.38234797297297296</v>
      </c>
      <c r="H72" s="82">
        <f t="shared" si="9"/>
        <v>-0.89992668621700878</v>
      </c>
      <c r="I72" s="82">
        <f t="shared" si="9"/>
        <v>4.2888563049853369E-2</v>
      </c>
      <c r="J72" s="82">
        <f t="shared" si="9"/>
        <v>0.98570381231671556</v>
      </c>
      <c r="K72" s="82">
        <f t="shared" si="9"/>
        <v>1.5992321707444039</v>
      </c>
      <c r="L72" s="670"/>
      <c r="M72" s="670"/>
      <c r="N72" s="161"/>
    </row>
    <row r="73" spans="2:14">
      <c r="B73" s="4"/>
      <c r="C73" s="2"/>
      <c r="D73" s="2"/>
      <c r="E73" s="2"/>
      <c r="F73" s="2"/>
      <c r="G73" s="2"/>
      <c r="H73" s="2"/>
      <c r="I73" s="2"/>
      <c r="J73" s="2"/>
      <c r="K73" s="2"/>
      <c r="L73" s="663"/>
      <c r="M73" s="663"/>
      <c r="N73" s="161"/>
    </row>
    <row r="74" spans="2:14">
      <c r="B74" s="1"/>
      <c r="C74" s="2"/>
      <c r="D74" s="2"/>
      <c r="E74" s="2"/>
      <c r="F74" s="2"/>
      <c r="G74" s="2"/>
      <c r="H74" s="2"/>
      <c r="I74" s="2"/>
      <c r="J74" s="2"/>
      <c r="K74" s="2"/>
      <c r="L74" s="663"/>
      <c r="M74" s="663"/>
      <c r="N74" s="161"/>
    </row>
    <row r="75" spans="2:14">
      <c r="B75" s="1"/>
      <c r="C75" s="2"/>
      <c r="D75" s="2"/>
      <c r="E75" s="2"/>
      <c r="F75" s="2"/>
      <c r="G75" s="2"/>
      <c r="H75" s="2"/>
      <c r="I75" s="2"/>
      <c r="J75" s="2"/>
      <c r="K75" s="2"/>
      <c r="L75" s="663"/>
      <c r="M75" s="663"/>
      <c r="N75" s="161"/>
    </row>
    <row r="76" spans="2:14">
      <c r="B76" s="1"/>
      <c r="C76" s="2"/>
      <c r="D76" s="2"/>
      <c r="E76" s="2"/>
      <c r="F76" s="2"/>
      <c r="G76" s="2"/>
      <c r="H76" s="2"/>
      <c r="I76" s="2"/>
      <c r="J76" s="2"/>
      <c r="K76" s="2"/>
      <c r="L76" s="663"/>
      <c r="M76" s="663"/>
      <c r="N76" s="161"/>
    </row>
    <row r="77" spans="2:14">
      <c r="B77" s="1"/>
      <c r="C77" s="2"/>
      <c r="D77" s="2"/>
      <c r="E77" s="2"/>
      <c r="F77" s="2"/>
      <c r="G77" s="2"/>
      <c r="H77" s="2"/>
      <c r="I77" s="2"/>
      <c r="J77" s="2"/>
      <c r="K77" s="2"/>
      <c r="L77" s="663"/>
      <c r="M77" s="663"/>
      <c r="N77" s="161"/>
    </row>
    <row r="78" spans="2:14">
      <c r="B78" s="1"/>
      <c r="C78" s="2"/>
      <c r="D78" s="2"/>
      <c r="E78" s="2"/>
      <c r="F78" s="2"/>
      <c r="G78" s="2"/>
      <c r="H78" s="2"/>
      <c r="I78" s="2"/>
      <c r="J78" s="2"/>
      <c r="K78" s="2"/>
      <c r="L78" s="663"/>
      <c r="M78" s="663"/>
      <c r="N78" s="161"/>
    </row>
    <row r="79" spans="2:14">
      <c r="B79" s="1"/>
      <c r="C79" s="2"/>
      <c r="D79" s="2"/>
      <c r="E79" s="2"/>
      <c r="F79" s="2"/>
      <c r="G79" s="2"/>
      <c r="H79" s="2"/>
      <c r="I79" s="2"/>
      <c r="J79" s="2"/>
      <c r="K79" s="2"/>
      <c r="L79" s="663"/>
      <c r="M79" s="663"/>
      <c r="N79" s="161"/>
    </row>
    <row r="80" spans="2:14">
      <c r="B80" s="1"/>
      <c r="C80" s="2"/>
      <c r="D80" s="2"/>
      <c r="E80" s="2"/>
      <c r="F80" s="2"/>
      <c r="G80" s="2"/>
      <c r="H80" s="2"/>
      <c r="I80" s="2"/>
      <c r="J80" s="2"/>
      <c r="K80" s="2"/>
      <c r="L80" s="663"/>
      <c r="M80" s="663"/>
      <c r="N80" s="161"/>
    </row>
    <row r="81" spans="2:14">
      <c r="B81" s="1"/>
      <c r="C81" s="2"/>
      <c r="D81" s="2"/>
      <c r="E81" s="2"/>
      <c r="F81" s="2"/>
      <c r="G81" s="2"/>
      <c r="H81" s="2"/>
      <c r="I81" s="2"/>
      <c r="J81" s="2"/>
      <c r="K81" s="2"/>
      <c r="L81" s="663"/>
      <c r="M81" s="663"/>
      <c r="N81" s="161"/>
    </row>
    <row r="82" spans="2:14">
      <c r="B82" s="1"/>
      <c r="C82" s="2"/>
      <c r="D82" s="2"/>
      <c r="E82" s="2"/>
      <c r="F82" s="2"/>
      <c r="G82" s="2"/>
      <c r="H82" s="2"/>
      <c r="I82" s="2"/>
      <c r="J82" s="2"/>
      <c r="K82" s="2"/>
      <c r="L82" s="663"/>
      <c r="M82" s="663"/>
      <c r="N82" s="161"/>
    </row>
    <row r="83" spans="2:14">
      <c r="B83" s="1"/>
      <c r="C83" s="2"/>
      <c r="D83" s="2"/>
      <c r="E83" s="2"/>
      <c r="F83" s="2"/>
      <c r="G83" s="2"/>
      <c r="H83" s="2"/>
      <c r="I83" s="2"/>
      <c r="J83" s="2"/>
      <c r="K83" s="2"/>
      <c r="L83" s="663"/>
      <c r="M83" s="663"/>
      <c r="N83" s="161"/>
    </row>
    <row r="84" spans="2:14">
      <c r="B84" s="1"/>
      <c r="C84" s="2"/>
      <c r="D84" s="2"/>
      <c r="E84" s="2"/>
      <c r="F84" s="2"/>
      <c r="G84" s="2"/>
      <c r="H84" s="2"/>
      <c r="I84" s="2"/>
      <c r="J84" s="2"/>
      <c r="K84" s="2"/>
      <c r="L84" s="663"/>
      <c r="M84" s="663"/>
      <c r="N84" s="161"/>
    </row>
    <row r="85" spans="2:14">
      <c r="B85" s="1"/>
      <c r="C85" s="2"/>
      <c r="D85" s="2"/>
      <c r="E85" s="2"/>
      <c r="F85" s="2"/>
      <c r="G85" s="2"/>
      <c r="H85" s="2"/>
      <c r="I85" s="2"/>
      <c r="J85" s="2"/>
      <c r="K85" s="2"/>
      <c r="L85" s="663"/>
      <c r="M85" s="663"/>
      <c r="N85" s="161"/>
    </row>
    <row r="86" spans="2:14">
      <c r="N86" s="161"/>
    </row>
    <row r="87" spans="2:14" ht="17.399999999999999">
      <c r="B87" s="682" t="s">
        <v>605</v>
      </c>
      <c r="C87" s="682"/>
      <c r="D87" s="682"/>
      <c r="E87" s="682"/>
      <c r="F87" s="682"/>
      <c r="G87" s="682"/>
      <c r="H87" s="682"/>
      <c r="I87" s="682"/>
      <c r="J87" s="682"/>
      <c r="K87" s="682"/>
      <c r="L87" s="662"/>
      <c r="M87" s="662"/>
      <c r="N87" s="161"/>
    </row>
    <row r="88" spans="2:14">
      <c r="B88" s="43"/>
      <c r="C88" s="2"/>
      <c r="D88" s="2"/>
      <c r="E88" s="2"/>
      <c r="F88" s="2"/>
      <c r="G88" s="2"/>
      <c r="H88" s="2"/>
      <c r="I88" s="2"/>
      <c r="J88" s="2"/>
      <c r="K88" s="2"/>
      <c r="L88" s="663"/>
      <c r="M88" s="663"/>
      <c r="N88" s="161"/>
    </row>
    <row r="89" spans="2:14" ht="12.75" customHeight="1">
      <c r="B89" s="683" t="s">
        <v>606</v>
      </c>
      <c r="C89" s="683"/>
      <c r="D89" s="683"/>
      <c r="E89" s="683"/>
      <c r="F89" s="683"/>
      <c r="G89" s="683"/>
      <c r="H89" s="683"/>
      <c r="I89" s="683"/>
      <c r="J89" s="683"/>
      <c r="K89" s="683"/>
      <c r="L89" s="664"/>
      <c r="M89" s="664"/>
      <c r="N89" s="161"/>
    </row>
    <row r="90" spans="2:14" ht="18" customHeight="1">
      <c r="B90" s="683"/>
      <c r="C90" s="683"/>
      <c r="D90" s="683"/>
      <c r="E90" s="683"/>
      <c r="F90" s="683"/>
      <c r="G90" s="683"/>
      <c r="H90" s="683"/>
      <c r="I90" s="683"/>
      <c r="J90" s="683"/>
      <c r="K90" s="683"/>
      <c r="L90" s="664"/>
      <c r="M90" s="664"/>
      <c r="N90" s="161"/>
    </row>
    <row r="91" spans="2:14">
      <c r="B91" s="19"/>
      <c r="C91" s="16"/>
      <c r="D91" s="16"/>
      <c r="E91" s="16"/>
      <c r="F91" s="2"/>
      <c r="G91" s="2"/>
      <c r="H91" s="2"/>
      <c r="I91" s="2"/>
      <c r="J91" s="2"/>
      <c r="K91" s="2"/>
      <c r="L91" s="663"/>
      <c r="M91" s="663"/>
      <c r="N91" s="161"/>
    </row>
    <row r="92" spans="2:14">
      <c r="B92" s="4"/>
      <c r="C92" s="43"/>
      <c r="D92" s="573"/>
      <c r="E92" s="43" t="s">
        <v>815</v>
      </c>
      <c r="F92" s="573"/>
      <c r="G92" s="43" t="s">
        <v>816</v>
      </c>
      <c r="H92" s="573"/>
      <c r="I92" s="573"/>
      <c r="J92" s="573"/>
      <c r="K92" s="573"/>
      <c r="L92" s="304"/>
      <c r="M92" s="304"/>
      <c r="N92" s="161"/>
    </row>
    <row r="93" spans="2:14">
      <c r="B93" s="43"/>
      <c r="C93" s="43" t="s">
        <v>813</v>
      </c>
      <c r="D93" s="43" t="s">
        <v>814</v>
      </c>
      <c r="E93" s="43" t="s">
        <v>583</v>
      </c>
      <c r="F93" s="43" t="s">
        <v>815</v>
      </c>
      <c r="G93" s="156" t="str">
        <f>'Fund Cover Sheets'!$N$1</f>
        <v>Adopted</v>
      </c>
      <c r="H93" s="43" t="s">
        <v>817</v>
      </c>
      <c r="I93" s="43" t="s">
        <v>818</v>
      </c>
      <c r="J93" s="43" t="s">
        <v>819</v>
      </c>
      <c r="K93" s="43" t="s">
        <v>820</v>
      </c>
      <c r="L93" s="665"/>
      <c r="M93" s="665"/>
      <c r="N93" s="161"/>
    </row>
    <row r="94" spans="2:14" ht="14.4" thickBot="1">
      <c r="B94" s="44"/>
      <c r="C94" s="45" t="s">
        <v>1</v>
      </c>
      <c r="D94" s="45" t="s">
        <v>1</v>
      </c>
      <c r="E94" s="45" t="s">
        <v>553</v>
      </c>
      <c r="F94" s="45" t="s">
        <v>19</v>
      </c>
      <c r="G94" s="45" t="s">
        <v>553</v>
      </c>
      <c r="H94" s="45" t="s">
        <v>19</v>
      </c>
      <c r="I94" s="45" t="s">
        <v>19</v>
      </c>
      <c r="J94" s="45" t="s">
        <v>19</v>
      </c>
      <c r="K94" s="45" t="s">
        <v>19</v>
      </c>
      <c r="L94" s="566"/>
      <c r="M94" s="566"/>
      <c r="N94" s="161"/>
    </row>
    <row r="95" spans="2:14">
      <c r="B95" s="1"/>
      <c r="C95" s="52"/>
      <c r="D95" s="2"/>
      <c r="E95" s="2"/>
      <c r="F95" s="2"/>
      <c r="G95" s="2"/>
      <c r="H95" s="2"/>
      <c r="I95" s="2"/>
      <c r="J95" s="2"/>
      <c r="K95" s="2"/>
      <c r="L95" s="663"/>
      <c r="M95" s="663"/>
      <c r="N95" s="161"/>
    </row>
    <row r="96" spans="2:14">
      <c r="B96" s="80" t="s">
        <v>685</v>
      </c>
      <c r="C96" s="2"/>
      <c r="D96" s="2"/>
      <c r="E96" s="2"/>
      <c r="F96" s="2"/>
      <c r="G96" s="2"/>
      <c r="H96" s="2"/>
      <c r="I96" s="2"/>
      <c r="J96" s="2"/>
      <c r="K96" s="2"/>
      <c r="L96" s="663"/>
      <c r="M96" s="663"/>
      <c r="N96" s="161"/>
    </row>
    <row r="97" spans="2:14" ht="20.100000000000001" customHeight="1">
      <c r="B97" s="133" t="s">
        <v>584</v>
      </c>
      <c r="C97" s="49">
        <f>'Budget Detail FY 2020-27'!M294</f>
        <v>18140</v>
      </c>
      <c r="D97" s="49">
        <f>'Budget Detail FY 2020-27'!N294</f>
        <v>20363</v>
      </c>
      <c r="E97" s="49">
        <f>'Budget Detail FY 2020-27'!O294</f>
        <v>21000</v>
      </c>
      <c r="F97" s="49">
        <f>'Budget Detail FY 2020-27'!P294</f>
        <v>20363</v>
      </c>
      <c r="G97" s="49">
        <f>'Budget Detail FY 2020-27'!Q294</f>
        <v>21000</v>
      </c>
      <c r="H97" s="49">
        <f>'Budget Detail FY 2020-27'!R294</f>
        <v>22000</v>
      </c>
      <c r="I97" s="49">
        <f>'Budget Detail FY 2020-27'!S294</f>
        <v>22000</v>
      </c>
      <c r="J97" s="49">
        <f>'Budget Detail FY 2020-27'!T294</f>
        <v>22000</v>
      </c>
      <c r="K97" s="49">
        <f>'Budget Detail FY 2020-27'!U294</f>
        <v>22000</v>
      </c>
      <c r="L97" s="666"/>
      <c r="M97" s="666"/>
      <c r="N97" s="161"/>
    </row>
    <row r="98" spans="2:14" ht="20.100000000000001" customHeight="1" thickBot="1">
      <c r="B98" s="79" t="s">
        <v>1241</v>
      </c>
      <c r="C98" s="433">
        <f t="shared" ref="C98:K98" si="10">SUM(C97:C97)</f>
        <v>18140</v>
      </c>
      <c r="D98" s="433">
        <f t="shared" si="10"/>
        <v>20363</v>
      </c>
      <c r="E98" s="433">
        <f t="shared" si="10"/>
        <v>21000</v>
      </c>
      <c r="F98" s="433">
        <f t="shared" si="10"/>
        <v>20363</v>
      </c>
      <c r="G98" s="433">
        <f t="shared" si="10"/>
        <v>21000</v>
      </c>
      <c r="H98" s="433">
        <f t="shared" si="10"/>
        <v>22000</v>
      </c>
      <c r="I98" s="433">
        <f t="shared" si="10"/>
        <v>22000</v>
      </c>
      <c r="J98" s="433">
        <f t="shared" si="10"/>
        <v>22000</v>
      </c>
      <c r="K98" s="433">
        <f t="shared" si="10"/>
        <v>22000</v>
      </c>
      <c r="L98" s="406"/>
      <c r="M98" s="406"/>
      <c r="N98" s="161"/>
    </row>
    <row r="99" spans="2:14">
      <c r="B99" s="1"/>
      <c r="C99" s="2"/>
      <c r="D99" s="2"/>
      <c r="E99" s="2"/>
      <c r="F99" s="2"/>
      <c r="G99" s="2"/>
      <c r="H99" s="2"/>
      <c r="I99" s="2"/>
      <c r="J99" s="2"/>
      <c r="K99" s="2"/>
      <c r="L99" s="663"/>
      <c r="M99" s="663"/>
      <c r="N99" s="161"/>
    </row>
    <row r="100" spans="2:14">
      <c r="B100" s="80" t="s">
        <v>424</v>
      </c>
      <c r="C100" s="2"/>
      <c r="D100" s="2"/>
      <c r="E100" s="2"/>
      <c r="F100" s="2"/>
      <c r="G100" s="2"/>
      <c r="H100" s="2"/>
      <c r="I100" s="2"/>
      <c r="J100" s="2"/>
      <c r="K100" s="2"/>
      <c r="L100" s="663"/>
      <c r="M100" s="663"/>
      <c r="N100" s="161"/>
    </row>
    <row r="101" spans="2:14" ht="20.100000000000001" customHeight="1">
      <c r="B101" s="134" t="s">
        <v>596</v>
      </c>
      <c r="C101" s="49">
        <f>SUM('Budget Detail FY 2020-27'!M298:M300)</f>
        <v>11713</v>
      </c>
      <c r="D101" s="49">
        <f>SUM('Budget Detail FY 2020-27'!N298:N300)</f>
        <v>12572</v>
      </c>
      <c r="E101" s="49">
        <f>SUM('Budget Detail FY 2020-27'!O298:O300)</f>
        <v>17200</v>
      </c>
      <c r="F101" s="49">
        <f>SUM('Budget Detail FY 2020-27'!P298:P300)</f>
        <v>15000</v>
      </c>
      <c r="G101" s="49">
        <f>SUM('Budget Detail FY 2020-27'!Q298:Q300)</f>
        <v>17200</v>
      </c>
      <c r="H101" s="49">
        <f>SUM('Budget Detail FY 2020-27'!R298:R300)</f>
        <v>18640</v>
      </c>
      <c r="I101" s="49">
        <f>SUM('Budget Detail FY 2020-27'!S298:S300)</f>
        <v>18640</v>
      </c>
      <c r="J101" s="49">
        <f>SUM('Budget Detail FY 2020-27'!T298:T300)</f>
        <v>18640</v>
      </c>
      <c r="K101" s="49">
        <f>SUM('Budget Detail FY 2020-27'!U298:U300)</f>
        <v>20368</v>
      </c>
      <c r="L101" s="666"/>
      <c r="M101" s="666"/>
      <c r="N101" s="161"/>
    </row>
    <row r="102" spans="2:14" ht="20.100000000000001" customHeight="1" thickBot="1">
      <c r="B102" s="79" t="s">
        <v>600</v>
      </c>
      <c r="C102" s="433">
        <f t="shared" ref="C102:J102" si="11">SUM(C101:C101)</f>
        <v>11713</v>
      </c>
      <c r="D102" s="433">
        <f t="shared" si="11"/>
        <v>12572</v>
      </c>
      <c r="E102" s="433">
        <f t="shared" si="11"/>
        <v>17200</v>
      </c>
      <c r="F102" s="433">
        <f t="shared" si="11"/>
        <v>15000</v>
      </c>
      <c r="G102" s="433">
        <f t="shared" si="11"/>
        <v>17200</v>
      </c>
      <c r="H102" s="433">
        <f t="shared" si="11"/>
        <v>18640</v>
      </c>
      <c r="I102" s="433">
        <f t="shared" si="11"/>
        <v>18640</v>
      </c>
      <c r="J102" s="433">
        <f t="shared" si="11"/>
        <v>18640</v>
      </c>
      <c r="K102" s="433">
        <f>SUM(K101:K101)</f>
        <v>20368</v>
      </c>
      <c r="L102" s="406"/>
      <c r="M102" s="406"/>
      <c r="N102" s="661"/>
    </row>
    <row r="103" spans="2:14">
      <c r="B103" s="80"/>
      <c r="C103" s="2"/>
      <c r="D103" s="2"/>
      <c r="E103" s="2"/>
      <c r="F103" s="2"/>
      <c r="G103" s="2"/>
      <c r="H103" s="2"/>
      <c r="I103" s="2"/>
      <c r="J103" s="2"/>
      <c r="K103" s="2"/>
      <c r="L103" s="663"/>
      <c r="M103" s="663"/>
      <c r="N103" s="161"/>
    </row>
    <row r="104" spans="2:14" ht="20.100000000000001" customHeight="1">
      <c r="B104" s="133" t="s">
        <v>601</v>
      </c>
      <c r="C104" s="49">
        <f t="shared" ref="C104:K104" si="12">+C98-C102</f>
        <v>6427</v>
      </c>
      <c r="D104" s="49">
        <f t="shared" si="12"/>
        <v>7791</v>
      </c>
      <c r="E104" s="49">
        <f t="shared" si="12"/>
        <v>3800</v>
      </c>
      <c r="F104" s="49">
        <f t="shared" si="12"/>
        <v>5363</v>
      </c>
      <c r="G104" s="49">
        <f t="shared" si="12"/>
        <v>3800</v>
      </c>
      <c r="H104" s="49">
        <f t="shared" si="12"/>
        <v>3360</v>
      </c>
      <c r="I104" s="49">
        <f t="shared" si="12"/>
        <v>3360</v>
      </c>
      <c r="J104" s="49">
        <f t="shared" si="12"/>
        <v>3360</v>
      </c>
      <c r="K104" s="49">
        <f t="shared" si="12"/>
        <v>1632</v>
      </c>
      <c r="L104" s="666"/>
      <c r="M104" s="666"/>
      <c r="N104" s="161"/>
    </row>
    <row r="105" spans="2:14">
      <c r="B105" s="81"/>
      <c r="C105" s="2"/>
      <c r="D105" s="2"/>
      <c r="E105" s="2"/>
      <c r="F105" s="2"/>
      <c r="G105" s="2"/>
      <c r="H105" s="2"/>
      <c r="I105" s="2"/>
      <c r="J105" s="2"/>
      <c r="K105" s="2"/>
      <c r="L105" s="663"/>
      <c r="M105" s="663"/>
      <c r="N105" s="161"/>
    </row>
    <row r="106" spans="2:14" ht="20.100000000000001" customHeight="1" thickBot="1">
      <c r="B106" s="78" t="s">
        <v>602</v>
      </c>
      <c r="C106" s="431">
        <v>-16200</v>
      </c>
      <c r="D106" s="431">
        <v>-8409</v>
      </c>
      <c r="E106" s="431">
        <v>-9237</v>
      </c>
      <c r="F106" s="431">
        <f>D106+F104</f>
        <v>-3046</v>
      </c>
      <c r="G106" s="431">
        <f>F106+G104</f>
        <v>754</v>
      </c>
      <c r="H106" s="431">
        <f>G106+H104</f>
        <v>4114</v>
      </c>
      <c r="I106" s="431">
        <f>H106+I104</f>
        <v>7474</v>
      </c>
      <c r="J106" s="431">
        <f>I106+J104</f>
        <v>10834</v>
      </c>
      <c r="K106" s="431">
        <f>J106+K104</f>
        <v>12466</v>
      </c>
      <c r="L106" s="406"/>
      <c r="M106" s="406"/>
      <c r="N106" s="161"/>
    </row>
    <row r="107" spans="2:14" ht="14.4" thickTop="1">
      <c r="B107" s="80"/>
      <c r="C107" s="82">
        <f t="shared" ref="C107:K107" si="13">C106/C102</f>
        <v>-1.3830786305814053</v>
      </c>
      <c r="D107" s="82">
        <f t="shared" si="13"/>
        <v>-0.66886732421253581</v>
      </c>
      <c r="E107" s="82">
        <f t="shared" si="13"/>
        <v>-0.53703488372093022</v>
      </c>
      <c r="F107" s="82">
        <f t="shared" si="13"/>
        <v>-0.20306666666666667</v>
      </c>
      <c r="G107" s="82">
        <f t="shared" si="13"/>
        <v>4.3837209302325583E-2</v>
      </c>
      <c r="H107" s="82">
        <f t="shared" si="13"/>
        <v>0.22070815450643777</v>
      </c>
      <c r="I107" s="82">
        <f t="shared" si="13"/>
        <v>0.40096566523605148</v>
      </c>
      <c r="J107" s="82">
        <f t="shared" si="13"/>
        <v>0.5812231759656652</v>
      </c>
      <c r="K107" s="82">
        <f t="shared" si="13"/>
        <v>0.6120384917517675</v>
      </c>
      <c r="L107" s="670"/>
      <c r="M107" s="670"/>
      <c r="N107" s="161"/>
    </row>
    <row r="108" spans="2:14">
      <c r="B108" s="4"/>
      <c r="C108" s="53"/>
      <c r="D108" s="53"/>
      <c r="E108" s="53"/>
      <c r="F108" s="53"/>
      <c r="G108" s="53"/>
      <c r="H108" s="53"/>
      <c r="I108" s="53"/>
      <c r="J108" s="53"/>
      <c r="K108" s="53"/>
      <c r="L108" s="671"/>
      <c r="M108" s="671"/>
      <c r="N108" s="161"/>
    </row>
    <row r="109" spans="2:14">
      <c r="B109" s="1"/>
      <c r="C109" s="2"/>
      <c r="D109" s="2"/>
      <c r="E109" s="2"/>
      <c r="F109" s="2"/>
      <c r="G109" s="2"/>
      <c r="H109" s="2"/>
      <c r="I109" s="2"/>
      <c r="J109" s="2"/>
      <c r="K109" s="2"/>
      <c r="L109" s="663"/>
      <c r="M109" s="663"/>
      <c r="N109" s="161"/>
    </row>
    <row r="110" spans="2:14">
      <c r="B110" s="1"/>
      <c r="C110" s="2"/>
      <c r="D110" s="2"/>
      <c r="E110" s="2"/>
      <c r="F110" s="2"/>
      <c r="G110" s="2"/>
      <c r="H110" s="2"/>
      <c r="I110" s="2"/>
      <c r="J110" s="2"/>
      <c r="K110" s="2"/>
      <c r="L110" s="663"/>
      <c r="M110" s="663"/>
      <c r="N110" s="161"/>
    </row>
    <row r="111" spans="2:14">
      <c r="B111" s="1"/>
      <c r="C111" s="2"/>
      <c r="D111" s="2"/>
      <c r="E111" s="2"/>
      <c r="F111" s="2"/>
      <c r="G111" s="2"/>
      <c r="H111" s="2"/>
      <c r="I111" s="2"/>
      <c r="J111" s="2"/>
      <c r="K111" s="2"/>
      <c r="L111" s="663"/>
      <c r="M111" s="663"/>
      <c r="N111" s="161"/>
    </row>
    <row r="112" spans="2:14">
      <c r="B112" s="1"/>
      <c r="C112" s="2"/>
      <c r="D112" s="2"/>
      <c r="E112" s="2"/>
      <c r="F112" s="2"/>
      <c r="G112" s="2"/>
      <c r="H112" s="2"/>
      <c r="I112" s="2"/>
      <c r="J112" s="2"/>
      <c r="K112" s="2"/>
      <c r="L112" s="663"/>
      <c r="M112" s="663"/>
      <c r="N112" s="161"/>
    </row>
    <row r="113" spans="2:14">
      <c r="B113" s="1"/>
      <c r="C113" s="2"/>
      <c r="D113" s="2"/>
      <c r="E113" s="2"/>
      <c r="F113" s="2"/>
      <c r="G113" s="2"/>
      <c r="H113" s="2"/>
      <c r="I113" s="2"/>
      <c r="J113" s="2"/>
      <c r="K113" s="2"/>
      <c r="L113" s="663"/>
      <c r="M113" s="663"/>
      <c r="N113" s="161"/>
    </row>
    <row r="114" spans="2:14">
      <c r="B114" s="1"/>
      <c r="C114" s="2"/>
      <c r="D114" s="2"/>
      <c r="E114" s="2"/>
      <c r="F114" s="2"/>
      <c r="G114" s="2"/>
      <c r="H114" s="2"/>
      <c r="I114" s="2"/>
      <c r="J114" s="2"/>
      <c r="K114" s="2"/>
      <c r="L114" s="663"/>
      <c r="M114" s="663"/>
      <c r="N114" s="161"/>
    </row>
    <row r="115" spans="2:14">
      <c r="B115" s="1"/>
      <c r="C115" s="2"/>
      <c r="D115" s="2"/>
      <c r="E115" s="2"/>
      <c r="F115" s="2"/>
      <c r="G115" s="2"/>
      <c r="H115" s="2"/>
      <c r="I115" s="2"/>
      <c r="J115" s="2"/>
      <c r="K115" s="2"/>
      <c r="L115" s="663"/>
      <c r="M115" s="663"/>
      <c r="N115" s="161"/>
    </row>
    <row r="116" spans="2:14">
      <c r="B116" s="1"/>
      <c r="C116" s="2"/>
      <c r="D116" s="2"/>
      <c r="E116" s="2"/>
      <c r="F116" s="2"/>
      <c r="G116" s="2"/>
      <c r="H116" s="2"/>
      <c r="I116" s="2"/>
      <c r="J116" s="2"/>
      <c r="K116" s="2"/>
      <c r="L116" s="663"/>
      <c r="M116" s="663"/>
      <c r="N116" s="161"/>
    </row>
    <row r="117" spans="2:14">
      <c r="B117" s="1"/>
      <c r="C117" s="2"/>
      <c r="D117" s="2"/>
      <c r="E117" s="2"/>
      <c r="F117" s="2"/>
      <c r="G117" s="2"/>
      <c r="H117" s="2"/>
      <c r="I117" s="2"/>
      <c r="J117" s="2"/>
      <c r="K117" s="2"/>
      <c r="L117" s="663"/>
      <c r="M117" s="663"/>
      <c r="N117" s="161"/>
    </row>
    <row r="118" spans="2:14">
      <c r="B118" s="1"/>
      <c r="C118" s="2"/>
      <c r="D118" s="2"/>
      <c r="E118" s="2"/>
      <c r="F118" s="2"/>
      <c r="G118" s="2"/>
      <c r="H118" s="2"/>
      <c r="I118" s="2"/>
      <c r="J118" s="2"/>
      <c r="K118" s="2"/>
      <c r="L118" s="663"/>
      <c r="M118" s="663"/>
      <c r="N118" s="161"/>
    </row>
    <row r="119" spans="2:14" ht="21" customHeight="1">
      <c r="B119" s="1"/>
      <c r="C119" s="2"/>
      <c r="D119" s="2"/>
      <c r="E119" s="2"/>
      <c r="F119" s="2"/>
      <c r="G119" s="2"/>
      <c r="H119" s="2"/>
      <c r="I119" s="2"/>
      <c r="J119" s="2"/>
      <c r="K119" s="2"/>
      <c r="L119" s="663"/>
      <c r="M119" s="663"/>
      <c r="N119" s="161"/>
    </row>
    <row r="120" spans="2:14">
      <c r="N120" s="161"/>
    </row>
    <row r="121" spans="2:14" ht="17.399999999999999">
      <c r="B121" s="682" t="s">
        <v>607</v>
      </c>
      <c r="C121" s="682"/>
      <c r="D121" s="682"/>
      <c r="E121" s="682"/>
      <c r="F121" s="682"/>
      <c r="G121" s="682"/>
      <c r="H121" s="682"/>
      <c r="I121" s="682"/>
      <c r="J121" s="682"/>
      <c r="K121" s="682"/>
      <c r="L121" s="662"/>
      <c r="M121" s="662"/>
      <c r="N121" s="161"/>
    </row>
    <row r="122" spans="2:14">
      <c r="B122" s="43"/>
      <c r="C122" s="2"/>
      <c r="D122" s="2"/>
      <c r="E122" s="2"/>
      <c r="F122" s="2"/>
      <c r="G122" s="2"/>
      <c r="H122" s="2"/>
      <c r="I122" s="2"/>
      <c r="J122" s="2"/>
      <c r="K122" s="2"/>
      <c r="L122" s="663"/>
      <c r="M122" s="663"/>
      <c r="N122" s="161"/>
    </row>
    <row r="123" spans="2:14" ht="12.75" customHeight="1">
      <c r="B123" s="683" t="s">
        <v>884</v>
      </c>
      <c r="C123" s="683"/>
      <c r="D123" s="683"/>
      <c r="E123" s="683"/>
      <c r="F123" s="683"/>
      <c r="G123" s="683"/>
      <c r="H123" s="683"/>
      <c r="I123" s="683"/>
      <c r="J123" s="683"/>
      <c r="K123" s="683"/>
      <c r="L123" s="664"/>
      <c r="M123" s="664"/>
      <c r="N123" s="161"/>
    </row>
    <row r="124" spans="2:14" ht="18.75" customHeight="1">
      <c r="B124" s="683"/>
      <c r="C124" s="683"/>
      <c r="D124" s="683"/>
      <c r="E124" s="683"/>
      <c r="F124" s="683"/>
      <c r="G124" s="683"/>
      <c r="H124" s="683"/>
      <c r="I124" s="683"/>
      <c r="J124" s="683"/>
      <c r="K124" s="683"/>
      <c r="L124" s="664"/>
      <c r="M124" s="664"/>
      <c r="N124" s="161"/>
    </row>
    <row r="125" spans="2:14" ht="7.5" customHeight="1">
      <c r="B125" s="136"/>
      <c r="C125" s="138"/>
      <c r="D125" s="138"/>
      <c r="E125" s="138"/>
      <c r="F125" s="2"/>
      <c r="G125" s="2"/>
      <c r="H125" s="2"/>
      <c r="I125" s="2"/>
      <c r="J125" s="2"/>
      <c r="K125" s="2"/>
      <c r="L125" s="663"/>
      <c r="M125" s="663"/>
      <c r="N125" s="161"/>
    </row>
    <row r="126" spans="2:14">
      <c r="B126" s="139"/>
      <c r="C126" s="43"/>
      <c r="D126" s="573"/>
      <c r="E126" s="43" t="s">
        <v>815</v>
      </c>
      <c r="F126" s="573"/>
      <c r="G126" s="43" t="s">
        <v>816</v>
      </c>
      <c r="H126" s="573"/>
      <c r="I126" s="573"/>
      <c r="J126" s="573"/>
      <c r="K126" s="573"/>
      <c r="L126" s="304"/>
      <c r="M126" s="304"/>
      <c r="N126" s="161"/>
    </row>
    <row r="127" spans="2:14">
      <c r="B127" s="43"/>
      <c r="C127" s="43" t="s">
        <v>813</v>
      </c>
      <c r="D127" s="43" t="s">
        <v>814</v>
      </c>
      <c r="E127" s="43" t="s">
        <v>583</v>
      </c>
      <c r="F127" s="43" t="s">
        <v>815</v>
      </c>
      <c r="G127" s="156" t="str">
        <f>'Fund Cover Sheets'!$N$1</f>
        <v>Adopted</v>
      </c>
      <c r="H127" s="43" t="s">
        <v>817</v>
      </c>
      <c r="I127" s="43" t="s">
        <v>818</v>
      </c>
      <c r="J127" s="43" t="s">
        <v>819</v>
      </c>
      <c r="K127" s="43" t="s">
        <v>820</v>
      </c>
      <c r="L127" s="665"/>
      <c r="M127" s="665"/>
      <c r="N127" s="161"/>
    </row>
    <row r="128" spans="2:14" ht="14.4" thickBot="1">
      <c r="B128" s="44"/>
      <c r="C128" s="45" t="s">
        <v>1</v>
      </c>
      <c r="D128" s="45" t="s">
        <v>1</v>
      </c>
      <c r="E128" s="45" t="s">
        <v>553</v>
      </c>
      <c r="F128" s="45" t="s">
        <v>19</v>
      </c>
      <c r="G128" s="45" t="s">
        <v>553</v>
      </c>
      <c r="H128" s="45" t="s">
        <v>19</v>
      </c>
      <c r="I128" s="45" t="s">
        <v>19</v>
      </c>
      <c r="J128" s="45" t="s">
        <v>19</v>
      </c>
      <c r="K128" s="45" t="s">
        <v>19</v>
      </c>
      <c r="L128" s="566"/>
      <c r="M128" s="566"/>
      <c r="N128" s="161"/>
    </row>
    <row r="129" spans="2:14">
      <c r="B129" s="1"/>
      <c r="C129" s="52"/>
      <c r="D129" s="2"/>
      <c r="E129" s="2"/>
      <c r="F129" s="2"/>
      <c r="G129" s="2"/>
      <c r="H129" s="2"/>
      <c r="I129" s="2"/>
      <c r="J129" s="2"/>
      <c r="K129" s="2"/>
      <c r="L129" s="663"/>
      <c r="M129" s="663"/>
      <c r="N129" s="161"/>
    </row>
    <row r="130" spans="2:14">
      <c r="B130" s="80" t="s">
        <v>685</v>
      </c>
      <c r="C130" s="2"/>
      <c r="D130" s="2"/>
      <c r="E130" s="2"/>
      <c r="F130" s="2"/>
      <c r="G130" s="2"/>
      <c r="H130" s="2"/>
      <c r="I130" s="2"/>
      <c r="J130" s="2"/>
      <c r="K130" s="2"/>
      <c r="L130" s="663"/>
      <c r="M130" s="663"/>
      <c r="N130" s="161"/>
    </row>
    <row r="131" spans="2:14" ht="20.100000000000001" customHeight="1">
      <c r="B131" s="133" t="s">
        <v>585</v>
      </c>
      <c r="C131" s="49">
        <f>SUM('Budget Detail FY 2020-27'!M311:M314)</f>
        <v>749242</v>
      </c>
      <c r="D131" s="49">
        <f>SUM('Budget Detail FY 2020-27'!N311:N314)</f>
        <v>1387340</v>
      </c>
      <c r="E131" s="49">
        <f>SUM('Budget Detail FY 2020-27'!O311:O314)</f>
        <v>1258019</v>
      </c>
      <c r="F131" s="49">
        <f>SUM('Budget Detail FY 2020-27'!P311:P314)</f>
        <v>1306390</v>
      </c>
      <c r="G131" s="49">
        <f>SUM('Budget Detail FY 2020-27'!Q311:Q314)</f>
        <v>1175560</v>
      </c>
      <c r="H131" s="49">
        <f>SUM('Budget Detail FY 2020-27'!R311:R314)</f>
        <v>984367</v>
      </c>
      <c r="I131" s="49">
        <f>SUM('Budget Detail FY 2020-27'!S311:S314)</f>
        <v>1002465</v>
      </c>
      <c r="J131" s="49">
        <f>SUM('Budget Detail FY 2020-27'!T311:T314)</f>
        <v>1020925</v>
      </c>
      <c r="K131" s="49">
        <f>SUM('Budget Detail FY 2020-27'!U311:U314)</f>
        <v>1039754</v>
      </c>
      <c r="L131" s="666"/>
      <c r="M131" s="666"/>
      <c r="N131" s="161"/>
    </row>
    <row r="132" spans="2:14" ht="20.100000000000001" customHeight="1">
      <c r="B132" s="134" t="s">
        <v>589</v>
      </c>
      <c r="C132" s="2">
        <f>'Budget Detail FY 2020-27'!M315</f>
        <v>9563</v>
      </c>
      <c r="D132" s="2">
        <f>'Budget Detail FY 2020-27'!N315</f>
        <v>1402</v>
      </c>
      <c r="E132" s="2">
        <f>'Budget Detail FY 2020-27'!O315</f>
        <v>2000</v>
      </c>
      <c r="F132" s="2">
        <f>'Budget Detail FY 2020-27'!P315</f>
        <v>525</v>
      </c>
      <c r="G132" s="2">
        <f>'Budget Detail FY 2020-27'!Q315</f>
        <v>1000</v>
      </c>
      <c r="H132" s="2">
        <f>'Budget Detail FY 2020-27'!R315</f>
        <v>2000</v>
      </c>
      <c r="I132" s="2">
        <f>'Budget Detail FY 2020-27'!S315</f>
        <v>3000</v>
      </c>
      <c r="J132" s="2">
        <f>'Budget Detail FY 2020-27'!T315</f>
        <v>5000</v>
      </c>
      <c r="K132" s="2">
        <f>'Budget Detail FY 2020-27'!U315</f>
        <v>7500</v>
      </c>
      <c r="L132" s="663"/>
      <c r="M132" s="663"/>
      <c r="N132" s="161"/>
    </row>
    <row r="133" spans="2:14" s="159" customFormat="1" ht="20.100000000000001" customHeight="1">
      <c r="B133" s="134" t="s">
        <v>590</v>
      </c>
      <c r="C133" s="2">
        <f>'Budget Detail FY 2020-27'!M316</f>
        <v>26717</v>
      </c>
      <c r="D133" s="2">
        <f>'Budget Detail FY 2020-27'!N316</f>
        <v>0</v>
      </c>
      <c r="E133" s="2">
        <f>'Budget Detail FY 2020-27'!O316</f>
        <v>0</v>
      </c>
      <c r="F133" s="2">
        <f>'Budget Detail FY 2020-27'!P316</f>
        <v>0</v>
      </c>
      <c r="G133" s="2">
        <f>'Budget Detail FY 2020-27'!Q316</f>
        <v>0</v>
      </c>
      <c r="H133" s="2">
        <f>'Budget Detail FY 2020-27'!R316</f>
        <v>0</v>
      </c>
      <c r="I133" s="2">
        <f>'Budget Detail FY 2020-27'!S316</f>
        <v>0</v>
      </c>
      <c r="J133" s="2">
        <f>'Budget Detail FY 2020-27'!T316</f>
        <v>0</v>
      </c>
      <c r="K133" s="2">
        <f>'Budget Detail FY 2020-27'!U316</f>
        <v>0</v>
      </c>
      <c r="L133" s="663"/>
      <c r="M133" s="663"/>
      <c r="N133" s="161"/>
    </row>
    <row r="134" spans="2:14" ht="20.100000000000001" customHeight="1" thickBot="1">
      <c r="B134" s="79" t="s">
        <v>1241</v>
      </c>
      <c r="C134" s="433">
        <f t="shared" ref="C134:K134" si="14">SUM(C131:C133)</f>
        <v>785522</v>
      </c>
      <c r="D134" s="433">
        <f t="shared" si="14"/>
        <v>1388742</v>
      </c>
      <c r="E134" s="433">
        <f t="shared" si="14"/>
        <v>1260019</v>
      </c>
      <c r="F134" s="433">
        <f t="shared" si="14"/>
        <v>1306915</v>
      </c>
      <c r="G134" s="433">
        <f t="shared" si="14"/>
        <v>1176560</v>
      </c>
      <c r="H134" s="433">
        <f t="shared" si="14"/>
        <v>986367</v>
      </c>
      <c r="I134" s="433">
        <f t="shared" si="14"/>
        <v>1005465</v>
      </c>
      <c r="J134" s="433">
        <f t="shared" si="14"/>
        <v>1025925</v>
      </c>
      <c r="K134" s="433">
        <f t="shared" si="14"/>
        <v>1047254</v>
      </c>
      <c r="L134" s="406"/>
      <c r="M134" s="406"/>
      <c r="N134" s="161"/>
    </row>
    <row r="135" spans="2:14" ht="7.5" customHeight="1">
      <c r="B135" s="1"/>
      <c r="C135" s="2"/>
      <c r="D135" s="2"/>
      <c r="E135" s="2"/>
      <c r="F135" s="2"/>
      <c r="G135" s="2"/>
      <c r="H135" s="2"/>
      <c r="I135" s="2"/>
      <c r="J135" s="2"/>
      <c r="K135" s="2"/>
      <c r="L135" s="663"/>
      <c r="M135" s="663"/>
      <c r="N135" s="161"/>
    </row>
    <row r="136" spans="2:14">
      <c r="B136" s="80" t="s">
        <v>424</v>
      </c>
      <c r="C136" s="2"/>
      <c r="D136" s="2"/>
      <c r="E136" s="2"/>
      <c r="F136" s="2"/>
      <c r="G136" s="2"/>
      <c r="H136" s="2"/>
      <c r="I136" s="2"/>
      <c r="J136" s="2"/>
      <c r="K136" s="2"/>
      <c r="L136" s="663"/>
      <c r="M136" s="663"/>
      <c r="N136" s="161"/>
    </row>
    <row r="137" spans="2:14" ht="20.100000000000001" customHeight="1">
      <c r="B137" s="134" t="s">
        <v>597</v>
      </c>
      <c r="C137" s="49">
        <f>SUM('Budget Detail FY 2020-27'!M320:M320)</f>
        <v>97930</v>
      </c>
      <c r="D137" s="49">
        <f>SUM('Budget Detail FY 2020-27'!N320:N320)</f>
        <v>86539</v>
      </c>
      <c r="E137" s="49">
        <f>SUM('Budget Detail FY 2020-27'!O320:O320)</f>
        <v>138000</v>
      </c>
      <c r="F137" s="49">
        <f>SUM('Budget Detail FY 2020-27'!P320:P320)</f>
        <v>138000</v>
      </c>
      <c r="G137" s="49">
        <f>SUM('Budget Detail FY 2020-27'!Q320:Q320)</f>
        <v>190000</v>
      </c>
      <c r="H137" s="49">
        <f>SUM('Budget Detail FY 2020-27'!R320:R320)</f>
        <v>190000</v>
      </c>
      <c r="I137" s="49">
        <f>SUM('Budget Detail FY 2020-27'!S320:S320)</f>
        <v>190000</v>
      </c>
      <c r="J137" s="49">
        <f>SUM('Budget Detail FY 2020-27'!T320:T320)</f>
        <v>190000</v>
      </c>
      <c r="K137" s="49">
        <f>SUM('Budget Detail FY 2020-27'!U320:U320)</f>
        <v>190000</v>
      </c>
      <c r="L137" s="666"/>
      <c r="M137" s="666"/>
      <c r="N137" s="161"/>
    </row>
    <row r="138" spans="2:14" ht="20.100000000000001" customHeight="1">
      <c r="B138" s="134" t="s">
        <v>598</v>
      </c>
      <c r="C138" s="2">
        <f>SUM('Budget Detail FY 2020-27'!M321:M324)</f>
        <v>627267</v>
      </c>
      <c r="D138" s="2">
        <f>SUM('Budget Detail FY 2020-27'!N321:N324)</f>
        <v>754089</v>
      </c>
      <c r="E138" s="2">
        <f>SUM('Budget Detail FY 2020-27'!O321:O324)</f>
        <v>2297413</v>
      </c>
      <c r="F138" s="2">
        <f>SUM('Budget Detail FY 2020-27'!P321:P324)</f>
        <v>2142413</v>
      </c>
      <c r="G138" s="2">
        <f>SUM('Budget Detail FY 2020-27'!Q321:Q324)</f>
        <v>1087045</v>
      </c>
      <c r="H138" s="2">
        <f>SUM('Budget Detail FY 2020-27'!R321:R324)</f>
        <v>900000</v>
      </c>
      <c r="I138" s="2">
        <f>SUM('Budget Detail FY 2020-27'!S321:S324)</f>
        <v>850000</v>
      </c>
      <c r="J138" s="2">
        <f>SUM('Budget Detail FY 2020-27'!T321:T324)</f>
        <v>850000</v>
      </c>
      <c r="K138" s="2">
        <f>SUM('Budget Detail FY 2020-27'!U321:U324)</f>
        <v>850000</v>
      </c>
      <c r="L138" s="663"/>
      <c r="M138" s="663"/>
      <c r="N138" s="161"/>
    </row>
    <row r="139" spans="2:14" ht="20.100000000000001" customHeight="1" thickBot="1">
      <c r="B139" s="79" t="s">
        <v>600</v>
      </c>
      <c r="C139" s="433">
        <f t="shared" ref="C139:K139" si="15">SUM(C137:C138)</f>
        <v>725197</v>
      </c>
      <c r="D139" s="433">
        <f t="shared" si="15"/>
        <v>840628</v>
      </c>
      <c r="E139" s="433">
        <f t="shared" si="15"/>
        <v>2435413</v>
      </c>
      <c r="F139" s="433">
        <f t="shared" si="15"/>
        <v>2280413</v>
      </c>
      <c r="G139" s="433">
        <f t="shared" si="15"/>
        <v>1277045</v>
      </c>
      <c r="H139" s="433">
        <f t="shared" si="15"/>
        <v>1090000</v>
      </c>
      <c r="I139" s="433">
        <f t="shared" si="15"/>
        <v>1040000</v>
      </c>
      <c r="J139" s="433">
        <f t="shared" si="15"/>
        <v>1040000</v>
      </c>
      <c r="K139" s="433">
        <f t="shared" si="15"/>
        <v>1040000</v>
      </c>
      <c r="L139" s="406"/>
      <c r="M139" s="406"/>
      <c r="N139" s="661"/>
    </row>
    <row r="140" spans="2:14" ht="7.5" customHeight="1">
      <c r="B140" s="80"/>
      <c r="C140" s="2"/>
      <c r="D140" s="2"/>
      <c r="E140" s="2"/>
      <c r="F140" s="2"/>
      <c r="G140" s="2"/>
      <c r="H140" s="2"/>
      <c r="I140" s="2"/>
      <c r="J140" s="2"/>
      <c r="K140" s="2"/>
      <c r="L140" s="663"/>
      <c r="M140" s="663"/>
      <c r="N140" s="161"/>
    </row>
    <row r="141" spans="2:14" ht="20.100000000000001" customHeight="1">
      <c r="B141" s="133" t="s">
        <v>601</v>
      </c>
      <c r="C141" s="49">
        <f t="shared" ref="C141:K141" si="16">+C134-C139</f>
        <v>60325</v>
      </c>
      <c r="D141" s="49">
        <f t="shared" si="16"/>
        <v>548114</v>
      </c>
      <c r="E141" s="49">
        <f t="shared" si="16"/>
        <v>-1175394</v>
      </c>
      <c r="F141" s="49">
        <f t="shared" si="16"/>
        <v>-973498</v>
      </c>
      <c r="G141" s="49">
        <f t="shared" si="16"/>
        <v>-100485</v>
      </c>
      <c r="H141" s="49">
        <f t="shared" si="16"/>
        <v>-103633</v>
      </c>
      <c r="I141" s="49">
        <f t="shared" si="16"/>
        <v>-34535</v>
      </c>
      <c r="J141" s="49">
        <f t="shared" si="16"/>
        <v>-14075</v>
      </c>
      <c r="K141" s="49">
        <f t="shared" si="16"/>
        <v>7254</v>
      </c>
      <c r="L141" s="666"/>
      <c r="M141" s="666"/>
      <c r="N141" s="161"/>
    </row>
    <row r="142" spans="2:14" ht="7.5" customHeight="1">
      <c r="B142" s="81"/>
      <c r="C142" s="2"/>
      <c r="D142" s="2"/>
      <c r="E142" s="2"/>
      <c r="F142" s="2"/>
      <c r="G142" s="2"/>
      <c r="H142" s="2"/>
      <c r="I142" s="2"/>
      <c r="J142" s="2"/>
      <c r="K142" s="2"/>
      <c r="L142" s="663"/>
      <c r="M142" s="663"/>
      <c r="N142" s="161"/>
    </row>
    <row r="143" spans="2:14" ht="20.100000000000001" customHeight="1" thickBot="1">
      <c r="B143" s="78" t="s">
        <v>602</v>
      </c>
      <c r="C143" s="431">
        <v>695707</v>
      </c>
      <c r="D143" s="431">
        <v>1243821</v>
      </c>
      <c r="E143" s="431">
        <v>-267652</v>
      </c>
      <c r="F143" s="431">
        <f>D143+F141</f>
        <v>270323</v>
      </c>
      <c r="G143" s="431">
        <f>F143+G141</f>
        <v>169838</v>
      </c>
      <c r="H143" s="431">
        <f>G143+H141</f>
        <v>66205</v>
      </c>
      <c r="I143" s="431">
        <f>H143+I141</f>
        <v>31670</v>
      </c>
      <c r="J143" s="431">
        <f>I143+J141</f>
        <v>17595</v>
      </c>
      <c r="K143" s="431">
        <f>J143+K141</f>
        <v>24849</v>
      </c>
      <c r="L143" s="406"/>
      <c r="M143" s="406"/>
      <c r="N143" s="161"/>
    </row>
    <row r="144" spans="2:14" ht="14.4" thickTop="1">
      <c r="B144" s="4"/>
      <c r="C144" s="53"/>
      <c r="D144" s="53"/>
      <c r="E144" s="53"/>
      <c r="F144" s="53"/>
      <c r="G144" s="53"/>
      <c r="H144" s="53"/>
      <c r="I144" s="53"/>
      <c r="J144" s="53"/>
      <c r="K144" s="53"/>
      <c r="L144" s="671"/>
      <c r="M144" s="671"/>
      <c r="N144" s="161"/>
    </row>
    <row r="145" spans="2:14">
      <c r="B145" s="1"/>
      <c r="C145" s="2"/>
      <c r="D145" s="2"/>
      <c r="E145" s="2"/>
      <c r="F145" s="2"/>
      <c r="G145" s="2"/>
      <c r="H145" s="2"/>
      <c r="I145" s="2"/>
      <c r="J145" s="2"/>
      <c r="K145" s="2"/>
      <c r="L145" s="663"/>
      <c r="M145" s="663"/>
      <c r="N145" s="161"/>
    </row>
    <row r="146" spans="2:14">
      <c r="B146" s="1"/>
      <c r="C146" s="2"/>
      <c r="D146" s="2"/>
      <c r="E146" s="2"/>
      <c r="F146" s="2"/>
      <c r="G146" s="2"/>
      <c r="H146" s="2"/>
      <c r="I146" s="2"/>
      <c r="J146" s="2"/>
      <c r="K146" s="2"/>
      <c r="L146" s="663"/>
      <c r="M146" s="663"/>
      <c r="N146" s="161"/>
    </row>
    <row r="147" spans="2:14">
      <c r="B147" s="1"/>
      <c r="C147" s="2"/>
      <c r="D147" s="2"/>
      <c r="E147" s="2"/>
      <c r="F147" s="2"/>
      <c r="G147" s="2"/>
      <c r="H147" s="2"/>
      <c r="I147" s="2"/>
      <c r="J147" s="2"/>
      <c r="K147" s="2"/>
      <c r="L147" s="663"/>
      <c r="M147" s="663"/>
      <c r="N147" s="161"/>
    </row>
    <row r="148" spans="2:14">
      <c r="B148" s="1"/>
      <c r="C148" s="2"/>
      <c r="D148" s="2"/>
      <c r="E148" s="2"/>
      <c r="F148" s="2"/>
      <c r="G148" s="2"/>
      <c r="H148" s="2"/>
      <c r="I148" s="2"/>
      <c r="J148" s="2"/>
      <c r="K148" s="2"/>
      <c r="L148" s="663"/>
      <c r="M148" s="663"/>
      <c r="N148" s="161"/>
    </row>
    <row r="149" spans="2:14">
      <c r="B149" s="1"/>
      <c r="C149" s="2"/>
      <c r="D149" s="2"/>
      <c r="E149" s="2"/>
      <c r="F149" s="2"/>
      <c r="G149" s="2"/>
      <c r="H149" s="2"/>
      <c r="I149" s="2"/>
      <c r="J149" s="2"/>
      <c r="K149" s="2"/>
      <c r="L149" s="663"/>
      <c r="M149" s="663"/>
      <c r="N149" s="161"/>
    </row>
    <row r="150" spans="2:14">
      <c r="B150" s="1"/>
      <c r="C150" s="2"/>
      <c r="D150" s="2"/>
      <c r="E150" s="2"/>
      <c r="F150" s="2"/>
      <c r="G150" s="2"/>
      <c r="H150" s="2"/>
      <c r="I150" s="2"/>
      <c r="J150" s="2"/>
      <c r="K150" s="2"/>
      <c r="L150" s="663"/>
      <c r="M150" s="663"/>
      <c r="N150" s="161"/>
    </row>
    <row r="151" spans="2:14">
      <c r="B151" s="1"/>
      <c r="C151" s="2"/>
      <c r="D151" s="2"/>
      <c r="E151" s="2"/>
      <c r="F151" s="2"/>
      <c r="G151" s="2"/>
      <c r="H151" s="2"/>
      <c r="I151" s="2"/>
      <c r="J151" s="2"/>
      <c r="K151" s="2"/>
      <c r="L151" s="663"/>
      <c r="M151" s="663"/>
      <c r="N151" s="161"/>
    </row>
    <row r="152" spans="2:14">
      <c r="B152" s="1"/>
      <c r="C152" s="2"/>
      <c r="D152" s="2"/>
      <c r="E152" s="2"/>
      <c r="F152" s="2"/>
      <c r="G152" s="2"/>
      <c r="H152" s="2"/>
      <c r="I152" s="2"/>
      <c r="J152" s="2"/>
      <c r="K152" s="2"/>
      <c r="L152" s="663"/>
      <c r="M152" s="663"/>
      <c r="N152" s="161"/>
    </row>
    <row r="153" spans="2:14">
      <c r="B153" s="1"/>
      <c r="C153" s="2"/>
      <c r="D153" s="2"/>
      <c r="E153" s="2"/>
      <c r="F153" s="2"/>
      <c r="G153" s="2"/>
      <c r="H153" s="2"/>
      <c r="I153" s="2"/>
      <c r="J153" s="2"/>
      <c r="K153" s="2"/>
      <c r="L153" s="663"/>
      <c r="M153" s="663"/>
      <c r="N153" s="161"/>
    </row>
    <row r="154" spans="2:14">
      <c r="B154" s="1"/>
      <c r="C154" s="2"/>
      <c r="D154" s="2"/>
      <c r="E154" s="2"/>
      <c r="F154" s="2"/>
      <c r="G154" s="2"/>
      <c r="H154" s="2"/>
      <c r="I154" s="2"/>
      <c r="J154" s="2"/>
      <c r="K154" s="2"/>
      <c r="L154" s="663"/>
      <c r="M154" s="663"/>
      <c r="N154" s="161"/>
    </row>
    <row r="155" spans="2:14">
      <c r="B155" s="1"/>
      <c r="C155" s="2"/>
      <c r="D155" s="2"/>
      <c r="E155" s="2"/>
      <c r="F155" s="2"/>
      <c r="G155" s="2"/>
      <c r="H155" s="2"/>
      <c r="I155" s="2"/>
      <c r="J155" s="2"/>
      <c r="K155" s="2"/>
      <c r="L155" s="663"/>
      <c r="M155" s="663"/>
      <c r="N155" s="161"/>
    </row>
    <row r="156" spans="2:14">
      <c r="N156" s="161"/>
    </row>
    <row r="157" spans="2:14">
      <c r="N157" s="161"/>
    </row>
    <row r="158" spans="2:14" ht="17.399999999999999">
      <c r="B158" s="682" t="s">
        <v>608</v>
      </c>
      <c r="C158" s="682"/>
      <c r="D158" s="682"/>
      <c r="E158" s="682"/>
      <c r="F158" s="682"/>
      <c r="G158" s="682"/>
      <c r="H158" s="682"/>
      <c r="I158" s="682"/>
      <c r="J158" s="682"/>
      <c r="K158" s="682"/>
      <c r="L158" s="662"/>
      <c r="M158" s="662"/>
      <c r="N158" s="161"/>
    </row>
    <row r="159" spans="2:14">
      <c r="B159" s="43"/>
      <c r="C159" s="2"/>
      <c r="D159" s="2"/>
      <c r="E159" s="2"/>
      <c r="F159" s="2"/>
      <c r="G159" s="2"/>
      <c r="H159" s="2"/>
      <c r="I159" s="2"/>
      <c r="J159" s="2"/>
      <c r="K159" s="2"/>
      <c r="L159" s="663"/>
      <c r="M159" s="663"/>
      <c r="N159" s="161"/>
    </row>
    <row r="160" spans="2:14" ht="15" customHeight="1">
      <c r="B160" s="683" t="s">
        <v>1329</v>
      </c>
      <c r="C160" s="683"/>
      <c r="D160" s="683"/>
      <c r="E160" s="683"/>
      <c r="F160" s="683"/>
      <c r="G160" s="683"/>
      <c r="H160" s="683"/>
      <c r="I160" s="683"/>
      <c r="J160" s="683"/>
      <c r="K160" s="683"/>
      <c r="L160" s="664"/>
      <c r="M160" s="664"/>
      <c r="N160" s="161"/>
    </row>
    <row r="161" spans="2:14" ht="15" customHeight="1">
      <c r="B161" s="683"/>
      <c r="C161" s="683"/>
      <c r="D161" s="683"/>
      <c r="E161" s="683"/>
      <c r="F161" s="683"/>
      <c r="G161" s="683"/>
      <c r="H161" s="683"/>
      <c r="I161" s="683"/>
      <c r="J161" s="683"/>
      <c r="K161" s="683"/>
      <c r="L161" s="664"/>
      <c r="M161" s="664"/>
      <c r="N161" s="161"/>
    </row>
    <row r="162" spans="2:14" ht="7.5" customHeight="1">
      <c r="B162" s="19"/>
      <c r="C162" s="16"/>
      <c r="D162" s="16"/>
      <c r="E162" s="16"/>
      <c r="F162" s="16"/>
      <c r="G162" s="16"/>
      <c r="H162" s="2"/>
      <c r="I162" s="2"/>
      <c r="J162" s="2"/>
      <c r="K162" s="2"/>
      <c r="L162" s="663"/>
      <c r="M162" s="663"/>
      <c r="N162" s="161"/>
    </row>
    <row r="163" spans="2:14">
      <c r="B163" s="4"/>
      <c r="C163" s="43"/>
      <c r="D163" s="573"/>
      <c r="E163" s="43" t="s">
        <v>815</v>
      </c>
      <c r="F163" s="573"/>
      <c r="G163" s="43" t="s">
        <v>816</v>
      </c>
      <c r="H163" s="573"/>
      <c r="I163" s="573"/>
      <c r="J163" s="573"/>
      <c r="K163" s="573"/>
      <c r="L163" s="304"/>
      <c r="M163" s="304"/>
      <c r="N163" s="161"/>
    </row>
    <row r="164" spans="2:14">
      <c r="B164" s="43"/>
      <c r="C164" s="43" t="s">
        <v>813</v>
      </c>
      <c r="D164" s="43" t="s">
        <v>814</v>
      </c>
      <c r="E164" s="43" t="s">
        <v>583</v>
      </c>
      <c r="F164" s="43" t="s">
        <v>815</v>
      </c>
      <c r="G164" s="156" t="str">
        <f>'Fund Cover Sheets'!$N$1</f>
        <v>Adopted</v>
      </c>
      <c r="H164" s="43" t="s">
        <v>817</v>
      </c>
      <c r="I164" s="43" t="s">
        <v>818</v>
      </c>
      <c r="J164" s="43" t="s">
        <v>819</v>
      </c>
      <c r="K164" s="43" t="s">
        <v>820</v>
      </c>
      <c r="L164" s="665"/>
      <c r="M164" s="665"/>
      <c r="N164" s="161"/>
    </row>
    <row r="165" spans="2:14" ht="14.4" thickBot="1">
      <c r="B165" s="44"/>
      <c r="C165" s="45" t="s">
        <v>1</v>
      </c>
      <c r="D165" s="45" t="s">
        <v>1</v>
      </c>
      <c r="E165" s="45" t="s">
        <v>553</v>
      </c>
      <c r="F165" s="45" t="s">
        <v>19</v>
      </c>
      <c r="G165" s="45" t="s">
        <v>553</v>
      </c>
      <c r="H165" s="45" t="s">
        <v>19</v>
      </c>
      <c r="I165" s="45" t="s">
        <v>19</v>
      </c>
      <c r="J165" s="45" t="s">
        <v>19</v>
      </c>
      <c r="K165" s="45" t="s">
        <v>19</v>
      </c>
      <c r="L165" s="566"/>
      <c r="M165" s="566"/>
      <c r="N165" s="161"/>
    </row>
    <row r="166" spans="2:14">
      <c r="B166" s="1"/>
      <c r="C166" s="52"/>
      <c r="D166" s="2"/>
      <c r="E166" s="2"/>
      <c r="F166" s="2"/>
      <c r="G166" s="2"/>
      <c r="H166" s="2"/>
      <c r="I166" s="2"/>
      <c r="J166" s="2"/>
      <c r="K166" s="2"/>
      <c r="L166" s="663"/>
      <c r="M166" s="663"/>
      <c r="N166" s="161"/>
    </row>
    <row r="167" spans="2:14">
      <c r="B167" s="80" t="s">
        <v>685</v>
      </c>
      <c r="C167" s="2"/>
      <c r="D167" s="2"/>
      <c r="E167" s="2"/>
      <c r="F167" s="2"/>
      <c r="G167" s="2"/>
      <c r="H167" s="2"/>
      <c r="I167" s="2"/>
      <c r="J167" s="2"/>
      <c r="K167" s="2"/>
      <c r="L167" s="663"/>
      <c r="M167" s="663"/>
      <c r="N167" s="161"/>
    </row>
    <row r="168" spans="2:14" ht="20.100000000000001" customHeight="1">
      <c r="B168" s="134" t="s">
        <v>585</v>
      </c>
      <c r="C168" s="49">
        <f>SUM('Budget Detail FY 2020-27'!M335:M338)</f>
        <v>38000</v>
      </c>
      <c r="D168" s="49">
        <f>SUM('Budget Detail FY 2020-27'!N335:N338)</f>
        <v>0</v>
      </c>
      <c r="E168" s="49">
        <f>SUM('Budget Detail FY 2020-27'!O335:O338)</f>
        <v>0</v>
      </c>
      <c r="F168" s="49">
        <f>SUM('Budget Detail FY 2020-27'!P335:P338)</f>
        <v>0</v>
      </c>
      <c r="G168" s="49">
        <f>SUM('Budget Detail FY 2020-27'!Q335:Q338)</f>
        <v>1174620</v>
      </c>
      <c r="H168" s="49">
        <f>SUM('Budget Detail FY 2020-27'!R335:R338)</f>
        <v>1200000</v>
      </c>
      <c r="I168" s="49">
        <f>SUM('Budget Detail FY 2020-27'!S335:S338)</f>
        <v>1500000</v>
      </c>
      <c r="J168" s="49">
        <f>SUM('Budget Detail FY 2020-27'!T335:T338)</f>
        <v>0</v>
      </c>
      <c r="K168" s="49">
        <f>SUM('Budget Detail FY 2020-27'!U335:U338)</f>
        <v>0</v>
      </c>
      <c r="L168" s="666"/>
      <c r="M168" s="666"/>
      <c r="N168" s="161"/>
    </row>
    <row r="169" spans="2:14" ht="20.100000000000001" customHeight="1">
      <c r="B169" s="134" t="s">
        <v>586</v>
      </c>
      <c r="C169" s="2">
        <f>SUM('Budget Detail FY 2020-27'!M339:M342)</f>
        <v>154916</v>
      </c>
      <c r="D169" s="2">
        <f>SUM('Budget Detail FY 2020-27'!N339:N342)</f>
        <v>486868</v>
      </c>
      <c r="E169" s="2">
        <f>SUM('Budget Detail FY 2020-27'!O339:O342)</f>
        <v>105000</v>
      </c>
      <c r="F169" s="2">
        <f>SUM('Budget Detail FY 2020-27'!P339:P342)</f>
        <v>359530</v>
      </c>
      <c r="G169" s="626">
        <f>SUM('Budget Detail FY 2020-27'!Q339:Q342)</f>
        <v>52500</v>
      </c>
      <c r="H169" s="2">
        <f>SUM('Budget Detail FY 2020-27'!R339:R342)</f>
        <v>52500</v>
      </c>
      <c r="I169" s="2">
        <f>SUM('Budget Detail FY 2020-27'!S339:S342)</f>
        <v>102500</v>
      </c>
      <c r="J169" s="2">
        <f>SUM('Budget Detail FY 2020-27'!T339:T342)</f>
        <v>102500</v>
      </c>
      <c r="K169" s="2">
        <f>SUM('Budget Detail FY 2020-27'!U339:U342)</f>
        <v>102500</v>
      </c>
      <c r="L169" s="663"/>
      <c r="M169" s="663"/>
      <c r="N169" s="161"/>
    </row>
    <row r="170" spans="2:14" ht="20.100000000000001" customHeight="1">
      <c r="B170" s="134" t="s">
        <v>588</v>
      </c>
      <c r="C170" s="2">
        <f>'Budget Detail FY 2020-27'!M343</f>
        <v>775218</v>
      </c>
      <c r="D170" s="2">
        <f>'Budget Detail FY 2020-27'!N343</f>
        <v>787642</v>
      </c>
      <c r="E170" s="2">
        <f>'Budget Detail FY 2020-27'!O343</f>
        <v>785000</v>
      </c>
      <c r="F170" s="2">
        <f>'Budget Detail FY 2020-27'!P343</f>
        <v>830000</v>
      </c>
      <c r="G170" s="626">
        <f>'Budget Detail FY 2020-27'!Q343</f>
        <v>846600</v>
      </c>
      <c r="H170" s="2">
        <f>'Budget Detail FY 2020-27'!R343</f>
        <v>863532</v>
      </c>
      <c r="I170" s="2">
        <f>'Budget Detail FY 2020-27'!S343</f>
        <v>880803</v>
      </c>
      <c r="J170" s="2">
        <f>'Budget Detail FY 2020-27'!T343</f>
        <v>898419</v>
      </c>
      <c r="K170" s="2">
        <f>'Budget Detail FY 2020-27'!U343</f>
        <v>916387</v>
      </c>
      <c r="L170" s="663"/>
      <c r="M170" s="663"/>
      <c r="N170" s="161"/>
    </row>
    <row r="171" spans="2:14" ht="20.100000000000001" customHeight="1">
      <c r="B171" s="134" t="s">
        <v>589</v>
      </c>
      <c r="C171" s="2">
        <f>'Budget Detail FY 2020-27'!M344+'Budget Detail FY 2020-27'!M345</f>
        <v>61060</v>
      </c>
      <c r="D171" s="2">
        <f>'Budget Detail FY 2020-27'!N344+'Budget Detail FY 2020-27'!N345</f>
        <v>69</v>
      </c>
      <c r="E171" s="2">
        <f>'Budget Detail FY 2020-27'!O344+'Budget Detail FY 2020-27'!O345</f>
        <v>500</v>
      </c>
      <c r="F171" s="2">
        <f>'Budget Detail FY 2020-27'!P344+'Budget Detail FY 2020-27'!P345</f>
        <v>4664</v>
      </c>
      <c r="G171" s="626">
        <f>'Budget Detail FY 2020-27'!Q344+'Budget Detail FY 2020-27'!Q345</f>
        <v>150</v>
      </c>
      <c r="H171" s="2">
        <f>'Budget Detail FY 2020-27'!R344+'Budget Detail FY 2020-27'!R345</f>
        <v>500</v>
      </c>
      <c r="I171" s="2">
        <f>'Budget Detail FY 2020-27'!S344+'Budget Detail FY 2020-27'!S345</f>
        <v>1000</v>
      </c>
      <c r="J171" s="2">
        <f>'Budget Detail FY 2020-27'!T344+'Budget Detail FY 2020-27'!T345</f>
        <v>2000</v>
      </c>
      <c r="K171" s="2">
        <f>'Budget Detail FY 2020-27'!U344+'Budget Detail FY 2020-27'!U345</f>
        <v>3000</v>
      </c>
      <c r="L171" s="663"/>
      <c r="M171" s="663"/>
      <c r="N171" s="161"/>
    </row>
    <row r="172" spans="2:14" ht="20.100000000000001" customHeight="1">
      <c r="B172" s="134" t="s">
        <v>590</v>
      </c>
      <c r="C172" s="2">
        <f>SUM('Budget Detail FY 2020-27'!M346:M353)</f>
        <v>49999</v>
      </c>
      <c r="D172" s="2">
        <f>SUM('Budget Detail FY 2020-27'!N346:N353)</f>
        <v>127867</v>
      </c>
      <c r="E172" s="2">
        <f>SUM('Budget Detail FY 2020-27'!O346:O353)</f>
        <v>2521322</v>
      </c>
      <c r="F172" s="2">
        <f>SUM('Budget Detail FY 2020-27'!P346:P353)</f>
        <v>2071000</v>
      </c>
      <c r="G172" s="626">
        <f>SUM('Budget Detail FY 2020-27'!Q346:Q353)</f>
        <v>1117000</v>
      </c>
      <c r="H172" s="2">
        <f>SUM('Budget Detail FY 2020-27'!R346:R353)</f>
        <v>1100000</v>
      </c>
      <c r="I172" s="2">
        <f>SUM('Budget Detail FY 2020-27'!S346:S353)</f>
        <v>0</v>
      </c>
      <c r="J172" s="2">
        <f>SUM('Budget Detail FY 2020-27'!T346:T353)</f>
        <v>0</v>
      </c>
      <c r="K172" s="2">
        <f>SUM('Budget Detail FY 2020-27'!U346:U353)</f>
        <v>171600</v>
      </c>
      <c r="L172" s="663"/>
      <c r="M172" s="663"/>
      <c r="N172" s="161"/>
    </row>
    <row r="173" spans="2:14" ht="20.100000000000001" customHeight="1">
      <c r="B173" s="134" t="s">
        <v>591</v>
      </c>
      <c r="C173" s="2">
        <f>'Budget Detail FY 2020-27'!M354</f>
        <v>0</v>
      </c>
      <c r="D173" s="2">
        <f>'Budget Detail FY 2020-27'!N354</f>
        <v>45823</v>
      </c>
      <c r="E173" s="2">
        <f>'Budget Detail FY 2020-27'!O354</f>
        <v>0</v>
      </c>
      <c r="F173" s="2">
        <f>'Budget Detail FY 2020-27'!P354</f>
        <v>0</v>
      </c>
      <c r="G173" s="626">
        <f>'Budget Detail FY 2020-27'!Q354</f>
        <v>0</v>
      </c>
      <c r="H173" s="2">
        <f>'Budget Detail FY 2020-27'!R354</f>
        <v>0</v>
      </c>
      <c r="I173" s="2">
        <f>'Budget Detail FY 2020-27'!S354</f>
        <v>0</v>
      </c>
      <c r="J173" s="2">
        <f>'Budget Detail FY 2020-27'!T354</f>
        <v>0</v>
      </c>
      <c r="K173" s="2">
        <f>'Budget Detail FY 2020-27'!U354</f>
        <v>0</v>
      </c>
      <c r="L173" s="663"/>
      <c r="M173" s="663"/>
      <c r="N173" s="161"/>
    </row>
    <row r="174" spans="2:14" s="470" customFormat="1" ht="20.100000000000001" customHeight="1">
      <c r="B174" s="515" t="s">
        <v>1241</v>
      </c>
      <c r="C174" s="514">
        <f t="shared" ref="C174:K174" si="17">SUM(C168:C173)</f>
        <v>1079193</v>
      </c>
      <c r="D174" s="514">
        <f t="shared" si="17"/>
        <v>1448269</v>
      </c>
      <c r="E174" s="514">
        <f t="shared" si="17"/>
        <v>3411822</v>
      </c>
      <c r="F174" s="514">
        <f t="shared" si="17"/>
        <v>3265194</v>
      </c>
      <c r="G174" s="514">
        <f t="shared" si="17"/>
        <v>3190870</v>
      </c>
      <c r="H174" s="514">
        <f t="shared" si="17"/>
        <v>3216532</v>
      </c>
      <c r="I174" s="514">
        <f t="shared" si="17"/>
        <v>2484303</v>
      </c>
      <c r="J174" s="514">
        <f t="shared" si="17"/>
        <v>1002919</v>
      </c>
      <c r="K174" s="514">
        <f t="shared" si="17"/>
        <v>1193487</v>
      </c>
      <c r="L174" s="406"/>
      <c r="M174" s="406"/>
      <c r="N174" s="161"/>
    </row>
    <row r="175" spans="2:14" s="470" customFormat="1" ht="6.9" customHeight="1">
      <c r="B175" s="134"/>
      <c r="C175" s="2"/>
      <c r="D175" s="2"/>
      <c r="E175" s="2"/>
      <c r="F175" s="2"/>
      <c r="G175" s="626"/>
      <c r="H175" s="2"/>
      <c r="I175" s="2"/>
      <c r="J175" s="2"/>
      <c r="K175" s="2"/>
      <c r="L175" s="663"/>
      <c r="M175" s="663"/>
      <c r="N175" s="161"/>
    </row>
    <row r="176" spans="2:14" ht="20.100000000000001" customHeight="1">
      <c r="B176" s="134" t="s">
        <v>592</v>
      </c>
      <c r="C176" s="2">
        <f>'Budget Detail FY 2020-27'!M357+'Budget Detail FY 2020-27'!M358</f>
        <v>240663</v>
      </c>
      <c r="D176" s="2">
        <f>'Budget Detail FY 2020-27'!N357+'Budget Detail FY 2020-27'!N358</f>
        <v>1442336</v>
      </c>
      <c r="E176" s="2">
        <f>'Budget Detail FY 2020-27'!O357+'Budget Detail FY 2020-27'!O358</f>
        <v>2396250</v>
      </c>
      <c r="F176" s="2">
        <f>'Budget Detail FY 2020-27'!P357+'Budget Detail FY 2020-27'!P358</f>
        <v>2961215</v>
      </c>
      <c r="G176" s="626">
        <f>'Budget Detail FY 2020-27'!Q357+'Budget Detail FY 2020-27'!Q358</f>
        <v>804352</v>
      </c>
      <c r="H176" s="2">
        <f>'Budget Detail FY 2020-27'!R357+'Budget Detail FY 2020-27'!R358</f>
        <v>1904042</v>
      </c>
      <c r="I176" s="2">
        <f>'Budget Detail FY 2020-27'!S357+'Budget Detail FY 2020-27'!S358</f>
        <v>1209638</v>
      </c>
      <c r="J176" s="2">
        <f>'Budget Detail FY 2020-27'!T357+'Budget Detail FY 2020-27'!T358</f>
        <v>1087670</v>
      </c>
      <c r="K176" s="2">
        <f>'Budget Detail FY 2020-27'!U357+'Budget Detail FY 2020-27'!U358</f>
        <v>951606</v>
      </c>
      <c r="L176" s="663"/>
      <c r="M176" s="663"/>
      <c r="N176" s="161"/>
    </row>
    <row r="177" spans="2:14" ht="20.100000000000001" customHeight="1" thickBot="1">
      <c r="B177" s="79" t="s">
        <v>1243</v>
      </c>
      <c r="C177" s="433">
        <f t="shared" ref="C177:K177" si="18">C174+C176</f>
        <v>1319856</v>
      </c>
      <c r="D177" s="433">
        <f t="shared" si="18"/>
        <v>2890605</v>
      </c>
      <c r="E177" s="433">
        <f t="shared" si="18"/>
        <v>5808072</v>
      </c>
      <c r="F177" s="433">
        <f t="shared" si="18"/>
        <v>6226409</v>
      </c>
      <c r="G177" s="433">
        <f t="shared" si="18"/>
        <v>3995222</v>
      </c>
      <c r="H177" s="433">
        <f t="shared" si="18"/>
        <v>5120574</v>
      </c>
      <c r="I177" s="433">
        <f t="shared" si="18"/>
        <v>3693941</v>
      </c>
      <c r="J177" s="433">
        <f t="shared" si="18"/>
        <v>2090589</v>
      </c>
      <c r="K177" s="433">
        <f t="shared" si="18"/>
        <v>2145093</v>
      </c>
      <c r="L177" s="406"/>
      <c r="M177" s="406"/>
      <c r="N177" s="161"/>
    </row>
    <row r="178" spans="2:14" ht="7.5" customHeight="1">
      <c r="B178" s="1"/>
      <c r="C178" s="2"/>
      <c r="D178" s="2"/>
      <c r="E178" s="2"/>
      <c r="F178" s="2"/>
      <c r="G178" s="2"/>
      <c r="H178" s="2"/>
      <c r="I178" s="2"/>
      <c r="J178" s="2"/>
      <c r="K178" s="2"/>
      <c r="L178" s="663"/>
      <c r="M178" s="663"/>
      <c r="N178" s="161"/>
    </row>
    <row r="179" spans="2:14">
      <c r="B179" s="80" t="s">
        <v>424</v>
      </c>
      <c r="C179" s="2"/>
      <c r="D179" s="2"/>
      <c r="E179" s="2"/>
      <c r="F179" s="2"/>
      <c r="G179" s="2"/>
      <c r="H179" s="2"/>
      <c r="I179" s="2"/>
      <c r="J179" s="2"/>
      <c r="K179" s="2"/>
      <c r="L179" s="663"/>
      <c r="M179" s="663"/>
      <c r="N179" s="161"/>
    </row>
    <row r="180" spans="2:14" ht="20.100000000000001" customHeight="1">
      <c r="B180" s="134" t="s">
        <v>596</v>
      </c>
      <c r="C180" s="49">
        <f>'Budget Detail FY 2020-27'!M364+'Budget Detail FY 2020-27'!M377+'Budget Detail FY 2020-27'!M378+'Budget Detail FY 2020-27'!M380+'Budget Detail FY 2020-27'!M381+'Budget Detail FY 2020-27'!M379</f>
        <v>191913</v>
      </c>
      <c r="D180" s="49">
        <f>'Budget Detail FY 2020-27'!N364+'Budget Detail FY 2020-27'!N377+'Budget Detail FY 2020-27'!N378+'Budget Detail FY 2020-27'!N380+'Budget Detail FY 2020-27'!N381+'Budget Detail FY 2020-27'!N379</f>
        <v>292619</v>
      </c>
      <c r="E180" s="49">
        <f>'Budget Detail FY 2020-27'!O364+'Budget Detail FY 2020-27'!O377+'Budget Detail FY 2020-27'!O378+'Budget Detail FY 2020-27'!O380+'Budget Detail FY 2020-27'!O381+'Budget Detail FY 2020-27'!O379</f>
        <v>234189</v>
      </c>
      <c r="F180" s="49">
        <f>'Budget Detail FY 2020-27'!P364+'Budget Detail FY 2020-27'!P377+'Budget Detail FY 2020-27'!P378+'Budget Detail FY 2020-27'!P380+'Budget Detail FY 2020-27'!P381+'Budget Detail FY 2020-27'!P379</f>
        <v>261689</v>
      </c>
      <c r="G180" s="49">
        <f>'Budget Detail FY 2020-27'!Q364+'Budget Detail FY 2020-27'!Q377+'Budget Detail FY 2020-27'!Q378+'Budget Detail FY 2020-27'!Q380+'Budget Detail FY 2020-27'!Q381+'Budget Detail FY 2020-27'!Q379</f>
        <v>145302</v>
      </c>
      <c r="H180" s="49">
        <f>'Budget Detail FY 2020-27'!R364+'Budget Detail FY 2020-27'!R377+'Budget Detail FY 2020-27'!R378+'Budget Detail FY 2020-27'!R380+'Budget Detail FY 2020-27'!R381+'Budget Detail FY 2020-27'!R379</f>
        <v>147312</v>
      </c>
      <c r="I180" s="49">
        <f>'Budget Detail FY 2020-27'!S364+'Budget Detail FY 2020-27'!S377+'Budget Detail FY 2020-27'!S378+'Budget Detail FY 2020-27'!S380+'Budget Detail FY 2020-27'!S381+'Budget Detail FY 2020-27'!S379</f>
        <v>154742</v>
      </c>
      <c r="J180" s="49">
        <f>'Budget Detail FY 2020-27'!T364+'Budget Detail FY 2020-27'!T377+'Budget Detail FY 2020-27'!T378+'Budget Detail FY 2020-27'!T380+'Budget Detail FY 2020-27'!T381+'Budget Detail FY 2020-27'!T379</f>
        <v>252618</v>
      </c>
      <c r="K180" s="49">
        <f>'Budget Detail FY 2020-27'!U364+'Budget Detail FY 2020-27'!U377+'Budget Detail FY 2020-27'!U378+'Budget Detail FY 2020-27'!U380+'Budget Detail FY 2020-27'!U381+'Budget Detail FY 2020-27'!U379</f>
        <v>170967</v>
      </c>
      <c r="L180" s="666"/>
      <c r="M180" s="666"/>
      <c r="N180" s="161"/>
    </row>
    <row r="181" spans="2:14" ht="20.100000000000001" customHeight="1">
      <c r="B181" s="134" t="s">
        <v>597</v>
      </c>
      <c r="C181" s="2">
        <f>'Budget Detail FY 2020-27'!M365+'Budget Detail FY 2020-27'!M366+'Budget Detail FY 2020-27'!M382+'Budget Detail FY 2020-27'!M383+'Budget Detail FY 2020-27'!M384+'Budget Detail FY 2020-27'!M385</f>
        <v>46637</v>
      </c>
      <c r="D181" s="2">
        <f>'Budget Detail FY 2020-27'!N365+'Budget Detail FY 2020-27'!N366+'Budget Detail FY 2020-27'!N382+'Budget Detail FY 2020-27'!N383+'Budget Detail FY 2020-27'!N384+'Budget Detail FY 2020-27'!N385</f>
        <v>109435</v>
      </c>
      <c r="E181" s="2">
        <f>'Budget Detail FY 2020-27'!O365+'Budget Detail FY 2020-27'!O366+'Budget Detail FY 2020-27'!O382+'Budget Detail FY 2020-27'!O383+'Budget Detail FY 2020-27'!O384+'Budget Detail FY 2020-27'!O385</f>
        <v>102500</v>
      </c>
      <c r="F181" s="2">
        <f>'Budget Detail FY 2020-27'!P365+'Budget Detail FY 2020-27'!P366+'Budget Detail FY 2020-27'!P382+'Budget Detail FY 2020-27'!P383+'Budget Detail FY 2020-27'!P384+'Budget Detail FY 2020-27'!P385</f>
        <v>75000</v>
      </c>
      <c r="G181" s="2">
        <f>'Budget Detail FY 2020-27'!Q365+'Budget Detail FY 2020-27'!Q366+'Budget Detail FY 2020-27'!Q382+'Budget Detail FY 2020-27'!Q383+'Budget Detail FY 2020-27'!Q384+'Budget Detail FY 2020-27'!Q385</f>
        <v>105000</v>
      </c>
      <c r="H181" s="2">
        <f>'Budget Detail FY 2020-27'!Q365+'Budget Detail FY 2020-27'!Q366+'Budget Detail FY 2020-27'!Q382+'Budget Detail FY 2020-27'!Q383+'Budget Detail FY 2020-27'!Q384+'Budget Detail FY 2020-27'!Q385</f>
        <v>105000</v>
      </c>
      <c r="I181" s="2">
        <f>'Budget Detail FY 2020-27'!R365+'Budget Detail FY 2020-27'!R366+'Budget Detail FY 2020-27'!R382+'Budget Detail FY 2020-27'!R383+'Budget Detail FY 2020-27'!R384+'Budget Detail FY 2020-27'!R385</f>
        <v>105000</v>
      </c>
      <c r="J181" s="2">
        <f>'Budget Detail FY 2020-27'!S365+'Budget Detail FY 2020-27'!S366+'Budget Detail FY 2020-27'!S382+'Budget Detail FY 2020-27'!S383+'Budget Detail FY 2020-27'!S384+'Budget Detail FY 2020-27'!S385</f>
        <v>105000</v>
      </c>
      <c r="K181" s="2">
        <f>'Budget Detail FY 2020-27'!T365+'Budget Detail FY 2020-27'!T366+'Budget Detail FY 2020-27'!T382+'Budget Detail FY 2020-27'!T383+'Budget Detail FY 2020-27'!T384+'Budget Detail FY 2020-27'!T385</f>
        <v>105000</v>
      </c>
      <c r="L181" s="663"/>
      <c r="M181" s="663"/>
      <c r="N181" s="161"/>
    </row>
    <row r="182" spans="2:14" ht="20.100000000000001" customHeight="1">
      <c r="B182" s="134" t="s">
        <v>598</v>
      </c>
      <c r="C182" s="2">
        <f>SUM('Budget Detail FY 2020-27'!M386:M408)+'Budget Detail FY 2020-27'!M367+'Budget Detail FY 2020-27'!M368</f>
        <v>663393</v>
      </c>
      <c r="D182" s="2">
        <f>SUM('Budget Detail FY 2020-27'!N386:N408)+'Budget Detail FY 2020-27'!N367+'Budget Detail FY 2020-27'!N368</f>
        <v>2399218</v>
      </c>
      <c r="E182" s="2">
        <f>SUM('Budget Detail FY 2020-27'!O386:O408)+'Budget Detail FY 2020-27'!O367+'Budget Detail FY 2020-27'!O368</f>
        <v>4403876</v>
      </c>
      <c r="F182" s="2">
        <f>SUM('Budget Detail FY 2020-27'!P386:P408)+'Budget Detail FY 2020-27'!P367+'Budget Detail FY 2020-27'!P368</f>
        <v>3353500</v>
      </c>
      <c r="G182" s="2">
        <f>SUM('Budget Detail FY 2020-27'!Q386:Q408)+'Budget Detail FY 2020-27'!Q367+'Budget Detail FY 2020-27'!Q368</f>
        <v>4918224</v>
      </c>
      <c r="H182" s="2">
        <f>SUM('Budget Detail FY 2020-27'!R386:R408)+'Budget Detail FY 2020-27'!R367+'Budget Detail FY 2020-27'!R368</f>
        <v>4672235</v>
      </c>
      <c r="I182" s="2">
        <f>SUM('Budget Detail FY 2020-27'!S386:S408)+'Budget Detail FY 2020-27'!S367+'Budget Detail FY 2020-27'!S368</f>
        <v>3013427</v>
      </c>
      <c r="J182" s="2">
        <f>SUM('Budget Detail FY 2020-27'!T386:T408)+'Budget Detail FY 2020-27'!T367+'Budget Detail FY 2020-27'!T368</f>
        <v>1362467</v>
      </c>
      <c r="K182" s="2">
        <f>SUM('Budget Detail FY 2020-27'!U386:U408)+'Budget Detail FY 2020-27'!U367+'Budget Detail FY 2020-27'!U368</f>
        <v>1501000</v>
      </c>
      <c r="L182" s="663"/>
      <c r="M182" s="663"/>
      <c r="N182" s="161"/>
    </row>
    <row r="183" spans="2:14" ht="20.100000000000001" customHeight="1">
      <c r="B183" s="134" t="s">
        <v>543</v>
      </c>
      <c r="C183" s="2">
        <f>SUM('Budget Detail FY 2020-27'!M410:M411)</f>
        <v>322188</v>
      </c>
      <c r="D183" s="2">
        <f>SUM('Budget Detail FY 2020-27'!N410:N411)</f>
        <v>321338</v>
      </c>
      <c r="E183" s="2">
        <f>SUM('Budget Detail FY 2020-27'!O410:O411)</f>
        <v>315338</v>
      </c>
      <c r="F183" s="2">
        <f>SUM('Budget Detail FY 2020-27'!P410:P411)</f>
        <v>315338</v>
      </c>
      <c r="G183" s="2">
        <f>SUM('Budget Detail FY 2020-27'!Q410:Q411)</f>
        <v>319338</v>
      </c>
      <c r="H183" s="2">
        <f>SUM('Budget Detail FY 2020-27'!R410:R411)</f>
        <v>313038</v>
      </c>
      <c r="I183" s="2">
        <f>SUM('Budget Detail FY 2020-27'!S410:S411)</f>
        <v>316738</v>
      </c>
      <c r="J183" s="2">
        <f>SUM('Budget Detail FY 2020-27'!T410:T411)</f>
        <v>315138</v>
      </c>
      <c r="K183" s="2">
        <f>SUM('Budget Detail FY 2020-27'!U410:U411)</f>
        <v>313388</v>
      </c>
      <c r="L183" s="663"/>
      <c r="M183" s="663"/>
      <c r="N183" s="161"/>
    </row>
    <row r="184" spans="2:14" s="470" customFormat="1" ht="20.100000000000001" customHeight="1">
      <c r="B184" s="515" t="s">
        <v>600</v>
      </c>
      <c r="C184" s="514">
        <f t="shared" ref="C184:K184" si="19">SUM(C180:C183)</f>
        <v>1224131</v>
      </c>
      <c r="D184" s="514">
        <f t="shared" si="19"/>
        <v>3122610</v>
      </c>
      <c r="E184" s="514">
        <f t="shared" si="19"/>
        <v>5055903</v>
      </c>
      <c r="F184" s="514">
        <f t="shared" si="19"/>
        <v>4005527</v>
      </c>
      <c r="G184" s="514">
        <f t="shared" si="19"/>
        <v>5487864</v>
      </c>
      <c r="H184" s="514">
        <f t="shared" si="19"/>
        <v>5237585</v>
      </c>
      <c r="I184" s="514">
        <f t="shared" si="19"/>
        <v>3589907</v>
      </c>
      <c r="J184" s="514">
        <f t="shared" si="19"/>
        <v>2035223</v>
      </c>
      <c r="K184" s="514">
        <f t="shared" si="19"/>
        <v>2090355</v>
      </c>
      <c r="L184" s="406"/>
      <c r="M184" s="406"/>
      <c r="N184" s="161"/>
    </row>
    <row r="185" spans="2:14" s="470" customFormat="1" ht="6.9" customHeight="1">
      <c r="B185" s="134"/>
      <c r="C185" s="2"/>
      <c r="D185" s="2"/>
      <c r="E185" s="2"/>
      <c r="F185" s="2"/>
      <c r="G185" s="2"/>
      <c r="H185" s="2"/>
      <c r="I185" s="2"/>
      <c r="J185" s="2"/>
      <c r="K185" s="2"/>
      <c r="L185" s="663"/>
      <c r="M185" s="663"/>
      <c r="N185" s="161"/>
    </row>
    <row r="186" spans="2:14" ht="20.100000000000001" customHeight="1">
      <c r="B186" s="134" t="s">
        <v>599</v>
      </c>
      <c r="C186" s="2">
        <f>'Budget Detail FY 2020-27'!M371+'Budget Detail FY 2020-27'!M415+'Budget Detail FY 2020-27'!M414</f>
        <v>136998</v>
      </c>
      <c r="D186" s="2">
        <f>'Budget Detail FY 2020-27'!N371+'Budget Detail FY 2020-27'!N415+'Budget Detail FY 2020-27'!N414</f>
        <v>236584</v>
      </c>
      <c r="E186" s="2">
        <f>'Budget Detail FY 2020-27'!O371+'Budget Detail FY 2020-27'!O415+'Budget Detail FY 2020-27'!O414</f>
        <v>489382</v>
      </c>
      <c r="F186" s="2">
        <f>'Budget Detail FY 2020-27'!P371+'Budget Detail FY 2020-27'!P415+'Budget Detail FY 2020-27'!P414</f>
        <v>489382</v>
      </c>
      <c r="G186" s="2">
        <f>'Budget Detail FY 2020-27'!Q371+'Budget Detail FY 2020-27'!Q415+'Budget Detail FY 2020-27'!Q414</f>
        <v>104209</v>
      </c>
      <c r="H186" s="2">
        <f>'Budget Detail FY 2020-27'!R371+'Budget Detail FY 2020-27'!R415+'Budget Detail FY 2020-27'!R414</f>
        <v>104627</v>
      </c>
      <c r="I186" s="2">
        <f>'Budget Detail FY 2020-27'!S371+'Budget Detail FY 2020-27'!S415+'Budget Detail FY 2020-27'!S414</f>
        <v>104034</v>
      </c>
      <c r="J186" s="2">
        <f>'Budget Detail FY 2020-27'!T371+'Budget Detail FY 2020-27'!T415+'Budget Detail FY 2020-27'!T414</f>
        <v>55366</v>
      </c>
      <c r="K186" s="2">
        <f>'Budget Detail FY 2020-27'!U371+'Budget Detail FY 2020-27'!U415+'Budget Detail FY 2020-27'!U414</f>
        <v>54738</v>
      </c>
      <c r="L186" s="663"/>
      <c r="M186" s="663"/>
      <c r="N186" s="161"/>
    </row>
    <row r="187" spans="2:14" ht="20.100000000000001" customHeight="1" thickBot="1">
      <c r="B187" s="79" t="s">
        <v>1242</v>
      </c>
      <c r="C187" s="433">
        <f t="shared" ref="C187:K187" si="20">C184+C186</f>
        <v>1361129</v>
      </c>
      <c r="D187" s="433">
        <f t="shared" si="20"/>
        <v>3359194</v>
      </c>
      <c r="E187" s="433">
        <f t="shared" si="20"/>
        <v>5545285</v>
      </c>
      <c r="F187" s="433">
        <f t="shared" si="20"/>
        <v>4494909</v>
      </c>
      <c r="G187" s="433">
        <f t="shared" si="20"/>
        <v>5592073</v>
      </c>
      <c r="H187" s="433">
        <f t="shared" si="20"/>
        <v>5342212</v>
      </c>
      <c r="I187" s="433">
        <f t="shared" si="20"/>
        <v>3693941</v>
      </c>
      <c r="J187" s="433">
        <f t="shared" si="20"/>
        <v>2090589</v>
      </c>
      <c r="K187" s="433">
        <f t="shared" si="20"/>
        <v>2145093</v>
      </c>
      <c r="L187" s="406"/>
      <c r="M187" s="406"/>
      <c r="N187" s="661"/>
    </row>
    <row r="188" spans="2:14" ht="7.5" customHeight="1">
      <c r="B188" s="80"/>
      <c r="C188" s="2"/>
      <c r="D188" s="2"/>
      <c r="E188" s="2"/>
      <c r="F188" s="2"/>
      <c r="G188" s="2"/>
      <c r="H188" s="2"/>
      <c r="I188" s="2"/>
      <c r="J188" s="2"/>
      <c r="K188" s="2"/>
      <c r="L188" s="663"/>
      <c r="M188" s="663"/>
      <c r="N188" s="161"/>
    </row>
    <row r="189" spans="2:14" ht="20.100000000000001" customHeight="1">
      <c r="B189" s="133" t="s">
        <v>601</v>
      </c>
      <c r="C189" s="49">
        <f t="shared" ref="C189:K189" si="21">+C177-C187</f>
        <v>-41273</v>
      </c>
      <c r="D189" s="49">
        <f t="shared" si="21"/>
        <v>-468589</v>
      </c>
      <c r="E189" s="49">
        <f t="shared" si="21"/>
        <v>262787</v>
      </c>
      <c r="F189" s="49">
        <f t="shared" si="21"/>
        <v>1731500</v>
      </c>
      <c r="G189" s="49">
        <f t="shared" si="21"/>
        <v>-1596851</v>
      </c>
      <c r="H189" s="49">
        <f t="shared" si="21"/>
        <v>-221638</v>
      </c>
      <c r="I189" s="49">
        <f t="shared" si="21"/>
        <v>0</v>
      </c>
      <c r="J189" s="49">
        <f t="shared" si="21"/>
        <v>0</v>
      </c>
      <c r="K189" s="49">
        <f t="shared" si="21"/>
        <v>0</v>
      </c>
      <c r="L189" s="666"/>
      <c r="M189" s="666"/>
      <c r="N189" s="161"/>
    </row>
    <row r="190" spans="2:14" ht="7.5" customHeight="1">
      <c r="B190" s="84"/>
      <c r="C190" s="57"/>
      <c r="D190" s="57"/>
      <c r="E190" s="57"/>
      <c r="F190" s="57"/>
      <c r="G190" s="57"/>
      <c r="H190" s="57"/>
      <c r="I190" s="57"/>
      <c r="J190" s="57"/>
      <c r="K190" s="57"/>
      <c r="L190" s="668"/>
      <c r="M190" s="668"/>
      <c r="N190" s="161"/>
    </row>
    <row r="191" spans="2:14" ht="20.100000000000001" customHeight="1" thickBot="1">
      <c r="B191" s="78" t="s">
        <v>602</v>
      </c>
      <c r="C191" s="431">
        <v>588155</v>
      </c>
      <c r="D191" s="431">
        <v>119569</v>
      </c>
      <c r="E191" s="431">
        <v>467802</v>
      </c>
      <c r="F191" s="431">
        <f>D191+F189</f>
        <v>1851069</v>
      </c>
      <c r="G191" s="431">
        <f>F191+G189</f>
        <v>254218</v>
      </c>
      <c r="H191" s="431">
        <f>G191+H189</f>
        <v>32580</v>
      </c>
      <c r="I191" s="431">
        <f>H191+I189</f>
        <v>32580</v>
      </c>
      <c r="J191" s="431">
        <f>I191+J189</f>
        <v>32580</v>
      </c>
      <c r="K191" s="431">
        <f>J191+K189</f>
        <v>32580</v>
      </c>
      <c r="L191" s="406"/>
      <c r="M191" s="406"/>
      <c r="N191" s="161"/>
    </row>
    <row r="192" spans="2:14" ht="14.4" thickTop="1">
      <c r="N192" s="161"/>
    </row>
    <row r="193" spans="2:14">
      <c r="N193" s="161"/>
    </row>
    <row r="194" spans="2:14">
      <c r="N194" s="161"/>
    </row>
    <row r="195" spans="2:14">
      <c r="N195" s="161"/>
    </row>
    <row r="196" spans="2:14">
      <c r="N196" s="161"/>
    </row>
    <row r="197" spans="2:14">
      <c r="N197" s="161"/>
    </row>
    <row r="198" spans="2:14">
      <c r="N198" s="161"/>
    </row>
    <row r="199" spans="2:14">
      <c r="N199" s="161"/>
    </row>
    <row r="200" spans="2:14">
      <c r="N200" s="161"/>
    </row>
    <row r="201" spans="2:14">
      <c r="N201" s="161"/>
    </row>
    <row r="202" spans="2:14">
      <c r="N202" s="161"/>
    </row>
    <row r="203" spans="2:14">
      <c r="N203" s="161"/>
    </row>
    <row r="204" spans="2:14">
      <c r="N204" s="161"/>
    </row>
    <row r="205" spans="2:14">
      <c r="N205" s="161"/>
    </row>
    <row r="206" spans="2:14" s="526" customFormat="1">
      <c r="C206" s="464"/>
      <c r="D206" s="464"/>
      <c r="E206" s="464"/>
      <c r="F206" s="464"/>
      <c r="G206" s="464"/>
      <c r="H206" s="464"/>
      <c r="I206" s="464"/>
      <c r="J206" s="464"/>
      <c r="K206" s="464"/>
      <c r="L206" s="672"/>
      <c r="M206" s="672"/>
      <c r="N206" s="161"/>
    </row>
    <row r="207" spans="2:14" s="526" customFormat="1">
      <c r="C207" s="464"/>
      <c r="D207" s="464"/>
      <c r="E207" s="464"/>
      <c r="F207" s="464"/>
      <c r="G207" s="464"/>
      <c r="H207" s="464"/>
      <c r="I207" s="464"/>
      <c r="J207" s="464"/>
      <c r="K207" s="464"/>
      <c r="L207" s="672"/>
      <c r="M207" s="672"/>
      <c r="N207" s="161"/>
    </row>
    <row r="208" spans="2:14" s="526" customFormat="1" ht="17.399999999999999">
      <c r="B208" s="682" t="s">
        <v>1330</v>
      </c>
      <c r="C208" s="682"/>
      <c r="D208" s="682"/>
      <c r="E208" s="682"/>
      <c r="F208" s="682"/>
      <c r="G208" s="682"/>
      <c r="H208" s="682"/>
      <c r="I208" s="682"/>
      <c r="J208" s="682"/>
      <c r="K208" s="682"/>
      <c r="L208" s="662"/>
      <c r="M208" s="662"/>
      <c r="N208" s="161"/>
    </row>
    <row r="209" spans="2:14" s="526" customFormat="1">
      <c r="B209" s="43"/>
      <c r="C209" s="2"/>
      <c r="D209" s="2"/>
      <c r="E209" s="2"/>
      <c r="F209" s="2"/>
      <c r="G209" s="2"/>
      <c r="H209" s="2"/>
      <c r="I209" s="2"/>
      <c r="J209" s="2"/>
      <c r="K209" s="2"/>
      <c r="L209" s="663"/>
      <c r="M209" s="663"/>
      <c r="N209" s="161"/>
    </row>
    <row r="210" spans="2:14" s="526" customFormat="1" ht="15" customHeight="1">
      <c r="B210" s="683" t="s">
        <v>1364</v>
      </c>
      <c r="C210" s="683"/>
      <c r="D210" s="683"/>
      <c r="E210" s="683"/>
      <c r="F210" s="683"/>
      <c r="G210" s="683"/>
      <c r="H210" s="683"/>
      <c r="I210" s="683"/>
      <c r="J210" s="683"/>
      <c r="K210" s="683"/>
      <c r="L210" s="664"/>
      <c r="M210" s="664"/>
      <c r="N210" s="161"/>
    </row>
    <row r="211" spans="2:14" s="526" customFormat="1" ht="15" customHeight="1">
      <c r="B211" s="683"/>
      <c r="C211" s="683"/>
      <c r="D211" s="683"/>
      <c r="E211" s="683"/>
      <c r="F211" s="683"/>
      <c r="G211" s="683"/>
      <c r="H211" s="683"/>
      <c r="I211" s="683"/>
      <c r="J211" s="683"/>
      <c r="K211" s="683"/>
      <c r="L211" s="664"/>
      <c r="M211" s="664"/>
      <c r="N211" s="161"/>
    </row>
    <row r="212" spans="2:14" s="526" customFormat="1" ht="7.5" customHeight="1">
      <c r="B212" s="524"/>
      <c r="C212" s="16"/>
      <c r="D212" s="16"/>
      <c r="E212" s="16"/>
      <c r="F212" s="16"/>
      <c r="G212" s="16"/>
      <c r="H212" s="2"/>
      <c r="I212" s="2"/>
      <c r="J212" s="2"/>
      <c r="K212" s="2"/>
      <c r="L212" s="663"/>
      <c r="M212" s="663"/>
      <c r="N212" s="161"/>
    </row>
    <row r="213" spans="2:14" s="526" customFormat="1">
      <c r="B213" s="528"/>
      <c r="C213" s="43"/>
      <c r="D213" s="573"/>
      <c r="E213" s="43" t="s">
        <v>815</v>
      </c>
      <c r="F213" s="573"/>
      <c r="G213" s="43" t="s">
        <v>816</v>
      </c>
      <c r="H213" s="573"/>
      <c r="I213" s="573"/>
      <c r="J213" s="573"/>
      <c r="K213" s="573"/>
      <c r="L213" s="304"/>
      <c r="M213" s="304"/>
      <c r="N213" s="161"/>
    </row>
    <row r="214" spans="2:14" s="526" customFormat="1">
      <c r="B214" s="43"/>
      <c r="C214" s="43" t="s">
        <v>813</v>
      </c>
      <c r="D214" s="43" t="s">
        <v>814</v>
      </c>
      <c r="E214" s="43" t="s">
        <v>583</v>
      </c>
      <c r="F214" s="43" t="s">
        <v>815</v>
      </c>
      <c r="G214" s="156" t="str">
        <f>'Fund Cover Sheets'!$N$1</f>
        <v>Adopted</v>
      </c>
      <c r="H214" s="43" t="s">
        <v>817</v>
      </c>
      <c r="I214" s="43" t="s">
        <v>818</v>
      </c>
      <c r="J214" s="43" t="s">
        <v>819</v>
      </c>
      <c r="K214" s="43" t="s">
        <v>820</v>
      </c>
      <c r="L214" s="665"/>
      <c r="M214" s="665"/>
      <c r="N214" s="161"/>
    </row>
    <row r="215" spans="2:14" s="526" customFormat="1" ht="14.4" thickBot="1">
      <c r="B215" s="44"/>
      <c r="C215" s="45" t="s">
        <v>1</v>
      </c>
      <c r="D215" s="45" t="s">
        <v>1</v>
      </c>
      <c r="E215" s="45" t="s">
        <v>553</v>
      </c>
      <c r="F215" s="45" t="s">
        <v>19</v>
      </c>
      <c r="G215" s="45" t="s">
        <v>553</v>
      </c>
      <c r="H215" s="45" t="s">
        <v>19</v>
      </c>
      <c r="I215" s="45" t="s">
        <v>19</v>
      </c>
      <c r="J215" s="45" t="s">
        <v>19</v>
      </c>
      <c r="K215" s="45" t="s">
        <v>19</v>
      </c>
      <c r="L215" s="566"/>
      <c r="M215" s="566"/>
      <c r="N215" s="161"/>
    </row>
    <row r="216" spans="2:14" s="526" customFormat="1">
      <c r="B216" s="527"/>
      <c r="C216" s="52"/>
      <c r="D216" s="2"/>
      <c r="E216" s="2"/>
      <c r="F216" s="2"/>
      <c r="G216" s="2"/>
      <c r="H216" s="2"/>
      <c r="I216" s="2"/>
      <c r="J216" s="2"/>
      <c r="K216" s="2"/>
      <c r="L216" s="663"/>
      <c r="M216" s="663"/>
      <c r="N216" s="161"/>
    </row>
    <row r="217" spans="2:14" s="526" customFormat="1">
      <c r="B217" s="80" t="s">
        <v>685</v>
      </c>
      <c r="C217" s="2"/>
      <c r="D217" s="2"/>
      <c r="E217" s="2"/>
      <c r="F217" s="2"/>
      <c r="G217" s="2"/>
      <c r="H217" s="2"/>
      <c r="I217" s="2"/>
      <c r="J217" s="2"/>
      <c r="K217" s="2"/>
      <c r="L217" s="663"/>
      <c r="M217" s="663"/>
      <c r="N217" s="161"/>
    </row>
    <row r="218" spans="2:14" s="526" customFormat="1" ht="20.100000000000001" customHeight="1">
      <c r="B218" s="134" t="s">
        <v>586</v>
      </c>
      <c r="C218" s="49">
        <f>'Budget Detail FY 2020-27'!M432</f>
        <v>0</v>
      </c>
      <c r="D218" s="49">
        <f>'Budget Detail FY 2020-27'!N432</f>
        <v>0</v>
      </c>
      <c r="E218" s="49">
        <f>'Budget Detail FY 2020-27'!O432</f>
        <v>35000</v>
      </c>
      <c r="F218" s="49">
        <f>'Budget Detail FY 2020-27'!P432</f>
        <v>25000</v>
      </c>
      <c r="G218" s="49">
        <f>'Budget Detail FY 2020-27'!Q432</f>
        <v>30000</v>
      </c>
      <c r="H218" s="49">
        <f>'Budget Detail FY 2020-27'!R432</f>
        <v>30000</v>
      </c>
      <c r="I218" s="49">
        <f>'Budget Detail FY 2020-27'!S432</f>
        <v>30000</v>
      </c>
      <c r="J218" s="49">
        <f>'Budget Detail FY 2020-27'!T432</f>
        <v>30000</v>
      </c>
      <c r="K218" s="49">
        <f>'Budget Detail FY 2020-27'!U432</f>
        <v>30000</v>
      </c>
      <c r="L218" s="666"/>
      <c r="M218" s="666"/>
      <c r="N218" s="161"/>
    </row>
    <row r="219" spans="2:14" s="536" customFormat="1" ht="20.100000000000001" customHeight="1">
      <c r="B219" s="134" t="s">
        <v>588</v>
      </c>
      <c r="C219" s="2">
        <f>'Budget Detail FY 2020-27'!M433</f>
        <v>0</v>
      </c>
      <c r="D219" s="2">
        <f>'Budget Detail FY 2020-27'!N433</f>
        <v>0</v>
      </c>
      <c r="E219" s="2">
        <f>'Budget Detail FY 2020-27'!O433</f>
        <v>147738</v>
      </c>
      <c r="F219" s="2">
        <f>'Budget Detail FY 2020-27'!P433</f>
        <v>108703</v>
      </c>
      <c r="G219" s="2">
        <f>'Budget Detail FY 2020-27'!Q433</f>
        <v>199586</v>
      </c>
      <c r="H219" s="2">
        <f>'Budget Detail FY 2020-27'!R433</f>
        <v>151193</v>
      </c>
      <c r="I219" s="2">
        <f>'Budget Detail FY 2020-27'!S433</f>
        <v>154887</v>
      </c>
      <c r="J219" s="2">
        <f>'Budget Detail FY 2020-27'!T433</f>
        <v>162656</v>
      </c>
      <c r="K219" s="2">
        <f>'Budget Detail FY 2020-27'!U433</f>
        <v>170147</v>
      </c>
      <c r="L219" s="663"/>
      <c r="M219" s="663"/>
      <c r="N219" s="161"/>
    </row>
    <row r="220" spans="2:14" s="526" customFormat="1" ht="20.100000000000001" customHeight="1">
      <c r="B220" s="134" t="s">
        <v>589</v>
      </c>
      <c r="C220" s="2">
        <f>'Budget Detail FY 2020-27'!M434</f>
        <v>0</v>
      </c>
      <c r="D220" s="2">
        <f>'Budget Detail FY 2020-27'!N434</f>
        <v>0</v>
      </c>
      <c r="E220" s="2">
        <f>'Budget Detail FY 2020-27'!O434</f>
        <v>3000</v>
      </c>
      <c r="F220" s="2">
        <f>'Budget Detail FY 2020-27'!P434</f>
        <v>800</v>
      </c>
      <c r="G220" s="2">
        <f>'Budget Detail FY 2020-27'!Q434</f>
        <v>1200</v>
      </c>
      <c r="H220" s="2">
        <f>'Budget Detail FY 2020-27'!R434</f>
        <v>1500</v>
      </c>
      <c r="I220" s="2">
        <f>'Budget Detail FY 2020-27'!S434</f>
        <v>2000</v>
      </c>
      <c r="J220" s="2">
        <f>'Budget Detail FY 2020-27'!T434</f>
        <v>3000</v>
      </c>
      <c r="K220" s="2">
        <f>'Budget Detail FY 2020-27'!U434</f>
        <v>3000</v>
      </c>
      <c r="L220" s="663"/>
      <c r="M220" s="663"/>
      <c r="N220" s="161"/>
    </row>
    <row r="221" spans="2:14" s="526" customFormat="1" ht="20.100000000000001" customHeight="1">
      <c r="B221" s="134" t="s">
        <v>591</v>
      </c>
      <c r="C221" s="2">
        <f>'Budget Detail FY 2020-27'!M435</f>
        <v>0</v>
      </c>
      <c r="D221" s="2">
        <f>'Budget Detail FY 2020-27'!N435</f>
        <v>0</v>
      </c>
      <c r="E221" s="2">
        <f>'Budget Detail FY 2020-27'!O435</f>
        <v>2000</v>
      </c>
      <c r="F221" s="2">
        <f>'Budget Detail FY 2020-27'!P435</f>
        <v>0</v>
      </c>
      <c r="G221" s="2">
        <f>'Budget Detail FY 2020-27'!Q435</f>
        <v>0</v>
      </c>
      <c r="H221" s="2">
        <f>'Budget Detail FY 2020-27'!R435</f>
        <v>0</v>
      </c>
      <c r="I221" s="2">
        <f>'Budget Detail FY 2020-27'!S435</f>
        <v>0</v>
      </c>
      <c r="J221" s="2">
        <f>'Budget Detail FY 2020-27'!T435</f>
        <v>0</v>
      </c>
      <c r="K221" s="2">
        <f>'Budget Detail FY 2020-27'!U435</f>
        <v>0</v>
      </c>
      <c r="L221" s="663"/>
      <c r="M221" s="663"/>
      <c r="N221" s="161"/>
    </row>
    <row r="222" spans="2:14" s="526" customFormat="1" ht="20.100000000000001" customHeight="1">
      <c r="B222" s="515" t="s">
        <v>1241</v>
      </c>
      <c r="C222" s="514">
        <f t="shared" ref="C222:K222" si="22">SUM(C218:C221)</f>
        <v>0</v>
      </c>
      <c r="D222" s="514">
        <f t="shared" si="22"/>
        <v>0</v>
      </c>
      <c r="E222" s="514">
        <f t="shared" si="22"/>
        <v>187738</v>
      </c>
      <c r="F222" s="514">
        <f t="shared" si="22"/>
        <v>134503</v>
      </c>
      <c r="G222" s="514">
        <f t="shared" si="22"/>
        <v>230786</v>
      </c>
      <c r="H222" s="514">
        <f t="shared" si="22"/>
        <v>182693</v>
      </c>
      <c r="I222" s="514">
        <f t="shared" si="22"/>
        <v>186887</v>
      </c>
      <c r="J222" s="514">
        <f t="shared" si="22"/>
        <v>195656</v>
      </c>
      <c r="K222" s="514">
        <f t="shared" si="22"/>
        <v>203147</v>
      </c>
      <c r="L222" s="406"/>
      <c r="M222" s="406"/>
      <c r="N222" s="161"/>
    </row>
    <row r="223" spans="2:14" s="526" customFormat="1" ht="6.9" customHeight="1">
      <c r="B223" s="134"/>
      <c r="C223" s="2"/>
      <c r="D223" s="2"/>
      <c r="E223" s="2"/>
      <c r="F223" s="2"/>
      <c r="G223" s="2"/>
      <c r="H223" s="2"/>
      <c r="I223" s="2"/>
      <c r="J223" s="2"/>
      <c r="K223" s="2"/>
      <c r="L223" s="663"/>
      <c r="M223" s="663"/>
      <c r="N223" s="161"/>
    </row>
    <row r="224" spans="2:14" s="526" customFormat="1" ht="20.100000000000001" customHeight="1">
      <c r="B224" s="134" t="s">
        <v>592</v>
      </c>
      <c r="C224" s="2">
        <f>'Budget Detail FY 2020-27'!M444</f>
        <v>0</v>
      </c>
      <c r="D224" s="2">
        <f>'Budget Detail FY 2020-27'!N444</f>
        <v>0</v>
      </c>
      <c r="E224" s="2">
        <f>'Budget Detail FY 2020-27'!O444</f>
        <v>9396511</v>
      </c>
      <c r="F224" s="2">
        <f>'Budget Detail FY 2020-27'!P444</f>
        <v>13512024</v>
      </c>
      <c r="G224" s="2">
        <f>'Budget Detail FY 2020-27'!Q444</f>
        <v>776443</v>
      </c>
      <c r="H224" s="2">
        <f>'Budget Detail FY 2020-27'!R444</f>
        <v>22402686</v>
      </c>
      <c r="I224" s="2">
        <f>'Budget Detail FY 2020-27'!S444</f>
        <v>1160440</v>
      </c>
      <c r="J224" s="2">
        <f>'Budget Detail FY 2020-27'!T444</f>
        <v>1494878</v>
      </c>
      <c r="K224" s="2">
        <f>'Budget Detail FY 2020-27'!U444</f>
        <v>1837264</v>
      </c>
      <c r="L224" s="663"/>
      <c r="M224" s="663"/>
      <c r="N224" s="161"/>
    </row>
    <row r="225" spans="2:14" s="526" customFormat="1" ht="20.100000000000001" customHeight="1" thickBot="1">
      <c r="B225" s="79" t="s">
        <v>1243</v>
      </c>
      <c r="C225" s="433">
        <f t="shared" ref="C225:K225" si="23">C222+C224</f>
        <v>0</v>
      </c>
      <c r="D225" s="433">
        <f t="shared" si="23"/>
        <v>0</v>
      </c>
      <c r="E225" s="433">
        <f t="shared" si="23"/>
        <v>9584249</v>
      </c>
      <c r="F225" s="433">
        <f t="shared" si="23"/>
        <v>13646527</v>
      </c>
      <c r="G225" s="433">
        <f t="shared" si="23"/>
        <v>1007229</v>
      </c>
      <c r="H225" s="433">
        <f t="shared" si="23"/>
        <v>22585379</v>
      </c>
      <c r="I225" s="433">
        <f t="shared" si="23"/>
        <v>1347327</v>
      </c>
      <c r="J225" s="433">
        <f t="shared" si="23"/>
        <v>1690534</v>
      </c>
      <c r="K225" s="433">
        <f t="shared" si="23"/>
        <v>2040411</v>
      </c>
      <c r="L225" s="406"/>
      <c r="M225" s="406"/>
      <c r="N225" s="161"/>
    </row>
    <row r="226" spans="2:14" s="526" customFormat="1" ht="7.5" customHeight="1">
      <c r="B226" s="527"/>
      <c r="C226" s="2"/>
      <c r="D226" s="2"/>
      <c r="E226" s="2"/>
      <c r="F226" s="2"/>
      <c r="G226" s="2"/>
      <c r="H226" s="2"/>
      <c r="I226" s="2"/>
      <c r="J226" s="2"/>
      <c r="K226" s="2"/>
      <c r="L226" s="663"/>
      <c r="M226" s="663"/>
      <c r="N226" s="161"/>
    </row>
    <row r="227" spans="2:14" s="526" customFormat="1">
      <c r="B227" s="80" t="s">
        <v>424</v>
      </c>
      <c r="C227" s="2"/>
      <c r="D227" s="2"/>
      <c r="E227" s="2"/>
      <c r="F227" s="2"/>
      <c r="G227" s="2"/>
      <c r="H227" s="2"/>
      <c r="I227" s="2"/>
      <c r="J227" s="2"/>
      <c r="K227" s="2"/>
      <c r="L227" s="663"/>
      <c r="M227" s="663"/>
      <c r="N227" s="161"/>
    </row>
    <row r="228" spans="2:14" s="536" customFormat="1" ht="20.100000000000001" customHeight="1">
      <c r="B228" s="134" t="s">
        <v>594</v>
      </c>
      <c r="C228" s="49">
        <f>'Budget Detail FY 2020-27'!M449</f>
        <v>0</v>
      </c>
      <c r="D228" s="49">
        <f>'Budget Detail FY 2020-27'!N449</f>
        <v>0</v>
      </c>
      <c r="E228" s="49">
        <f>'Budget Detail FY 2020-27'!O449</f>
        <v>50117</v>
      </c>
      <c r="F228" s="49">
        <f>'Budget Detail FY 2020-27'!P449</f>
        <v>34500</v>
      </c>
      <c r="G228" s="49">
        <f>'Budget Detail FY 2020-27'!Q449</f>
        <v>54720</v>
      </c>
      <c r="H228" s="49">
        <f>'Budget Detail FY 2020-27'!R449</f>
        <v>56362</v>
      </c>
      <c r="I228" s="49">
        <f>'Budget Detail FY 2020-27'!S449</f>
        <v>58053</v>
      </c>
      <c r="J228" s="49">
        <f>'Budget Detail FY 2020-27'!T449</f>
        <v>59795</v>
      </c>
      <c r="K228" s="49">
        <f>'Budget Detail FY 2020-27'!U449</f>
        <v>61589</v>
      </c>
      <c r="L228" s="666"/>
      <c r="M228" s="666"/>
      <c r="N228" s="161"/>
    </row>
    <row r="229" spans="2:14" s="536" customFormat="1" ht="20.100000000000001" customHeight="1">
      <c r="B229" s="134" t="s">
        <v>595</v>
      </c>
      <c r="C229" s="2">
        <f>'Budget Detail FY 2020-27'!M450+'Budget Detail FY 2020-27'!M451+'Budget Detail FY 2020-27'!M452+'Budget Detail FY 2020-27'!M453+'Budget Detail FY 2020-27'!M454+'Budget Detail FY 2020-27'!M455</f>
        <v>0</v>
      </c>
      <c r="D229" s="2">
        <f>'Budget Detail FY 2020-27'!N450+'Budget Detail FY 2020-27'!N451+'Budget Detail FY 2020-27'!N452+'Budget Detail FY 2020-27'!N453+'Budget Detail FY 2020-27'!N454+'Budget Detail FY 2020-27'!N455</f>
        <v>0</v>
      </c>
      <c r="E229" s="2">
        <f>'Budget Detail FY 2020-27'!O450+'Budget Detail FY 2020-27'!O451+'Budget Detail FY 2020-27'!O452+'Budget Detail FY 2020-27'!O453+'Budget Detail FY 2020-27'!O454+'Budget Detail FY 2020-27'!O455</f>
        <v>32111</v>
      </c>
      <c r="F229" s="2">
        <f>'Budget Detail FY 2020-27'!P450+'Budget Detail FY 2020-27'!P451+'Budget Detail FY 2020-27'!P452+'Budget Detail FY 2020-27'!P453+'Budget Detail FY 2020-27'!P454+'Budget Detail FY 2020-27'!P455</f>
        <v>8282</v>
      </c>
      <c r="G229" s="2">
        <f>'Budget Detail FY 2020-27'!Q450+'Budget Detail FY 2020-27'!Q451+'Budget Detail FY 2020-27'!Q452+'Budget Detail FY 2020-27'!Q453+'Budget Detail FY 2020-27'!Q454+'Budget Detail FY 2020-27'!Q455</f>
        <v>12135</v>
      </c>
      <c r="H229" s="2">
        <f>'Budget Detail FY 2020-27'!R450+'Budget Detail FY 2020-27'!R451+'Budget Detail FY 2020-27'!R452+'Budget Detail FY 2020-27'!R453+'Budget Detail FY 2020-27'!R454+'Budget Detail FY 2020-27'!R455</f>
        <v>12601</v>
      </c>
      <c r="I229" s="2">
        <f>'Budget Detail FY 2020-27'!S450+'Budget Detail FY 2020-27'!S451+'Budget Detail FY 2020-27'!S452+'Budget Detail FY 2020-27'!S453+'Budget Detail FY 2020-27'!S454+'Budget Detail FY 2020-27'!S455</f>
        <v>13104</v>
      </c>
      <c r="J229" s="2">
        <f>'Budget Detail FY 2020-27'!T450+'Budget Detail FY 2020-27'!T451+'Budget Detail FY 2020-27'!T452+'Budget Detail FY 2020-27'!T453+'Budget Detail FY 2020-27'!T454+'Budget Detail FY 2020-27'!T455</f>
        <v>13628</v>
      </c>
      <c r="K229" s="2">
        <f>'Budget Detail FY 2020-27'!U450+'Budget Detail FY 2020-27'!U451+'Budget Detail FY 2020-27'!U452+'Budget Detail FY 2020-27'!U453+'Budget Detail FY 2020-27'!U454+'Budget Detail FY 2020-27'!U455</f>
        <v>14186</v>
      </c>
      <c r="L229" s="663"/>
      <c r="M229" s="663"/>
      <c r="N229" s="161"/>
    </row>
    <row r="230" spans="2:14" s="526" customFormat="1" ht="20.100000000000001" customHeight="1">
      <c r="B230" s="134" t="s">
        <v>596</v>
      </c>
      <c r="C230" s="2">
        <f>'Budget Detail FY 2020-27'!M458+'Budget Detail FY 2020-27'!M459+'Budget Detail FY 2020-27'!M461+'Budget Detail FY 2020-27'!M456+'Budget Detail FY 2020-27'!M457+'Budget Detail FY 2020-27'!M460</f>
        <v>0</v>
      </c>
      <c r="D230" s="2">
        <f>'Budget Detail FY 2020-27'!N458+'Budget Detail FY 2020-27'!N459+'Budget Detail FY 2020-27'!N461+'Budget Detail FY 2020-27'!N456+'Budget Detail FY 2020-27'!N457+'Budget Detail FY 2020-27'!N460</f>
        <v>0</v>
      </c>
      <c r="E230" s="2">
        <f>'Budget Detail FY 2020-27'!O458+'Budget Detail FY 2020-27'!O459+'Budget Detail FY 2020-27'!O461+'Budget Detail FY 2020-27'!O456+'Budget Detail FY 2020-27'!O457+'Budget Detail FY 2020-27'!O460</f>
        <v>307988</v>
      </c>
      <c r="F230" s="2">
        <f>'Budget Detail FY 2020-27'!P458+'Budget Detail FY 2020-27'!P459+'Budget Detail FY 2020-27'!P461+'Budget Detail FY 2020-27'!P456+'Budget Detail FY 2020-27'!P457+'Budget Detail FY 2020-27'!P460</f>
        <v>332457</v>
      </c>
      <c r="G230" s="2">
        <f>'Budget Detail FY 2020-27'!Q458+'Budget Detail FY 2020-27'!Q459+'Budget Detail FY 2020-27'!Q461+'Budget Detail FY 2020-27'!Q456+'Budget Detail FY 2020-27'!Q457+'Budget Detail FY 2020-27'!Q460</f>
        <v>275303</v>
      </c>
      <c r="H230" s="2">
        <f>'Budget Detail FY 2020-27'!R458+'Budget Detail FY 2020-27'!R459+'Budget Detail FY 2020-27'!R461+'Budget Detail FY 2020-27'!R456+'Budget Detail FY 2020-27'!R457+'Budget Detail FY 2020-27'!R460</f>
        <v>425953</v>
      </c>
      <c r="I230" s="2">
        <f>'Budget Detail FY 2020-27'!S458+'Budget Detail FY 2020-27'!S459+'Budget Detail FY 2020-27'!S461+'Budget Detail FY 2020-27'!S456+'Budget Detail FY 2020-27'!S457+'Budget Detail FY 2020-27'!S460</f>
        <v>225909</v>
      </c>
      <c r="J230" s="2">
        <f>'Budget Detail FY 2020-27'!T458+'Budget Detail FY 2020-27'!T459+'Budget Detail FY 2020-27'!T461+'Budget Detail FY 2020-27'!T456+'Budget Detail FY 2020-27'!T457+'Budget Detail FY 2020-27'!T460</f>
        <v>231208</v>
      </c>
      <c r="K230" s="2">
        <f>'Budget Detail FY 2020-27'!U458+'Budget Detail FY 2020-27'!U459+'Budget Detail FY 2020-27'!U461+'Budget Detail FY 2020-27'!U456+'Budget Detail FY 2020-27'!U457+'Budget Detail FY 2020-27'!U460</f>
        <v>236136</v>
      </c>
      <c r="L230" s="663"/>
      <c r="M230" s="663"/>
      <c r="N230" s="161"/>
    </row>
    <row r="231" spans="2:14" s="526" customFormat="1" ht="20.100000000000001" customHeight="1">
      <c r="B231" s="134" t="s">
        <v>597</v>
      </c>
      <c r="C231" s="2">
        <f>'Budget Detail FY 2020-27'!M463+'Budget Detail FY 2020-27'!M464+'Budget Detail FY 2020-27'!M462</f>
        <v>0</v>
      </c>
      <c r="D231" s="2">
        <f>'Budget Detail FY 2020-27'!N463+'Budget Detail FY 2020-27'!N464+'Budget Detail FY 2020-27'!N462</f>
        <v>0</v>
      </c>
      <c r="E231" s="2">
        <f>'Budget Detail FY 2020-27'!O463+'Budget Detail FY 2020-27'!O464+'Budget Detail FY 2020-27'!O462</f>
        <v>27000</v>
      </c>
      <c r="F231" s="2">
        <f>'Budget Detail FY 2020-27'!P463+'Budget Detail FY 2020-27'!P464+'Budget Detail FY 2020-27'!P462</f>
        <v>25912</v>
      </c>
      <c r="G231" s="2">
        <f>'Budget Detail FY 2020-27'!Q463+'Budget Detail FY 2020-27'!Q464+'Budget Detail FY 2020-27'!Q462</f>
        <v>26000</v>
      </c>
      <c r="H231" s="2">
        <f>'Budget Detail FY 2020-27'!R463+'Budget Detail FY 2020-27'!R464+'Budget Detail FY 2020-27'!R462</f>
        <v>26000</v>
      </c>
      <c r="I231" s="2">
        <f>'Budget Detail FY 2020-27'!S463+'Budget Detail FY 2020-27'!S464+'Budget Detail FY 2020-27'!S462</f>
        <v>26000</v>
      </c>
      <c r="J231" s="2">
        <f>'Budget Detail FY 2020-27'!T463+'Budget Detail FY 2020-27'!T464+'Budget Detail FY 2020-27'!T462</f>
        <v>26000</v>
      </c>
      <c r="K231" s="2">
        <f>'Budget Detail FY 2020-27'!U463+'Budget Detail FY 2020-27'!U464+'Budget Detail FY 2020-27'!U462</f>
        <v>26000</v>
      </c>
      <c r="L231" s="663"/>
      <c r="M231" s="663"/>
      <c r="N231" s="161"/>
    </row>
    <row r="232" spans="2:14" s="526" customFormat="1" ht="20.100000000000001" customHeight="1">
      <c r="B232" s="134" t="s">
        <v>598</v>
      </c>
      <c r="C232" s="2">
        <f>'Budget Detail FY 2020-27'!M465+'Budget Detail FY 2020-27'!M466</f>
        <v>0</v>
      </c>
      <c r="D232" s="2">
        <f>'Budget Detail FY 2020-27'!N465+'Budget Detail FY 2020-27'!N466</f>
        <v>0</v>
      </c>
      <c r="E232" s="2">
        <f>'Budget Detail FY 2020-27'!O465+'Budget Detail FY 2020-27'!O466</f>
        <v>6980000</v>
      </c>
      <c r="F232" s="2">
        <f>'Budget Detail FY 2020-27'!P465+'Budget Detail FY 2020-27'!P466</f>
        <v>400000</v>
      </c>
      <c r="G232" s="2">
        <f>'Budget Detail FY 2020-27'!Q465+'Budget Detail FY 2020-27'!Q466</f>
        <v>9700000</v>
      </c>
      <c r="H232" s="2">
        <f>'Budget Detail FY 2020-27'!R465+'Budget Detail FY 2020-27'!R466</f>
        <v>10000000</v>
      </c>
      <c r="I232" s="2">
        <f>'Budget Detail FY 2020-27'!S465+'Budget Detail FY 2020-27'!S466</f>
        <v>10500000</v>
      </c>
      <c r="J232" s="2">
        <f>'Budget Detail FY 2020-27'!T465+'Budget Detail FY 2020-27'!T466</f>
        <v>0</v>
      </c>
      <c r="K232" s="2">
        <f>'Budget Detail FY 2020-27'!U465+'Budget Detail FY 2020-27'!U466</f>
        <v>0</v>
      </c>
      <c r="L232" s="663"/>
      <c r="M232" s="663"/>
      <c r="N232" s="161"/>
    </row>
    <row r="233" spans="2:14" s="526" customFormat="1" ht="20.100000000000001" customHeight="1">
      <c r="B233" s="134" t="s">
        <v>543</v>
      </c>
      <c r="C233" s="2">
        <f>'Budget Detail FY 2020-27'!M468+'Budget Detail FY 2020-27'!M469+'Budget Detail FY 2020-27'!M471+'Budget Detail FY 2020-27'!M472+'Budget Detail FY 2020-27'!M474+'Budget Detail FY 2020-27'!M475</f>
        <v>0</v>
      </c>
      <c r="D233" s="2">
        <f>'Budget Detail FY 2020-27'!N468+'Budget Detail FY 2020-27'!N469+'Budget Detail FY 2020-27'!N471+'Budget Detail FY 2020-27'!N472+'Budget Detail FY 2020-27'!N474+'Budget Detail FY 2020-27'!N475</f>
        <v>0</v>
      </c>
      <c r="E233" s="2">
        <f>'Budget Detail FY 2020-27'!O468+'Budget Detail FY 2020-27'!O469+'Budget Detail FY 2020-27'!O471+'Budget Detail FY 2020-27'!O472+'Budget Detail FY 2020-27'!O474+'Budget Detail FY 2020-27'!O475</f>
        <v>157033</v>
      </c>
      <c r="F233" s="2">
        <f>'Budget Detail FY 2020-27'!P468+'Budget Detail FY 2020-27'!P469+'Budget Detail FY 2020-27'!P471+'Budget Detail FY 2020-27'!P472+'Budget Detail FY 2020-27'!P474+'Budget Detail FY 2020-27'!P475</f>
        <v>132474</v>
      </c>
      <c r="G233" s="2">
        <f>'Budget Detail FY 2020-27'!Q468+'Budget Detail FY 2020-27'!Q469+'Budget Detail FY 2020-27'!Q471+'Budget Detail FY 2020-27'!Q472+'Budget Detail FY 2020-27'!Q474+'Budget Detail FY 2020-27'!Q475</f>
        <v>803402</v>
      </c>
      <c r="H233" s="2">
        <f>'Budget Detail FY 2020-27'!R468+'Budget Detail FY 2020-27'!R469+'Budget Detail FY 2020-27'!R471+'Budget Detail FY 2020-27'!R472+'Budget Detail FY 2020-27'!R474+'Budget Detail FY 2020-27'!R475</f>
        <v>799915</v>
      </c>
      <c r="I233" s="2">
        <f>'Budget Detail FY 2020-27'!S468+'Budget Detail FY 2020-27'!S469+'Budget Detail FY 2020-27'!S471+'Budget Detail FY 2020-27'!S472+'Budget Detail FY 2020-27'!S474+'Budget Detail FY 2020-27'!S475</f>
        <v>1963206</v>
      </c>
      <c r="J233" s="2">
        <f>'Budget Detail FY 2020-27'!T468+'Budget Detail FY 2020-27'!T469+'Budget Detail FY 2020-27'!T471+'Budget Detail FY 2020-27'!T472+'Budget Detail FY 2020-27'!T474+'Budget Detail FY 2020-27'!T475</f>
        <v>1962574</v>
      </c>
      <c r="K233" s="2">
        <f>'Budget Detail FY 2020-27'!U468+'Budget Detail FY 2020-27'!U469+'Budget Detail FY 2020-27'!U471+'Budget Detail FY 2020-27'!U472+'Budget Detail FY 2020-27'!U474+'Budget Detail FY 2020-27'!U475</f>
        <v>1702500</v>
      </c>
      <c r="L233" s="663"/>
      <c r="M233" s="663"/>
      <c r="N233" s="161"/>
    </row>
    <row r="234" spans="2:14" s="526" customFormat="1" ht="20.100000000000001" customHeight="1">
      <c r="B234" s="515" t="s">
        <v>600</v>
      </c>
      <c r="C234" s="514">
        <f t="shared" ref="C234:K234" si="24">SUM(C228:C233)</f>
        <v>0</v>
      </c>
      <c r="D234" s="514">
        <f t="shared" si="24"/>
        <v>0</v>
      </c>
      <c r="E234" s="514">
        <f t="shared" si="24"/>
        <v>7554249</v>
      </c>
      <c r="F234" s="514">
        <f t="shared" si="24"/>
        <v>933625</v>
      </c>
      <c r="G234" s="514">
        <f t="shared" si="24"/>
        <v>10871560</v>
      </c>
      <c r="H234" s="514">
        <f t="shared" si="24"/>
        <v>11320831</v>
      </c>
      <c r="I234" s="514">
        <f t="shared" si="24"/>
        <v>12786272</v>
      </c>
      <c r="J234" s="514">
        <f t="shared" si="24"/>
        <v>2293205</v>
      </c>
      <c r="K234" s="514">
        <f t="shared" si="24"/>
        <v>2040411</v>
      </c>
      <c r="L234" s="406"/>
      <c r="M234" s="406"/>
      <c r="N234" s="161"/>
    </row>
    <row r="235" spans="2:14" s="526" customFormat="1" ht="6.9" customHeight="1">
      <c r="B235" s="134"/>
      <c r="C235" s="2"/>
      <c r="D235" s="2"/>
      <c r="E235" s="2"/>
      <c r="F235" s="2"/>
      <c r="G235" s="2"/>
      <c r="H235" s="2"/>
      <c r="I235" s="2"/>
      <c r="J235" s="2"/>
      <c r="K235" s="2"/>
      <c r="L235" s="663"/>
      <c r="M235" s="663"/>
      <c r="N235" s="161"/>
    </row>
    <row r="236" spans="2:14" s="526" customFormat="1" ht="20.100000000000001" customHeight="1">
      <c r="B236" s="134" t="s">
        <v>599</v>
      </c>
      <c r="C236" s="2">
        <f>'Budget Detail FY 2020-27'!M481</f>
        <v>0</v>
      </c>
      <c r="D236" s="2">
        <f>'Budget Detail FY 2020-27'!N481</f>
        <v>0</v>
      </c>
      <c r="E236" s="2">
        <f>'Budget Detail FY 2020-27'!O481</f>
        <v>2030000</v>
      </c>
      <c r="F236" s="2">
        <f>'Budget Detail FY 2020-27'!P481</f>
        <v>2071503</v>
      </c>
      <c r="G236" s="2">
        <f>'Budget Detail FY 2020-27'!Q481</f>
        <v>0</v>
      </c>
      <c r="H236" s="2">
        <f>'Budget Detail FY 2020-27'!R481</f>
        <v>0</v>
      </c>
      <c r="I236" s="2">
        <f>'Budget Detail FY 2020-27'!S481</f>
        <v>0</v>
      </c>
      <c r="J236" s="2">
        <f>'Budget Detail FY 2020-27'!T481</f>
        <v>0</v>
      </c>
      <c r="K236" s="2">
        <f>'Budget Detail FY 2020-27'!U481</f>
        <v>0</v>
      </c>
      <c r="L236" s="663"/>
      <c r="M236" s="663"/>
      <c r="N236" s="161"/>
    </row>
    <row r="237" spans="2:14" s="526" customFormat="1" ht="20.100000000000001" customHeight="1" thickBot="1">
      <c r="B237" s="79" t="s">
        <v>1242</v>
      </c>
      <c r="C237" s="433">
        <f t="shared" ref="C237:K237" si="25">C234+C236</f>
        <v>0</v>
      </c>
      <c r="D237" s="433">
        <f t="shared" si="25"/>
        <v>0</v>
      </c>
      <c r="E237" s="433">
        <f t="shared" si="25"/>
        <v>9584249</v>
      </c>
      <c r="F237" s="433">
        <f t="shared" si="25"/>
        <v>3005128</v>
      </c>
      <c r="G237" s="433">
        <f t="shared" si="25"/>
        <v>10871560</v>
      </c>
      <c r="H237" s="433">
        <f t="shared" si="25"/>
        <v>11320831</v>
      </c>
      <c r="I237" s="433">
        <f t="shared" si="25"/>
        <v>12786272</v>
      </c>
      <c r="J237" s="433">
        <f t="shared" si="25"/>
        <v>2293205</v>
      </c>
      <c r="K237" s="433">
        <f t="shared" si="25"/>
        <v>2040411</v>
      </c>
      <c r="L237" s="406"/>
      <c r="M237" s="406"/>
      <c r="N237" s="661"/>
    </row>
    <row r="238" spans="2:14" s="526" customFormat="1" ht="7.5" customHeight="1">
      <c r="B238" s="80"/>
      <c r="C238" s="2"/>
      <c r="D238" s="2"/>
      <c r="E238" s="2"/>
      <c r="F238" s="2"/>
      <c r="G238" s="2"/>
      <c r="H238" s="2"/>
      <c r="I238" s="2"/>
      <c r="J238" s="2"/>
      <c r="K238" s="2"/>
      <c r="L238" s="663"/>
      <c r="M238" s="663"/>
      <c r="N238" s="161"/>
    </row>
    <row r="239" spans="2:14" s="526" customFormat="1" ht="20.100000000000001" customHeight="1">
      <c r="B239" s="133" t="s">
        <v>601</v>
      </c>
      <c r="C239" s="49">
        <f t="shared" ref="C239:K239" si="26">+C225-C237</f>
        <v>0</v>
      </c>
      <c r="D239" s="49">
        <f t="shared" si="26"/>
        <v>0</v>
      </c>
      <c r="E239" s="49">
        <f t="shared" si="26"/>
        <v>0</v>
      </c>
      <c r="F239" s="49">
        <f t="shared" si="26"/>
        <v>10641399</v>
      </c>
      <c r="G239" s="49">
        <f t="shared" si="26"/>
        <v>-9864331</v>
      </c>
      <c r="H239" s="49">
        <f t="shared" si="26"/>
        <v>11264548</v>
      </c>
      <c r="I239" s="49">
        <f t="shared" si="26"/>
        <v>-11438945</v>
      </c>
      <c r="J239" s="49">
        <f t="shared" si="26"/>
        <v>-602671</v>
      </c>
      <c r="K239" s="49">
        <f t="shared" si="26"/>
        <v>0</v>
      </c>
      <c r="L239" s="666"/>
      <c r="M239" s="666"/>
      <c r="N239" s="161"/>
    </row>
    <row r="240" spans="2:14" s="526" customFormat="1" ht="7.5" customHeight="1">
      <c r="B240" s="84"/>
      <c r="C240" s="57"/>
      <c r="D240" s="57"/>
      <c r="E240" s="57"/>
      <c r="F240" s="57"/>
      <c r="G240" s="57"/>
      <c r="H240" s="57"/>
      <c r="I240" s="57"/>
      <c r="J240" s="57"/>
      <c r="K240" s="57"/>
      <c r="L240" s="668"/>
      <c r="M240" s="668"/>
      <c r="N240" s="161"/>
    </row>
    <row r="241" spans="2:14" s="526" customFormat="1" ht="20.100000000000001" customHeight="1" thickBot="1">
      <c r="B241" s="78" t="s">
        <v>602</v>
      </c>
      <c r="C241" s="431">
        <v>0</v>
      </c>
      <c r="D241" s="431">
        <v>0</v>
      </c>
      <c r="E241" s="431">
        <v>0</v>
      </c>
      <c r="F241" s="431">
        <f>D241+F239</f>
        <v>10641399</v>
      </c>
      <c r="G241" s="431">
        <f>F241+G239</f>
        <v>777068</v>
      </c>
      <c r="H241" s="431">
        <f>G241+H239</f>
        <v>12041616</v>
      </c>
      <c r="I241" s="431">
        <f>H241+I239</f>
        <v>602671</v>
      </c>
      <c r="J241" s="431">
        <f>I241+J239</f>
        <v>0</v>
      </c>
      <c r="K241" s="431">
        <f>J241+K239</f>
        <v>0</v>
      </c>
      <c r="L241" s="406"/>
      <c r="M241" s="406"/>
      <c r="N241" s="161"/>
    </row>
    <row r="242" spans="2:14" s="526" customFormat="1" ht="14.4" thickTop="1">
      <c r="C242" s="464"/>
      <c r="D242" s="464"/>
      <c r="E242" s="464"/>
      <c r="F242" s="464"/>
      <c r="G242" s="464"/>
      <c r="H242" s="464"/>
      <c r="I242" s="464"/>
      <c r="J242" s="464"/>
      <c r="K242" s="464"/>
      <c r="L242" s="672"/>
      <c r="M242" s="672"/>
      <c r="N242" s="161"/>
    </row>
    <row r="243" spans="2:14" s="526" customFormat="1">
      <c r="C243" s="464"/>
      <c r="D243" s="464"/>
      <c r="E243" s="464"/>
      <c r="F243" s="464"/>
      <c r="G243" s="464"/>
      <c r="H243" s="464"/>
      <c r="I243" s="464"/>
      <c r="J243" s="464"/>
      <c r="K243" s="464"/>
      <c r="L243" s="672"/>
      <c r="M243" s="672"/>
      <c r="N243" s="161"/>
    </row>
    <row r="244" spans="2:14" s="526" customFormat="1">
      <c r="C244" s="464"/>
      <c r="D244" s="464"/>
      <c r="E244" s="464"/>
      <c r="F244" s="464"/>
      <c r="G244" s="464"/>
      <c r="H244" s="464"/>
      <c r="I244" s="464"/>
      <c r="J244" s="464"/>
      <c r="K244" s="464"/>
      <c r="L244" s="672"/>
      <c r="M244" s="672"/>
      <c r="N244" s="161"/>
    </row>
    <row r="245" spans="2:14" s="526" customFormat="1">
      <c r="C245" s="464"/>
      <c r="D245" s="464"/>
      <c r="E245" s="464"/>
      <c r="F245" s="464"/>
      <c r="G245" s="464"/>
      <c r="H245" s="464"/>
      <c r="I245" s="464"/>
      <c r="J245" s="464"/>
      <c r="K245" s="464"/>
      <c r="L245" s="672"/>
      <c r="M245" s="672"/>
      <c r="N245" s="161"/>
    </row>
    <row r="246" spans="2:14" s="526" customFormat="1">
      <c r="C246" s="464"/>
      <c r="D246" s="464"/>
      <c r="E246" s="464"/>
      <c r="F246" s="464"/>
      <c r="G246" s="464"/>
      <c r="H246" s="464"/>
      <c r="I246" s="464"/>
      <c r="J246" s="464"/>
      <c r="K246" s="464"/>
      <c r="L246" s="672"/>
      <c r="M246" s="672"/>
      <c r="N246" s="161"/>
    </row>
    <row r="247" spans="2:14" s="526" customFormat="1">
      <c r="C247" s="464"/>
      <c r="D247" s="464"/>
      <c r="E247" s="464"/>
      <c r="F247" s="464"/>
      <c r="G247" s="464"/>
      <c r="H247" s="464"/>
      <c r="I247" s="464"/>
      <c r="J247" s="464"/>
      <c r="K247" s="464"/>
      <c r="L247" s="672"/>
      <c r="M247" s="672"/>
      <c r="N247" s="161"/>
    </row>
    <row r="248" spans="2:14" s="526" customFormat="1">
      <c r="C248" s="464"/>
      <c r="D248" s="464"/>
      <c r="E248" s="464"/>
      <c r="F248" s="464"/>
      <c r="G248" s="464"/>
      <c r="H248" s="464"/>
      <c r="I248" s="464"/>
      <c r="J248" s="464"/>
      <c r="K248" s="464"/>
      <c r="L248" s="672"/>
      <c r="M248" s="672"/>
      <c r="N248" s="161"/>
    </row>
    <row r="249" spans="2:14" s="526" customFormat="1">
      <c r="C249" s="464"/>
      <c r="D249" s="464"/>
      <c r="E249" s="464"/>
      <c r="F249" s="464"/>
      <c r="G249" s="464"/>
      <c r="H249" s="464"/>
      <c r="I249" s="464"/>
      <c r="J249" s="464"/>
      <c r="K249" s="464"/>
      <c r="L249" s="672"/>
      <c r="M249" s="672"/>
      <c r="N249" s="161"/>
    </row>
    <row r="250" spans="2:14" s="526" customFormat="1">
      <c r="C250" s="464"/>
      <c r="D250" s="464"/>
      <c r="E250" s="464"/>
      <c r="F250" s="464"/>
      <c r="G250" s="464"/>
      <c r="H250" s="464"/>
      <c r="I250" s="464"/>
      <c r="J250" s="464"/>
      <c r="K250" s="464"/>
      <c r="L250" s="672"/>
      <c r="M250" s="672"/>
      <c r="N250" s="161"/>
    </row>
    <row r="251" spans="2:14" s="526" customFormat="1">
      <c r="C251" s="464"/>
      <c r="D251" s="464"/>
      <c r="E251" s="464"/>
      <c r="F251" s="464"/>
      <c r="G251" s="464"/>
      <c r="H251" s="464"/>
      <c r="I251" s="464"/>
      <c r="J251" s="464"/>
      <c r="K251" s="464"/>
      <c r="L251" s="672"/>
      <c r="M251" s="672"/>
      <c r="N251" s="161"/>
    </row>
    <row r="252" spans="2:14" s="526" customFormat="1">
      <c r="C252" s="464"/>
      <c r="D252" s="464"/>
      <c r="E252" s="464"/>
      <c r="F252" s="464"/>
      <c r="G252" s="464"/>
      <c r="H252" s="464"/>
      <c r="I252" s="464"/>
      <c r="J252" s="464"/>
      <c r="K252" s="464"/>
      <c r="L252" s="672"/>
      <c r="M252" s="672"/>
      <c r="N252" s="161"/>
    </row>
    <row r="253" spans="2:14" s="526" customFormat="1">
      <c r="C253" s="464"/>
      <c r="D253" s="464"/>
      <c r="E253" s="464"/>
      <c r="F253" s="464"/>
      <c r="G253" s="464"/>
      <c r="H253" s="464"/>
      <c r="I253" s="464"/>
      <c r="J253" s="464"/>
      <c r="K253" s="464"/>
      <c r="L253" s="672"/>
      <c r="M253" s="672"/>
      <c r="N253" s="161"/>
    </row>
    <row r="254" spans="2:14" s="526" customFormat="1">
      <c r="C254" s="464"/>
      <c r="D254" s="464"/>
      <c r="E254" s="464"/>
      <c r="F254" s="464"/>
      <c r="G254" s="464"/>
      <c r="H254" s="464"/>
      <c r="I254" s="464"/>
      <c r="J254" s="464"/>
      <c r="K254" s="464"/>
      <c r="L254" s="672"/>
      <c r="M254" s="672"/>
      <c r="N254" s="161"/>
    </row>
    <row r="255" spans="2:14" s="526" customFormat="1">
      <c r="C255" s="464"/>
      <c r="D255" s="464"/>
      <c r="E255" s="464"/>
      <c r="F255" s="464"/>
      <c r="G255" s="464"/>
      <c r="H255" s="464"/>
      <c r="I255" s="464"/>
      <c r="J255" s="464"/>
      <c r="K255" s="464"/>
      <c r="L255" s="672"/>
      <c r="M255" s="672"/>
      <c r="N255" s="161"/>
    </row>
    <row r="256" spans="2:14" s="526" customFormat="1">
      <c r="C256" s="464"/>
      <c r="D256" s="464"/>
      <c r="E256" s="464"/>
      <c r="F256" s="464"/>
      <c r="G256" s="464"/>
      <c r="H256" s="464"/>
      <c r="I256" s="464"/>
      <c r="J256" s="464"/>
      <c r="K256" s="464"/>
      <c r="L256" s="672"/>
      <c r="M256" s="672"/>
      <c r="N256" s="161"/>
    </row>
    <row r="257" spans="2:14" ht="17.399999999999999">
      <c r="B257" s="682" t="s">
        <v>746</v>
      </c>
      <c r="C257" s="682"/>
      <c r="D257" s="682"/>
      <c r="E257" s="682"/>
      <c r="F257" s="682"/>
      <c r="G257" s="682"/>
      <c r="H257" s="682"/>
      <c r="I257" s="682"/>
      <c r="J257" s="682"/>
      <c r="K257" s="682"/>
      <c r="L257" s="662"/>
      <c r="M257" s="662"/>
      <c r="N257" s="161"/>
    </row>
    <row r="258" spans="2:14" ht="15" customHeight="1">
      <c r="B258" s="43"/>
      <c r="C258" s="2"/>
      <c r="D258" s="2"/>
      <c r="E258" s="2"/>
      <c r="F258" s="2"/>
      <c r="G258" s="2"/>
      <c r="H258" s="2"/>
      <c r="I258" s="2"/>
      <c r="J258" s="2"/>
      <c r="K258" s="2"/>
      <c r="L258" s="663"/>
      <c r="M258" s="663"/>
      <c r="N258" s="161"/>
    </row>
    <row r="259" spans="2:14" ht="12.75" customHeight="1">
      <c r="B259" s="683" t="s">
        <v>1170</v>
      </c>
      <c r="C259" s="683"/>
      <c r="D259" s="683"/>
      <c r="E259" s="683"/>
      <c r="F259" s="683"/>
      <c r="G259" s="683"/>
      <c r="H259" s="683"/>
      <c r="I259" s="683"/>
      <c r="J259" s="683"/>
      <c r="K259" s="683"/>
      <c r="L259" s="664"/>
      <c r="M259" s="664"/>
      <c r="N259" s="161"/>
    </row>
    <row r="260" spans="2:14" ht="12.75" customHeight="1">
      <c r="B260" s="683"/>
      <c r="C260" s="683"/>
      <c r="D260" s="683"/>
      <c r="E260" s="683"/>
      <c r="F260" s="683"/>
      <c r="G260" s="683"/>
      <c r="H260" s="683"/>
      <c r="I260" s="683"/>
      <c r="J260" s="683"/>
      <c r="K260" s="683"/>
      <c r="L260" s="664"/>
      <c r="M260" s="664"/>
      <c r="N260" s="161"/>
    </row>
    <row r="261" spans="2:14" ht="12.75" customHeight="1">
      <c r="B261" s="683"/>
      <c r="C261" s="683"/>
      <c r="D261" s="683"/>
      <c r="E261" s="683"/>
      <c r="F261" s="683"/>
      <c r="G261" s="683"/>
      <c r="H261" s="683"/>
      <c r="I261" s="683"/>
      <c r="J261" s="683"/>
      <c r="K261" s="683"/>
      <c r="L261" s="664"/>
      <c r="M261" s="664"/>
      <c r="N261" s="161"/>
    </row>
    <row r="262" spans="2:14" ht="15" customHeight="1">
      <c r="B262" s="683"/>
      <c r="C262" s="683"/>
      <c r="D262" s="683"/>
      <c r="E262" s="683"/>
      <c r="F262" s="683"/>
      <c r="G262" s="683"/>
      <c r="H262" s="683"/>
      <c r="I262" s="683"/>
      <c r="J262" s="683"/>
      <c r="K262" s="683"/>
      <c r="L262" s="664"/>
      <c r="M262" s="664"/>
      <c r="N262" s="161"/>
    </row>
    <row r="263" spans="2:14" ht="12" customHeight="1">
      <c r="B263" s="683"/>
      <c r="C263" s="683"/>
      <c r="D263" s="683"/>
      <c r="E263" s="683"/>
      <c r="F263" s="683"/>
      <c r="G263" s="683"/>
      <c r="H263" s="683"/>
      <c r="I263" s="683"/>
      <c r="J263" s="683"/>
      <c r="K263" s="683"/>
      <c r="L263" s="664"/>
      <c r="M263" s="664"/>
      <c r="N263" s="161"/>
    </row>
    <row r="264" spans="2:14">
      <c r="B264" s="4"/>
      <c r="C264" s="43"/>
      <c r="D264" s="573"/>
      <c r="E264" s="43" t="s">
        <v>815</v>
      </c>
      <c r="F264" s="573"/>
      <c r="G264" s="43" t="s">
        <v>816</v>
      </c>
      <c r="H264" s="573"/>
      <c r="I264" s="573"/>
      <c r="J264" s="573"/>
      <c r="K264" s="573"/>
      <c r="L264" s="304"/>
      <c r="M264" s="304"/>
      <c r="N264" s="161"/>
    </row>
    <row r="265" spans="2:14">
      <c r="B265" s="43"/>
      <c r="C265" s="43" t="s">
        <v>813</v>
      </c>
      <c r="D265" s="43" t="s">
        <v>814</v>
      </c>
      <c r="E265" s="43" t="s">
        <v>583</v>
      </c>
      <c r="F265" s="43" t="s">
        <v>815</v>
      </c>
      <c r="G265" s="156" t="str">
        <f>'Fund Cover Sheets'!$N$1</f>
        <v>Adopted</v>
      </c>
      <c r="H265" s="43" t="s">
        <v>817</v>
      </c>
      <c r="I265" s="43" t="s">
        <v>818</v>
      </c>
      <c r="J265" s="43" t="s">
        <v>819</v>
      </c>
      <c r="K265" s="43" t="s">
        <v>820</v>
      </c>
      <c r="L265" s="665"/>
      <c r="M265" s="665"/>
      <c r="N265" s="161"/>
    </row>
    <row r="266" spans="2:14" ht="14.4" thickBot="1">
      <c r="B266" s="44"/>
      <c r="C266" s="45" t="s">
        <v>1</v>
      </c>
      <c r="D266" s="45" t="s">
        <v>1</v>
      </c>
      <c r="E266" s="45" t="s">
        <v>553</v>
      </c>
      <c r="F266" s="45" t="s">
        <v>19</v>
      </c>
      <c r="G266" s="45" t="s">
        <v>553</v>
      </c>
      <c r="H266" s="45" t="s">
        <v>19</v>
      </c>
      <c r="I266" s="45" t="s">
        <v>19</v>
      </c>
      <c r="J266" s="45" t="s">
        <v>19</v>
      </c>
      <c r="K266" s="45" t="s">
        <v>19</v>
      </c>
      <c r="L266" s="566"/>
      <c r="M266" s="566"/>
      <c r="N266" s="161"/>
    </row>
    <row r="267" spans="2:14" ht="7.5" customHeight="1">
      <c r="B267" s="1"/>
      <c r="C267" s="52"/>
      <c r="D267" s="2"/>
      <c r="E267" s="2"/>
      <c r="F267" s="2"/>
      <c r="G267" s="2"/>
      <c r="H267" s="2"/>
      <c r="I267" s="2"/>
      <c r="J267" s="2"/>
      <c r="K267" s="2"/>
      <c r="L267" s="663"/>
      <c r="M267" s="663"/>
      <c r="N267" s="161"/>
    </row>
    <row r="268" spans="2:14">
      <c r="B268" s="80" t="s">
        <v>685</v>
      </c>
      <c r="C268" s="2"/>
      <c r="D268" s="2"/>
      <c r="E268" s="2"/>
      <c r="F268" s="2"/>
      <c r="G268" s="2"/>
      <c r="H268" s="2"/>
      <c r="I268" s="2"/>
      <c r="J268" s="2"/>
      <c r="K268" s="2"/>
      <c r="L268" s="663"/>
      <c r="M268" s="663"/>
      <c r="N268" s="161"/>
    </row>
    <row r="269" spans="2:14" s="378" customFormat="1" ht="20.100000000000001" customHeight="1">
      <c r="B269" s="134" t="s">
        <v>585</v>
      </c>
      <c r="C269" s="49">
        <f>'Budget Detail FY 2020-27'!M497</f>
        <v>4795</v>
      </c>
      <c r="D269" s="49">
        <f>'Budget Detail FY 2020-27'!N497</f>
        <v>9490</v>
      </c>
      <c r="E269" s="49">
        <f>'Budget Detail FY 2020-27'!O497</f>
        <v>0</v>
      </c>
      <c r="F269" s="49">
        <f>'Budget Detail FY 2020-27'!P497</f>
        <v>9590</v>
      </c>
      <c r="G269" s="49">
        <f>'Budget Detail FY 2020-27'!Q497</f>
        <v>0</v>
      </c>
      <c r="H269" s="49">
        <f>'Budget Detail FY 2020-27'!R497</f>
        <v>0</v>
      </c>
      <c r="I269" s="49">
        <f>'Budget Detail FY 2020-27'!S497</f>
        <v>0</v>
      </c>
      <c r="J269" s="49">
        <f>'Budget Detail FY 2020-27'!T497</f>
        <v>0</v>
      </c>
      <c r="K269" s="49">
        <f>'Budget Detail FY 2020-27'!U497</f>
        <v>0</v>
      </c>
      <c r="L269" s="666"/>
      <c r="M269" s="666"/>
      <c r="N269" s="161"/>
    </row>
    <row r="270" spans="2:14" ht="20.100000000000001" customHeight="1">
      <c r="B270" s="134" t="s">
        <v>586</v>
      </c>
      <c r="C270" s="2">
        <f>SUM('Budget Detail FY 2020-27'!M498:M502)</f>
        <v>363661</v>
      </c>
      <c r="D270" s="2">
        <f>SUM('Budget Detail FY 2020-27'!N498:N502)</f>
        <v>268641</v>
      </c>
      <c r="E270" s="2">
        <f>SUM('Budget Detail FY 2020-27'!O498:O502)</f>
        <v>109500</v>
      </c>
      <c r="F270" s="2">
        <f>SUM('Budget Detail FY 2020-27'!P498:P502)</f>
        <v>149000</v>
      </c>
      <c r="G270" s="2">
        <f>SUM('Budget Detail FY 2020-27'!Q498:Q502)</f>
        <v>110500</v>
      </c>
      <c r="H270" s="2">
        <f>SUM('Budget Detail FY 2020-27'!R498:R502)</f>
        <v>110500</v>
      </c>
      <c r="I270" s="2">
        <f>SUM('Budget Detail FY 2020-27'!S498:S502)</f>
        <v>110500</v>
      </c>
      <c r="J270" s="2">
        <f>SUM('Budget Detail FY 2020-27'!T498:T502)</f>
        <v>110500</v>
      </c>
      <c r="K270" s="2">
        <f>SUM('Budget Detail FY 2020-27'!U498:U502)</f>
        <v>110500</v>
      </c>
      <c r="L270" s="663"/>
      <c r="M270" s="663"/>
      <c r="N270" s="161"/>
    </row>
    <row r="271" spans="2:14" ht="20.100000000000001" customHeight="1">
      <c r="B271" s="134" t="s">
        <v>587</v>
      </c>
      <c r="C271" s="2">
        <f>SUM('Budget Detail FY 2020-27'!M503:M504)</f>
        <v>6799</v>
      </c>
      <c r="D271" s="2">
        <f>SUM('Budget Detail FY 2020-27'!N503:N504)</f>
        <v>3998</v>
      </c>
      <c r="E271" s="2">
        <f>SUM('Budget Detail FY 2020-27'!O503:O504)</f>
        <v>7800</v>
      </c>
      <c r="F271" s="2">
        <f>SUM('Budget Detail FY 2020-27'!P503:P504)</f>
        <v>6800</v>
      </c>
      <c r="G271" s="2">
        <f>SUM('Budget Detail FY 2020-27'!Q503:Q504)</f>
        <v>6800</v>
      </c>
      <c r="H271" s="2">
        <f>SUM('Budget Detail FY 2020-27'!R503:R504)</f>
        <v>6800</v>
      </c>
      <c r="I271" s="2">
        <f>SUM('Budget Detail FY 2020-27'!S503:S504)</f>
        <v>6800</v>
      </c>
      <c r="J271" s="2">
        <f>SUM('Budget Detail FY 2020-27'!T503:T504)</f>
        <v>6800</v>
      </c>
      <c r="K271" s="2">
        <f>SUM('Budget Detail FY 2020-27'!U503:U504)</f>
        <v>6800</v>
      </c>
      <c r="L271" s="663"/>
      <c r="M271" s="663"/>
      <c r="N271" s="161"/>
    </row>
    <row r="272" spans="2:14" ht="20.100000000000001" customHeight="1">
      <c r="B272" s="134" t="s">
        <v>588</v>
      </c>
      <c r="C272" s="2">
        <f>SUM('Budget Detail FY 2020-27'!M505:M511)</f>
        <v>92968</v>
      </c>
      <c r="D272" s="2">
        <f>SUM('Budget Detail FY 2020-27'!N505:N511)</f>
        <v>1231404</v>
      </c>
      <c r="E272" s="2">
        <f>SUM('Budget Detail FY 2020-27'!O505:O511)</f>
        <v>325830</v>
      </c>
      <c r="F272" s="2">
        <f>SUM('Budget Detail FY 2020-27'!P505:P511)</f>
        <v>409984</v>
      </c>
      <c r="G272" s="2">
        <f>SUM('Budget Detail FY 2020-27'!Q505:Q511)</f>
        <v>896070</v>
      </c>
      <c r="H272" s="2">
        <f>SUM('Budget Detail FY 2020-27'!R505:R511)</f>
        <v>859849</v>
      </c>
      <c r="I272" s="2">
        <f>SUM('Budget Detail FY 2020-27'!S505:S511)</f>
        <v>950098</v>
      </c>
      <c r="J272" s="2">
        <f>SUM('Budget Detail FY 2020-27'!T505:T511)</f>
        <v>1009553</v>
      </c>
      <c r="K272" s="2">
        <f>SUM('Budget Detail FY 2020-27'!U505:U511)</f>
        <v>952306</v>
      </c>
      <c r="L272" s="663"/>
      <c r="M272" s="663"/>
      <c r="N272" s="161"/>
    </row>
    <row r="273" spans="2:14" ht="20.100000000000001" customHeight="1">
      <c r="B273" s="134" t="s">
        <v>589</v>
      </c>
      <c r="C273" s="2">
        <f>SUM('Budget Detail FY 2020-27'!M512:M513)</f>
        <v>2233</v>
      </c>
      <c r="D273" s="2">
        <f>SUM('Budget Detail FY 2020-27'!N512:N513)</f>
        <v>150</v>
      </c>
      <c r="E273" s="2">
        <f>SUM('Budget Detail FY 2020-27'!O512:O513)</f>
        <v>1000</v>
      </c>
      <c r="F273" s="2">
        <f>SUM('Budget Detail FY 2020-27'!P512:P513)</f>
        <v>105</v>
      </c>
      <c r="G273" s="2">
        <f>SUM('Budget Detail FY 2020-27'!Q512:Q513)</f>
        <v>0</v>
      </c>
      <c r="H273" s="2">
        <f>SUM('Budget Detail FY 2020-27'!R512:R513)</f>
        <v>0</v>
      </c>
      <c r="I273" s="2">
        <f>SUM('Budget Detail FY 2020-27'!S512:S513)</f>
        <v>0</v>
      </c>
      <c r="J273" s="2">
        <f>SUM('Budget Detail FY 2020-27'!T512:T513)</f>
        <v>0</v>
      </c>
      <c r="K273" s="2">
        <f>SUM('Budget Detail FY 2020-27'!U512:U513)</f>
        <v>0</v>
      </c>
      <c r="L273" s="663"/>
      <c r="M273" s="663"/>
      <c r="N273" s="161"/>
    </row>
    <row r="274" spans="2:14" s="315" customFormat="1" ht="20.100000000000001" customHeight="1">
      <c r="B274" s="134" t="s">
        <v>590</v>
      </c>
      <c r="C274" s="2">
        <f>'Budget Detail FY 2020-27'!M515+'Budget Detail FY 2020-27'!M514</f>
        <v>44082</v>
      </c>
      <c r="D274" s="2">
        <f>'Budget Detail FY 2020-27'!N515+'Budget Detail FY 2020-27'!N514</f>
        <v>9190</v>
      </c>
      <c r="E274" s="2">
        <f>'Budget Detail FY 2020-27'!O515+'Budget Detail FY 2020-27'!O514</f>
        <v>102096</v>
      </c>
      <c r="F274" s="2">
        <f>'Budget Detail FY 2020-27'!P515+'Budget Detail FY 2020-27'!P514</f>
        <v>10000</v>
      </c>
      <c r="G274" s="2">
        <f>'Budget Detail FY 2020-27'!Q515+'Budget Detail FY 2020-27'!Q514</f>
        <v>40000</v>
      </c>
      <c r="H274" s="2">
        <f>'Budget Detail FY 2020-27'!R515+'Budget Detail FY 2020-27'!R514</f>
        <v>102096</v>
      </c>
      <c r="I274" s="2">
        <f>'Budget Detail FY 2020-27'!S515+'Budget Detail FY 2020-27'!S514</f>
        <v>0</v>
      </c>
      <c r="J274" s="2">
        <f>'Budget Detail FY 2020-27'!T515+'Budget Detail FY 2020-27'!T514</f>
        <v>0</v>
      </c>
      <c r="K274" s="2">
        <f>'Budget Detail FY 2020-27'!U515+'Budget Detail FY 2020-27'!U514</f>
        <v>0</v>
      </c>
      <c r="L274" s="663"/>
      <c r="M274" s="663"/>
      <c r="N274" s="161"/>
    </row>
    <row r="275" spans="2:14" ht="20.100000000000001" customHeight="1">
      <c r="B275" s="134" t="s">
        <v>591</v>
      </c>
      <c r="C275" s="2">
        <f>SUM('Budget Detail FY 2020-27'!M516:M519)</f>
        <v>645</v>
      </c>
      <c r="D275" s="2">
        <f>SUM('Budget Detail FY 2020-27'!N516:N519)</f>
        <v>1920</v>
      </c>
      <c r="E275" s="2">
        <f>SUM('Budget Detail FY 2020-27'!O516:O519)</f>
        <v>1000</v>
      </c>
      <c r="F275" s="2">
        <f>SUM('Budget Detail FY 2020-27'!P516:P519)</f>
        <v>0</v>
      </c>
      <c r="G275" s="2">
        <f>SUM('Budget Detail FY 2020-27'!Q516:Q519)</f>
        <v>500</v>
      </c>
      <c r="H275" s="2">
        <f>SUM('Budget Detail FY 2020-27'!R516:R519)</f>
        <v>500</v>
      </c>
      <c r="I275" s="2">
        <f>SUM('Budget Detail FY 2020-27'!S516:S519)</f>
        <v>500</v>
      </c>
      <c r="J275" s="2">
        <f>SUM('Budget Detail FY 2020-27'!T516:T519)</f>
        <v>500</v>
      </c>
      <c r="K275" s="2">
        <f>SUM('Budget Detail FY 2020-27'!U516:U519)</f>
        <v>500</v>
      </c>
      <c r="L275" s="663"/>
      <c r="M275" s="663"/>
      <c r="N275" s="161"/>
    </row>
    <row r="276" spans="2:14" s="470" customFormat="1" ht="20.100000000000001" customHeight="1">
      <c r="B276" s="515" t="s">
        <v>1241</v>
      </c>
      <c r="C276" s="514">
        <f t="shared" ref="C276:K276" si="27">SUM(C269:C275)</f>
        <v>515183</v>
      </c>
      <c r="D276" s="514">
        <f t="shared" si="27"/>
        <v>1524793</v>
      </c>
      <c r="E276" s="514">
        <f t="shared" si="27"/>
        <v>547226</v>
      </c>
      <c r="F276" s="514">
        <f t="shared" si="27"/>
        <v>585479</v>
      </c>
      <c r="G276" s="514">
        <f t="shared" si="27"/>
        <v>1053870</v>
      </c>
      <c r="H276" s="514">
        <f t="shared" si="27"/>
        <v>1079745</v>
      </c>
      <c r="I276" s="514">
        <f t="shared" si="27"/>
        <v>1067898</v>
      </c>
      <c r="J276" s="514">
        <f t="shared" si="27"/>
        <v>1127353</v>
      </c>
      <c r="K276" s="514">
        <f t="shared" si="27"/>
        <v>1070106</v>
      </c>
      <c r="L276" s="406"/>
      <c r="M276" s="406"/>
      <c r="N276" s="161"/>
    </row>
    <row r="277" spans="2:14" s="470" customFormat="1" ht="6.9" customHeight="1">
      <c r="B277" s="134"/>
      <c r="C277" s="2"/>
      <c r="D277" s="2"/>
      <c r="E277" s="2"/>
      <c r="F277" s="2"/>
      <c r="G277" s="2"/>
      <c r="H277" s="2"/>
      <c r="I277" s="2"/>
      <c r="J277" s="2"/>
      <c r="K277" s="2"/>
      <c r="L277" s="663"/>
      <c r="M277" s="663"/>
      <c r="N277" s="161"/>
    </row>
    <row r="278" spans="2:14" ht="20.100000000000001" customHeight="1">
      <c r="B278" s="134" t="s">
        <v>592</v>
      </c>
      <c r="C278" s="2">
        <f>SUM('Budget Detail FY 2020-27'!M522:M527)</f>
        <v>558996</v>
      </c>
      <c r="D278" s="2">
        <f>SUM('Budget Detail FY 2020-27'!N522:N527)</f>
        <v>13927</v>
      </c>
      <c r="E278" s="2">
        <f>SUM('Budget Detail FY 2020-27'!O522:O527)</f>
        <v>0</v>
      </c>
      <c r="F278" s="2">
        <f>SUM('Budget Detail FY 2020-27'!P522:P527)</f>
        <v>67865</v>
      </c>
      <c r="G278" s="2">
        <f>SUM('Budget Detail FY 2020-27'!Q522:Q527)</f>
        <v>52000</v>
      </c>
      <c r="H278" s="2">
        <f>SUM('Budget Detail FY 2020-27'!R522:R527)</f>
        <v>0</v>
      </c>
      <c r="I278" s="2">
        <f>SUM('Budget Detail FY 2020-27'!S522:S527)</f>
        <v>0</v>
      </c>
      <c r="J278" s="2">
        <f>SUM('Budget Detail FY 2020-27'!T522:T527)</f>
        <v>0</v>
      </c>
      <c r="K278" s="2">
        <f>SUM('Budget Detail FY 2020-27'!U522:U527)</f>
        <v>0</v>
      </c>
      <c r="L278" s="663"/>
      <c r="M278" s="663"/>
      <c r="N278" s="161"/>
    </row>
    <row r="279" spans="2:14" ht="20.100000000000001" customHeight="1" thickBot="1">
      <c r="B279" s="79" t="s">
        <v>1243</v>
      </c>
      <c r="C279" s="433">
        <f t="shared" ref="C279:K279" si="28">C276+C278</f>
        <v>1074179</v>
      </c>
      <c r="D279" s="433">
        <f t="shared" si="28"/>
        <v>1538720</v>
      </c>
      <c r="E279" s="433">
        <f t="shared" si="28"/>
        <v>547226</v>
      </c>
      <c r="F279" s="433">
        <f t="shared" si="28"/>
        <v>653344</v>
      </c>
      <c r="G279" s="433">
        <f t="shared" si="28"/>
        <v>1105870</v>
      </c>
      <c r="H279" s="433">
        <f t="shared" si="28"/>
        <v>1079745</v>
      </c>
      <c r="I279" s="433">
        <f t="shared" si="28"/>
        <v>1067898</v>
      </c>
      <c r="J279" s="433">
        <f t="shared" si="28"/>
        <v>1127353</v>
      </c>
      <c r="K279" s="433">
        <f t="shared" si="28"/>
        <v>1070106</v>
      </c>
      <c r="L279" s="406"/>
      <c r="M279" s="406"/>
      <c r="N279" s="161"/>
    </row>
    <row r="280" spans="2:14" ht="7.5" customHeight="1">
      <c r="B280" s="1"/>
      <c r="C280" s="2"/>
      <c r="D280" s="2"/>
      <c r="E280" s="2"/>
      <c r="F280" s="2"/>
      <c r="G280" s="2"/>
      <c r="H280" s="2"/>
      <c r="I280" s="2"/>
      <c r="J280" s="2"/>
      <c r="K280" s="2"/>
      <c r="L280" s="663"/>
      <c r="M280" s="663"/>
      <c r="N280" s="161"/>
    </row>
    <row r="281" spans="2:14">
      <c r="B281" s="80" t="s">
        <v>747</v>
      </c>
      <c r="C281" s="2"/>
      <c r="D281" s="2"/>
      <c r="E281" s="2"/>
      <c r="F281" s="2"/>
      <c r="G281" s="2"/>
      <c r="H281" s="2"/>
      <c r="I281" s="2"/>
      <c r="J281" s="2"/>
      <c r="K281" s="2"/>
      <c r="L281" s="663"/>
      <c r="M281" s="663"/>
      <c r="N281" s="161"/>
    </row>
    <row r="282" spans="2:14" ht="20.100000000000001" customHeight="1">
      <c r="B282" s="134" t="s">
        <v>596</v>
      </c>
      <c r="C282" s="49">
        <f>SUM('Budget Detail FY 2020-27'!M533:M534)</f>
        <v>4289</v>
      </c>
      <c r="D282" s="49">
        <f>SUM('Budget Detail FY 2020-27'!N533:N534)</f>
        <v>457</v>
      </c>
      <c r="E282" s="49">
        <f>SUM('Budget Detail FY 2020-27'!O533:O534)</f>
        <v>8750</v>
      </c>
      <c r="F282" s="49">
        <f>SUM('Budget Detail FY 2020-27'!P533:P534)</f>
        <v>8750</v>
      </c>
      <c r="G282" s="49">
        <f>SUM('Budget Detail FY 2020-27'!Q533:Q534)</f>
        <v>53750</v>
      </c>
      <c r="H282" s="49">
        <f>SUM('Budget Detail FY 2020-27'!R533:R534)</f>
        <v>38750</v>
      </c>
      <c r="I282" s="49">
        <f>SUM('Budget Detail FY 2020-27'!S533:S534)</f>
        <v>38750</v>
      </c>
      <c r="J282" s="49">
        <f>SUM('Budget Detail FY 2020-27'!T533:T534)</f>
        <v>38750</v>
      </c>
      <c r="K282" s="49">
        <f>SUM('Budget Detail FY 2020-27'!U533:U534)</f>
        <v>48750</v>
      </c>
      <c r="L282" s="666"/>
      <c r="M282" s="666"/>
      <c r="N282" s="161"/>
    </row>
    <row r="283" spans="2:14" ht="20.100000000000001" customHeight="1">
      <c r="B283" s="134" t="s">
        <v>598</v>
      </c>
      <c r="C283" s="2">
        <f>SUM('Budget Detail FY 2020-27'!M535:M536)</f>
        <v>59702</v>
      </c>
      <c r="D283" s="2">
        <f>SUM('Budget Detail FY 2020-27'!N535:N536)</f>
        <v>158102</v>
      </c>
      <c r="E283" s="2">
        <f>SUM('Budget Detail FY 2020-27'!O535:O536)</f>
        <v>310000</v>
      </c>
      <c r="F283" s="2">
        <f>SUM('Budget Detail FY 2020-27'!P535:P536)</f>
        <v>120259</v>
      </c>
      <c r="G283" s="2">
        <f>SUM('Budget Detail FY 2020-27'!Q535:Q536)</f>
        <v>200000</v>
      </c>
      <c r="H283" s="2">
        <f>SUM('Budget Detail FY 2020-27'!R535:R536)</f>
        <v>209000</v>
      </c>
      <c r="I283" s="2">
        <f>SUM('Budget Detail FY 2020-27'!S535:S536)</f>
        <v>194400</v>
      </c>
      <c r="J283" s="2">
        <f>SUM('Budget Detail FY 2020-27'!T535:T536)</f>
        <v>200700</v>
      </c>
      <c r="K283" s="2">
        <f>SUM('Budget Detail FY 2020-27'!U535:U536)</f>
        <v>206550</v>
      </c>
      <c r="L283" s="663"/>
      <c r="M283" s="663"/>
      <c r="N283" s="161"/>
    </row>
    <row r="284" spans="2:14" ht="20.100000000000001" customHeight="1" thickBot="1">
      <c r="B284" s="79" t="s">
        <v>752</v>
      </c>
      <c r="C284" s="433">
        <f t="shared" ref="C284:K284" si="29">SUM(C282:C283)</f>
        <v>63991</v>
      </c>
      <c r="D284" s="433">
        <f t="shared" si="29"/>
        <v>158559</v>
      </c>
      <c r="E284" s="433">
        <f t="shared" si="29"/>
        <v>318750</v>
      </c>
      <c r="F284" s="433">
        <f t="shared" si="29"/>
        <v>129009</v>
      </c>
      <c r="G284" s="433">
        <f t="shared" si="29"/>
        <v>253750</v>
      </c>
      <c r="H284" s="433">
        <f t="shared" si="29"/>
        <v>247750</v>
      </c>
      <c r="I284" s="433">
        <f t="shared" si="29"/>
        <v>233150</v>
      </c>
      <c r="J284" s="433">
        <f t="shared" si="29"/>
        <v>239450</v>
      </c>
      <c r="K284" s="433">
        <f t="shared" si="29"/>
        <v>255300</v>
      </c>
      <c r="L284" s="406"/>
      <c r="M284" s="406"/>
      <c r="N284" s="161"/>
    </row>
    <row r="285" spans="2:14" ht="7.5" customHeight="1">
      <c r="B285" s="80"/>
      <c r="C285" s="3"/>
      <c r="D285" s="3"/>
      <c r="E285" s="3"/>
      <c r="F285" s="3"/>
      <c r="G285" s="3"/>
      <c r="H285" s="3"/>
      <c r="I285" s="3"/>
      <c r="J285" s="3"/>
      <c r="K285" s="3"/>
      <c r="L285" s="669"/>
      <c r="M285" s="669"/>
      <c r="N285" s="161"/>
    </row>
    <row r="286" spans="2:14">
      <c r="B286" s="80" t="s">
        <v>1064</v>
      </c>
      <c r="C286" s="2"/>
      <c r="D286" s="2"/>
      <c r="E286" s="2"/>
      <c r="F286" s="2"/>
      <c r="G286" s="2"/>
      <c r="H286" s="2"/>
      <c r="I286" s="2"/>
      <c r="J286" s="2"/>
      <c r="K286" s="2"/>
      <c r="L286" s="663"/>
      <c r="M286" s="663"/>
      <c r="N286" s="161"/>
    </row>
    <row r="287" spans="2:14" ht="20.100000000000001" customHeight="1">
      <c r="B287" s="134" t="s">
        <v>597</v>
      </c>
      <c r="C287" s="49">
        <f>'Budget Detail FY 2020-27'!M540</f>
        <v>66720</v>
      </c>
      <c r="D287" s="49">
        <f>'Budget Detail FY 2020-27'!N540</f>
        <v>3643</v>
      </c>
      <c r="E287" s="49">
        <f>'Budget Detail FY 2020-27'!O540</f>
        <v>12232</v>
      </c>
      <c r="F287" s="49">
        <f>'Budget Detail FY 2020-27'!P540</f>
        <v>12232</v>
      </c>
      <c r="G287" s="49">
        <f>'Budget Detail FY 2020-27'!Q540</f>
        <v>86983</v>
      </c>
      <c r="H287" s="49">
        <f>'Budget Detail FY 2020-27'!R540</f>
        <v>13122</v>
      </c>
      <c r="I287" s="49">
        <f>'Budget Detail FY 2020-27'!S540</f>
        <v>20328</v>
      </c>
      <c r="J287" s="49">
        <f>'Budget Detail FY 2020-27'!T540</f>
        <v>88483</v>
      </c>
      <c r="K287" s="49">
        <f>'Budget Detail FY 2020-27'!U540</f>
        <v>15386</v>
      </c>
      <c r="L287" s="666"/>
      <c r="M287" s="666"/>
      <c r="N287" s="161"/>
    </row>
    <row r="288" spans="2:14" ht="20.100000000000001" customHeight="1">
      <c r="B288" s="134" t="s">
        <v>598</v>
      </c>
      <c r="C288" s="2">
        <f>'Budget Detail FY 2020-27'!M541</f>
        <v>0</v>
      </c>
      <c r="D288" s="2">
        <f>'Budget Detail FY 2020-27'!N541</f>
        <v>0</v>
      </c>
      <c r="E288" s="2">
        <f>'Budget Detail FY 2020-27'!O541</f>
        <v>31000</v>
      </c>
      <c r="F288" s="2">
        <f>'Budget Detail FY 2020-27'!P541</f>
        <v>110095</v>
      </c>
      <c r="G288" s="2">
        <f>'Budget Detail FY 2020-27'!Q541</f>
        <v>0</v>
      </c>
      <c r="H288" s="2">
        <f>'Budget Detail FY 2020-27'!R541</f>
        <v>0</v>
      </c>
      <c r="I288" s="2">
        <f>'Budget Detail FY 2020-27'!S541</f>
        <v>0</v>
      </c>
      <c r="J288" s="2">
        <f>'Budget Detail FY 2020-27'!T541</f>
        <v>0</v>
      </c>
      <c r="K288" s="2">
        <f>'Budget Detail FY 2020-27'!U541</f>
        <v>0</v>
      </c>
      <c r="L288" s="663"/>
      <c r="M288" s="663"/>
      <c r="N288" s="161"/>
    </row>
    <row r="289" spans="2:14" ht="20.100000000000001" customHeight="1" thickBot="1">
      <c r="B289" s="79" t="s">
        <v>752</v>
      </c>
      <c r="C289" s="433">
        <f>SUM(C287:C288)</f>
        <v>66720</v>
      </c>
      <c r="D289" s="433">
        <f t="shared" ref="D289:K289" si="30">SUM(D287:D288)</f>
        <v>3643</v>
      </c>
      <c r="E289" s="433">
        <f t="shared" si="30"/>
        <v>43232</v>
      </c>
      <c r="F289" s="433">
        <f t="shared" si="30"/>
        <v>122327</v>
      </c>
      <c r="G289" s="433">
        <f t="shared" si="30"/>
        <v>86983</v>
      </c>
      <c r="H289" s="433">
        <f t="shared" si="30"/>
        <v>13122</v>
      </c>
      <c r="I289" s="433">
        <f t="shared" si="30"/>
        <v>20328</v>
      </c>
      <c r="J289" s="433">
        <f t="shared" si="30"/>
        <v>88483</v>
      </c>
      <c r="K289" s="433">
        <f t="shared" si="30"/>
        <v>15386</v>
      </c>
      <c r="L289" s="406"/>
      <c r="M289" s="406"/>
      <c r="N289" s="161"/>
    </row>
    <row r="290" spans="2:14" ht="7.5" customHeight="1">
      <c r="B290" s="80"/>
      <c r="C290" s="3"/>
      <c r="D290" s="3"/>
      <c r="E290" s="3"/>
      <c r="F290" s="3"/>
      <c r="G290" s="3"/>
      <c r="H290" s="3"/>
      <c r="I290" s="3"/>
      <c r="J290" s="3"/>
      <c r="K290" s="3"/>
      <c r="L290" s="669"/>
      <c r="M290" s="669"/>
      <c r="N290" s="161"/>
    </row>
    <row r="291" spans="2:14">
      <c r="B291" s="80" t="s">
        <v>748</v>
      </c>
      <c r="C291" s="2"/>
      <c r="D291" s="2"/>
      <c r="E291" s="2"/>
      <c r="F291" s="2"/>
      <c r="G291" s="2"/>
      <c r="H291" s="2"/>
      <c r="I291" s="2"/>
      <c r="J291" s="2"/>
      <c r="K291" s="2"/>
      <c r="L291" s="663"/>
      <c r="M291" s="663"/>
      <c r="N291" s="161"/>
    </row>
    <row r="292" spans="2:14" ht="20.100000000000001" customHeight="1">
      <c r="B292" s="134" t="s">
        <v>596</v>
      </c>
      <c r="C292" s="49">
        <f>SUM('Budget Detail FY 2020-27'!M545:M545)</f>
        <v>580</v>
      </c>
      <c r="D292" s="49">
        <f>SUM('Budget Detail FY 2020-27'!N545:N545)</f>
        <v>469</v>
      </c>
      <c r="E292" s="49">
        <f>SUM('Budget Detail FY 2020-27'!O545:O545)</f>
        <v>750</v>
      </c>
      <c r="F292" s="49">
        <f>SUM('Budget Detail FY 2020-27'!P545:P545)</f>
        <v>750</v>
      </c>
      <c r="G292" s="49">
        <f>SUM('Budget Detail FY 2020-27'!Q545:Q545)</f>
        <v>750</v>
      </c>
      <c r="H292" s="49">
        <f>SUM('Budget Detail FY 2020-27'!R545:R545)</f>
        <v>750</v>
      </c>
      <c r="I292" s="49">
        <f>SUM('Budget Detail FY 2020-27'!S545:S545)</f>
        <v>750</v>
      </c>
      <c r="J292" s="49">
        <f>SUM('Budget Detail FY 2020-27'!T545:T545)</f>
        <v>750</v>
      </c>
      <c r="K292" s="49">
        <f>SUM('Budget Detail FY 2020-27'!U545:U545)</f>
        <v>750</v>
      </c>
      <c r="L292" s="666"/>
      <c r="M292" s="666"/>
      <c r="N292" s="161"/>
    </row>
    <row r="293" spans="2:14" ht="20.100000000000001" customHeight="1">
      <c r="B293" s="134" t="s">
        <v>597</v>
      </c>
      <c r="C293" s="2">
        <f>'Budget Detail FY 2020-27'!M546</f>
        <v>0</v>
      </c>
      <c r="D293" s="2">
        <f>'Budget Detail FY 2020-27'!N546</f>
        <v>0</v>
      </c>
      <c r="E293" s="2">
        <f>'Budget Detail FY 2020-27'!O546</f>
        <v>1000</v>
      </c>
      <c r="F293" s="2">
        <f>'Budget Detail FY 2020-27'!P546</f>
        <v>0</v>
      </c>
      <c r="G293" s="2">
        <f>'Budget Detail FY 2020-27'!Q546</f>
        <v>500</v>
      </c>
      <c r="H293" s="2">
        <f>'Budget Detail FY 2020-27'!R546</f>
        <v>500</v>
      </c>
      <c r="I293" s="2">
        <f>'Budget Detail FY 2020-27'!S546</f>
        <v>500</v>
      </c>
      <c r="J293" s="2">
        <f>'Budget Detail FY 2020-27'!T546</f>
        <v>500</v>
      </c>
      <c r="K293" s="2">
        <f>'Budget Detail FY 2020-27'!U546</f>
        <v>500</v>
      </c>
      <c r="L293" s="663"/>
      <c r="M293" s="663"/>
      <c r="N293" s="161"/>
    </row>
    <row r="294" spans="2:14" ht="20.100000000000001" customHeight="1">
      <c r="B294" s="134" t="s">
        <v>598</v>
      </c>
      <c r="C294" s="2">
        <f>SUM('Budget Detail FY 2020-27'!M547:M548)</f>
        <v>201110</v>
      </c>
      <c r="D294" s="2">
        <f>SUM('Budget Detail FY 2020-27'!N547:N548)</f>
        <v>163355</v>
      </c>
      <c r="E294" s="2">
        <f>SUM('Budget Detail FY 2020-27'!O547:O548)</f>
        <v>926000</v>
      </c>
      <c r="F294" s="2">
        <f>SUM('Budget Detail FY 2020-27'!P547:P548)</f>
        <v>253990</v>
      </c>
      <c r="G294" s="2">
        <f>SUM('Budget Detail FY 2020-27'!Q547:Q548)</f>
        <v>1226414</v>
      </c>
      <c r="H294" s="2">
        <f>SUM('Budget Detail FY 2020-27'!R547:R548)</f>
        <v>400000</v>
      </c>
      <c r="I294" s="2">
        <f>SUM('Budget Detail FY 2020-27'!S547:S548)</f>
        <v>400000</v>
      </c>
      <c r="J294" s="2">
        <f>SUM('Budget Detail FY 2020-27'!T547:T548)</f>
        <v>400000</v>
      </c>
      <c r="K294" s="2">
        <f>SUM('Budget Detail FY 2020-27'!U547:U548)</f>
        <v>400000</v>
      </c>
      <c r="L294" s="663"/>
      <c r="M294" s="663"/>
      <c r="N294" s="161"/>
    </row>
    <row r="295" spans="2:14" ht="20.100000000000001" customHeight="1">
      <c r="B295" s="134" t="s">
        <v>543</v>
      </c>
      <c r="C295" s="2">
        <f>SUM('Budget Detail FY 2020-27'!M550:M551)</f>
        <v>66676</v>
      </c>
      <c r="D295" s="2">
        <f>SUM('Budget Detail FY 2020-27'!N550:N551)</f>
        <v>69396</v>
      </c>
      <c r="E295" s="2">
        <f>SUM('Budget Detail FY 2020-27'!O550:O551)</f>
        <v>69396</v>
      </c>
      <c r="F295" s="2">
        <f>SUM('Budget Detail FY 2020-27'!P550:P551)</f>
        <v>69396</v>
      </c>
      <c r="G295" s="2">
        <f>SUM('Budget Detail FY 2020-27'!Q550:Q551)</f>
        <v>69396</v>
      </c>
      <c r="H295" s="2">
        <f>SUM('Budget Detail FY 2020-27'!R550:R551)</f>
        <v>69396</v>
      </c>
      <c r="I295" s="2">
        <f>SUM('Budget Detail FY 2020-27'!S550:S551)</f>
        <v>69396</v>
      </c>
      <c r="J295" s="2">
        <f>SUM('Budget Detail FY 2020-27'!T550:T551)</f>
        <v>69396</v>
      </c>
      <c r="K295" s="2">
        <f>SUM('Budget Detail FY 2020-27'!U550:U551)</f>
        <v>69396</v>
      </c>
      <c r="L295" s="663"/>
      <c r="M295" s="663"/>
      <c r="N295" s="161"/>
    </row>
    <row r="296" spans="2:14" s="470" customFormat="1" ht="20.100000000000001" customHeight="1">
      <c r="B296" s="516" t="s">
        <v>600</v>
      </c>
      <c r="C296" s="514">
        <f t="shared" ref="C296:K296" si="31">SUM(C292:C295)</f>
        <v>268366</v>
      </c>
      <c r="D296" s="514">
        <f t="shared" si="31"/>
        <v>233220</v>
      </c>
      <c r="E296" s="514">
        <f t="shared" si="31"/>
        <v>997146</v>
      </c>
      <c r="F296" s="514">
        <f t="shared" si="31"/>
        <v>324136</v>
      </c>
      <c r="G296" s="514">
        <f t="shared" si="31"/>
        <v>1297060</v>
      </c>
      <c r="H296" s="514">
        <f t="shared" si="31"/>
        <v>470646</v>
      </c>
      <c r="I296" s="514">
        <f t="shared" si="31"/>
        <v>470646</v>
      </c>
      <c r="J296" s="514">
        <f t="shared" si="31"/>
        <v>470646</v>
      </c>
      <c r="K296" s="514">
        <f t="shared" si="31"/>
        <v>470646</v>
      </c>
      <c r="L296" s="406"/>
      <c r="M296" s="406"/>
      <c r="N296" s="161"/>
    </row>
    <row r="297" spans="2:14" s="470" customFormat="1" ht="6.9" customHeight="1">
      <c r="B297" s="134"/>
      <c r="C297" s="2"/>
      <c r="D297" s="2"/>
      <c r="E297" s="2"/>
      <c r="F297" s="2"/>
      <c r="G297" s="2"/>
      <c r="H297" s="2"/>
      <c r="I297" s="2"/>
      <c r="J297" s="2"/>
      <c r="K297" s="2"/>
      <c r="L297" s="663"/>
      <c r="M297" s="663"/>
      <c r="N297" s="161"/>
    </row>
    <row r="298" spans="2:14" s="321" customFormat="1" ht="20.100000000000001" customHeight="1">
      <c r="B298" s="134" t="s">
        <v>599</v>
      </c>
      <c r="C298" s="2">
        <f>'Budget Detail FY 2020-27'!M554</f>
        <v>531617</v>
      </c>
      <c r="D298" s="2">
        <f>'Budget Detail FY 2020-27'!N554</f>
        <v>0</v>
      </c>
      <c r="E298" s="2">
        <f>'Budget Detail FY 2020-27'!O554</f>
        <v>0</v>
      </c>
      <c r="F298" s="2">
        <f>'Budget Detail FY 2020-27'!P554</f>
        <v>0</v>
      </c>
      <c r="G298" s="2">
        <f>'Budget Detail FY 2020-27'!Q554</f>
        <v>0</v>
      </c>
      <c r="H298" s="2">
        <f>'Budget Detail FY 2020-27'!R554</f>
        <v>0</v>
      </c>
      <c r="I298" s="2">
        <f>'Budget Detail FY 2020-27'!S554</f>
        <v>0</v>
      </c>
      <c r="J298" s="2">
        <f>'Budget Detail FY 2020-27'!T554</f>
        <v>0</v>
      </c>
      <c r="K298" s="2">
        <f>'Budget Detail FY 2020-27'!U554</f>
        <v>0</v>
      </c>
      <c r="L298" s="663"/>
      <c r="M298" s="663"/>
      <c r="N298" s="161"/>
    </row>
    <row r="299" spans="2:14" ht="20.100000000000001" customHeight="1" thickBot="1">
      <c r="B299" s="79" t="s">
        <v>1244</v>
      </c>
      <c r="C299" s="433">
        <f t="shared" ref="C299:K299" si="32">C296+C298</f>
        <v>799983</v>
      </c>
      <c r="D299" s="433">
        <f t="shared" si="32"/>
        <v>233220</v>
      </c>
      <c r="E299" s="433">
        <f t="shared" si="32"/>
        <v>997146</v>
      </c>
      <c r="F299" s="433">
        <f t="shared" si="32"/>
        <v>324136</v>
      </c>
      <c r="G299" s="433">
        <f t="shared" si="32"/>
        <v>1297060</v>
      </c>
      <c r="H299" s="433">
        <f t="shared" si="32"/>
        <v>470646</v>
      </c>
      <c r="I299" s="433">
        <f t="shared" si="32"/>
        <v>470646</v>
      </c>
      <c r="J299" s="433">
        <f t="shared" si="32"/>
        <v>470646</v>
      </c>
      <c r="K299" s="433">
        <f t="shared" si="32"/>
        <v>470646</v>
      </c>
      <c r="L299" s="406"/>
      <c r="M299" s="406"/>
      <c r="N299" s="161"/>
    </row>
    <row r="300" spans="2:14" ht="7.5" customHeight="1">
      <c r="B300" s="80"/>
      <c r="C300" s="3"/>
      <c r="D300" s="3"/>
      <c r="E300" s="3"/>
      <c r="F300" s="3"/>
      <c r="G300" s="3"/>
      <c r="H300" s="3"/>
      <c r="I300" s="3"/>
      <c r="J300" s="3"/>
      <c r="K300" s="3"/>
      <c r="L300" s="669"/>
      <c r="M300" s="669"/>
      <c r="N300" s="161"/>
    </row>
    <row r="301" spans="2:14">
      <c r="B301" s="80" t="s">
        <v>867</v>
      </c>
      <c r="C301" s="2"/>
      <c r="D301" s="2"/>
      <c r="E301" s="2"/>
      <c r="F301" s="2"/>
      <c r="G301" s="2"/>
      <c r="H301" s="2"/>
      <c r="I301" s="2"/>
      <c r="J301" s="2"/>
      <c r="K301" s="2"/>
      <c r="L301" s="663"/>
      <c r="M301" s="663"/>
      <c r="N301" s="161"/>
    </row>
    <row r="302" spans="2:14" ht="20.100000000000001" customHeight="1">
      <c r="B302" s="134" t="s">
        <v>596</v>
      </c>
      <c r="C302" s="49">
        <f>'Budget Detail FY 2020-27'!M560</f>
        <v>10</v>
      </c>
      <c r="D302" s="49">
        <f>'Budget Detail FY 2020-27'!N560</f>
        <v>0</v>
      </c>
      <c r="E302" s="49">
        <f>'Budget Detail FY 2020-27'!O560</f>
        <v>1600</v>
      </c>
      <c r="F302" s="49">
        <f>'Budget Detail FY 2020-27'!P560</f>
        <v>0</v>
      </c>
      <c r="G302" s="49">
        <f>'Budget Detail FY 2020-27'!Q560</f>
        <v>1600</v>
      </c>
      <c r="H302" s="49">
        <f>'Budget Detail FY 2020-27'!R560</f>
        <v>1600</v>
      </c>
      <c r="I302" s="49">
        <f>'Budget Detail FY 2020-27'!S560</f>
        <v>1600</v>
      </c>
      <c r="J302" s="49">
        <f>'Budget Detail FY 2020-27'!T560</f>
        <v>1600</v>
      </c>
      <c r="K302" s="49">
        <f>'Budget Detail FY 2020-27'!U560</f>
        <v>1600</v>
      </c>
      <c r="L302" s="666"/>
      <c r="M302" s="666"/>
      <c r="N302" s="161"/>
    </row>
    <row r="303" spans="2:14" ht="20.100000000000001" customHeight="1">
      <c r="B303" s="134" t="s">
        <v>598</v>
      </c>
      <c r="C303" s="2">
        <f>SUM('Budget Detail FY 2020-27'!M561:M563)</f>
        <v>109076</v>
      </c>
      <c r="D303" s="2">
        <f>SUM('Budget Detail FY 2020-27'!N561:N563)</f>
        <v>167024</v>
      </c>
      <c r="E303" s="2">
        <f>SUM('Budget Detail FY 2020-27'!O561:O563)</f>
        <v>515096</v>
      </c>
      <c r="F303" s="2">
        <f>SUM('Budget Detail FY 2020-27'!P561:P563)</f>
        <v>72493</v>
      </c>
      <c r="G303" s="2">
        <f>SUM('Budget Detail FY 2020-27'!Q561:Q563)</f>
        <v>593656</v>
      </c>
      <c r="H303" s="2">
        <f>SUM('Budget Detail FY 2020-27'!R561:R563)</f>
        <v>384096</v>
      </c>
      <c r="I303" s="2">
        <f>SUM('Budget Detail FY 2020-27'!S561:S563)</f>
        <v>340000</v>
      </c>
      <c r="J303" s="2">
        <f>SUM('Budget Detail FY 2020-27'!T561:T563)</f>
        <v>325000</v>
      </c>
      <c r="K303" s="2">
        <f>SUM('Budget Detail FY 2020-27'!U561:U563)</f>
        <v>325000</v>
      </c>
      <c r="L303" s="663"/>
      <c r="M303" s="663"/>
      <c r="N303" s="161"/>
    </row>
    <row r="304" spans="2:14" ht="20.100000000000001" customHeight="1">
      <c r="B304" s="134" t="s">
        <v>543</v>
      </c>
      <c r="C304" s="2">
        <f>SUM('Budget Detail FY 2020-27'!M565:M566)</f>
        <v>2089</v>
      </c>
      <c r="D304" s="2">
        <f>SUM('Budget Detail FY 2020-27'!N565:N566)</f>
        <v>2175</v>
      </c>
      <c r="E304" s="2">
        <f>SUM('Budget Detail FY 2020-27'!O565:O566)</f>
        <v>2174</v>
      </c>
      <c r="F304" s="2">
        <f>SUM('Budget Detail FY 2020-27'!P565:P566)</f>
        <v>2174</v>
      </c>
      <c r="G304" s="2">
        <f>SUM('Budget Detail FY 2020-27'!Q565:Q566)</f>
        <v>2174</v>
      </c>
      <c r="H304" s="2">
        <f>SUM('Budget Detail FY 2020-27'!R565:R566)</f>
        <v>2174</v>
      </c>
      <c r="I304" s="2">
        <f>SUM('Budget Detail FY 2020-27'!S565:S566)</f>
        <v>2174</v>
      </c>
      <c r="J304" s="2">
        <f>SUM('Budget Detail FY 2020-27'!T565:T566)</f>
        <v>2174</v>
      </c>
      <c r="K304" s="2">
        <f>SUM('Budget Detail FY 2020-27'!U565:U566)</f>
        <v>2174</v>
      </c>
      <c r="L304" s="663"/>
      <c r="M304" s="663"/>
      <c r="N304" s="161"/>
    </row>
    <row r="305" spans="2:14" s="470" customFormat="1" ht="20.100000000000001" customHeight="1">
      <c r="B305" s="516" t="s">
        <v>600</v>
      </c>
      <c r="C305" s="514">
        <f t="shared" ref="C305:K305" si="33">SUM(C302:C304)</f>
        <v>111175</v>
      </c>
      <c r="D305" s="514">
        <f t="shared" si="33"/>
        <v>169199</v>
      </c>
      <c r="E305" s="514">
        <f t="shared" si="33"/>
        <v>518870</v>
      </c>
      <c r="F305" s="514">
        <f t="shared" si="33"/>
        <v>74667</v>
      </c>
      <c r="G305" s="514">
        <f t="shared" si="33"/>
        <v>597430</v>
      </c>
      <c r="H305" s="514">
        <f t="shared" si="33"/>
        <v>387870</v>
      </c>
      <c r="I305" s="514">
        <f t="shared" si="33"/>
        <v>343774</v>
      </c>
      <c r="J305" s="514">
        <f t="shared" si="33"/>
        <v>328774</v>
      </c>
      <c r="K305" s="514">
        <f t="shared" si="33"/>
        <v>328774</v>
      </c>
      <c r="L305" s="406"/>
      <c r="M305" s="406"/>
      <c r="N305" s="161"/>
    </row>
    <row r="306" spans="2:14" s="470" customFormat="1" ht="6.9" customHeight="1">
      <c r="B306" s="134"/>
      <c r="C306" s="2"/>
      <c r="D306" s="2"/>
      <c r="E306" s="2"/>
      <c r="F306" s="2"/>
      <c r="G306" s="2"/>
      <c r="H306" s="2"/>
      <c r="I306" s="2"/>
      <c r="J306" s="2"/>
      <c r="K306" s="2"/>
      <c r="L306" s="663"/>
      <c r="M306" s="663"/>
      <c r="N306" s="161"/>
    </row>
    <row r="307" spans="2:14" s="321" customFormat="1" ht="20.100000000000001" customHeight="1">
      <c r="B307" s="134" t="s">
        <v>599</v>
      </c>
      <c r="C307" s="2">
        <f>'Budget Detail FY 2020-27'!M569</f>
        <v>16656</v>
      </c>
      <c r="D307" s="2">
        <f>'Budget Detail FY 2020-27'!N569</f>
        <v>0</v>
      </c>
      <c r="E307" s="353">
        <f>'Budget Detail FY 2020-27'!O569</f>
        <v>0</v>
      </c>
      <c r="F307" s="353">
        <f>'Budget Detail FY 2020-27'!P569</f>
        <v>0</v>
      </c>
      <c r="G307" s="353">
        <f>'Budget Detail FY 2020-27'!Q569</f>
        <v>0</v>
      </c>
      <c r="H307" s="353">
        <f>'Budget Detail FY 2020-27'!R569</f>
        <v>0</v>
      </c>
      <c r="I307" s="353">
        <f>'Budget Detail FY 2020-27'!S569</f>
        <v>0</v>
      </c>
      <c r="J307" s="353">
        <f>'Budget Detail FY 2020-27'!T569</f>
        <v>0</v>
      </c>
      <c r="K307" s="353">
        <f>'Budget Detail FY 2020-27'!U569</f>
        <v>0</v>
      </c>
      <c r="L307" s="673"/>
      <c r="M307" s="673"/>
      <c r="N307" s="161"/>
    </row>
    <row r="308" spans="2:14" ht="20.100000000000001" customHeight="1" thickBot="1">
      <c r="B308" s="79" t="s">
        <v>1244</v>
      </c>
      <c r="C308" s="433">
        <f t="shared" ref="C308:K308" si="34">C307+C305</f>
        <v>127831</v>
      </c>
      <c r="D308" s="433">
        <f t="shared" si="34"/>
        <v>169199</v>
      </c>
      <c r="E308" s="433">
        <f t="shared" si="34"/>
        <v>518870</v>
      </c>
      <c r="F308" s="433">
        <f t="shared" si="34"/>
        <v>74667</v>
      </c>
      <c r="G308" s="433">
        <f t="shared" si="34"/>
        <v>597430</v>
      </c>
      <c r="H308" s="433">
        <f t="shared" si="34"/>
        <v>387870</v>
      </c>
      <c r="I308" s="433">
        <f t="shared" si="34"/>
        <v>343774</v>
      </c>
      <c r="J308" s="433">
        <f t="shared" si="34"/>
        <v>328774</v>
      </c>
      <c r="K308" s="433">
        <f t="shared" si="34"/>
        <v>328774</v>
      </c>
      <c r="L308" s="406"/>
      <c r="M308" s="406"/>
      <c r="N308" s="161"/>
    </row>
    <row r="309" spans="2:14" ht="7.5" customHeight="1">
      <c r="B309" s="80"/>
      <c r="C309" s="3"/>
      <c r="D309" s="3"/>
      <c r="E309" s="3"/>
      <c r="F309" s="3"/>
      <c r="G309" s="3"/>
      <c r="H309" s="3"/>
      <c r="I309" s="3"/>
      <c r="J309" s="3"/>
      <c r="K309" s="3"/>
      <c r="L309" s="669"/>
      <c r="M309" s="669"/>
      <c r="N309" s="161"/>
    </row>
    <row r="310" spans="2:14" ht="20.100000000000001" customHeight="1" thickBot="1">
      <c r="B310" s="79" t="s">
        <v>1242</v>
      </c>
      <c r="C310" s="433">
        <f t="shared" ref="C310:K310" si="35">C284+C299+C308+C289</f>
        <v>1058525</v>
      </c>
      <c r="D310" s="433">
        <f t="shared" si="35"/>
        <v>564621</v>
      </c>
      <c r="E310" s="433">
        <f t="shared" si="35"/>
        <v>1877998</v>
      </c>
      <c r="F310" s="433">
        <f t="shared" si="35"/>
        <v>650139</v>
      </c>
      <c r="G310" s="433">
        <f t="shared" si="35"/>
        <v>2235223</v>
      </c>
      <c r="H310" s="433">
        <f t="shared" si="35"/>
        <v>1119388</v>
      </c>
      <c r="I310" s="433">
        <f t="shared" si="35"/>
        <v>1067898</v>
      </c>
      <c r="J310" s="433">
        <f t="shared" si="35"/>
        <v>1127353</v>
      </c>
      <c r="K310" s="433">
        <f t="shared" si="35"/>
        <v>1070106</v>
      </c>
      <c r="L310" s="406"/>
      <c r="M310" s="406"/>
      <c r="N310" s="661"/>
    </row>
    <row r="311" spans="2:14" ht="7.5" customHeight="1">
      <c r="B311" s="80"/>
      <c r="C311" s="3"/>
      <c r="D311" s="3"/>
      <c r="E311" s="3"/>
      <c r="F311" s="3"/>
      <c r="G311" s="3"/>
      <c r="H311" s="3"/>
      <c r="I311" s="3"/>
      <c r="J311" s="3"/>
      <c r="K311" s="3"/>
      <c r="L311" s="669"/>
      <c r="M311" s="669"/>
      <c r="N311" s="161"/>
    </row>
    <row r="312" spans="2:14" ht="20.100000000000001" customHeight="1">
      <c r="B312" s="133" t="s">
        <v>601</v>
      </c>
      <c r="C312" s="49">
        <f t="shared" ref="C312:K312" si="36">C279-C310</f>
        <v>15654</v>
      </c>
      <c r="D312" s="49">
        <f t="shared" si="36"/>
        <v>974099</v>
      </c>
      <c r="E312" s="49">
        <f t="shared" si="36"/>
        <v>-1330772</v>
      </c>
      <c r="F312" s="49">
        <f t="shared" si="36"/>
        <v>3205</v>
      </c>
      <c r="G312" s="49">
        <f t="shared" si="36"/>
        <v>-1129353</v>
      </c>
      <c r="H312" s="49">
        <f t="shared" si="36"/>
        <v>-39643</v>
      </c>
      <c r="I312" s="49">
        <f t="shared" si="36"/>
        <v>0</v>
      </c>
      <c r="J312" s="49">
        <f t="shared" si="36"/>
        <v>0</v>
      </c>
      <c r="K312" s="49">
        <f t="shared" si="36"/>
        <v>0</v>
      </c>
      <c r="L312" s="666"/>
      <c r="M312" s="666"/>
      <c r="N312" s="161"/>
    </row>
    <row r="313" spans="2:14" ht="7.5" customHeight="1">
      <c r="B313" s="83"/>
      <c r="C313" s="65"/>
      <c r="D313" s="65"/>
      <c r="E313" s="65"/>
      <c r="F313" s="65"/>
      <c r="G313" s="65"/>
      <c r="H313" s="65"/>
      <c r="I313" s="65"/>
      <c r="J313" s="65"/>
      <c r="K313" s="65"/>
      <c r="L313" s="667"/>
      <c r="M313" s="667"/>
      <c r="N313" s="161"/>
    </row>
    <row r="314" spans="2:14">
      <c r="B314" s="84" t="s">
        <v>749</v>
      </c>
      <c r="C314" s="434">
        <v>73881</v>
      </c>
      <c r="D314" s="434">
        <f>'Budget Detail FY 2020-27'!N582</f>
        <v>227811</v>
      </c>
      <c r="E314" s="434">
        <v>0</v>
      </c>
      <c r="F314" s="434">
        <f>'Budget Detail FY 2020-27'!P582</f>
        <v>244619</v>
      </c>
      <c r="G314" s="434">
        <f>'Budget Detail FY 2020-27'!Q582</f>
        <v>76494</v>
      </c>
      <c r="H314" s="434">
        <f>'Budget Detail FY 2020-27'!R582</f>
        <v>70000</v>
      </c>
      <c r="I314" s="434">
        <f>'Budget Detail FY 2020-27'!S582</f>
        <v>70000</v>
      </c>
      <c r="J314" s="434">
        <f>'Budget Detail FY 2020-27'!T582</f>
        <v>70000</v>
      </c>
      <c r="K314" s="434">
        <f>'Budget Detail FY 2020-27'!U582</f>
        <v>70000</v>
      </c>
      <c r="L314" s="674"/>
      <c r="M314" s="674"/>
      <c r="N314" s="161"/>
    </row>
    <row r="315" spans="2:14" ht="7.5" customHeight="1">
      <c r="B315" s="84"/>
      <c r="C315" s="57"/>
      <c r="D315" s="57"/>
      <c r="E315" s="57"/>
      <c r="F315" s="57"/>
      <c r="G315" s="57"/>
      <c r="H315" s="57"/>
      <c r="I315" s="57"/>
      <c r="J315" s="57"/>
      <c r="K315" s="57"/>
      <c r="L315" s="668"/>
      <c r="M315" s="668"/>
      <c r="N315" s="161"/>
    </row>
    <row r="316" spans="2:14">
      <c r="B316" s="84" t="s">
        <v>1063</v>
      </c>
      <c r="C316" s="57">
        <f>'Budget Detail FY 2020-27'!M584</f>
        <v>941</v>
      </c>
      <c r="D316" s="57">
        <f>'Budget Detail FY 2020-27'!N584</f>
        <v>941</v>
      </c>
      <c r="E316" s="57">
        <f>'Budget Detail FY 2020-27'!O584</f>
        <v>941</v>
      </c>
      <c r="F316" s="57">
        <f>'Budget Detail FY 2020-27'!P584</f>
        <v>0</v>
      </c>
      <c r="G316" s="57">
        <f>'Budget Detail FY 2020-27'!Q584</f>
        <v>0</v>
      </c>
      <c r="H316" s="57">
        <f>'Budget Detail FY 2020-27'!R584</f>
        <v>0</v>
      </c>
      <c r="I316" s="57">
        <f>'Budget Detail FY 2020-27'!S584</f>
        <v>0</v>
      </c>
      <c r="J316" s="57">
        <f>'Budget Detail FY 2020-27'!T584</f>
        <v>0</v>
      </c>
      <c r="K316" s="57">
        <f>'Budget Detail FY 2020-27'!U584</f>
        <v>0</v>
      </c>
      <c r="L316" s="668"/>
      <c r="M316" s="668"/>
      <c r="N316" s="161"/>
    </row>
    <row r="317" spans="2:14">
      <c r="B317" s="84" t="s">
        <v>750</v>
      </c>
      <c r="C317" s="57">
        <v>101612</v>
      </c>
      <c r="D317" s="57">
        <v>679034</v>
      </c>
      <c r="E317" s="57">
        <v>22469</v>
      </c>
      <c r="F317" s="57">
        <f>'Budget Detail FY 2020-27'!P586</f>
        <v>593801</v>
      </c>
      <c r="G317" s="57">
        <f>'Budget Detail FY 2020-27'!Q586</f>
        <v>30149</v>
      </c>
      <c r="H317" s="57">
        <f>'Budget Detail FY 2020-27'!R586</f>
        <v>0</v>
      </c>
      <c r="I317" s="57">
        <f>'Budget Detail FY 2020-27'!S586</f>
        <v>0</v>
      </c>
      <c r="J317" s="57">
        <f>'Budget Detail FY 2020-27'!T586</f>
        <v>0</v>
      </c>
      <c r="K317" s="57">
        <f>'Budget Detail FY 2020-27'!U586</f>
        <v>0</v>
      </c>
      <c r="L317" s="668"/>
      <c r="M317" s="668"/>
      <c r="N317" s="161"/>
    </row>
    <row r="318" spans="2:14" ht="7.5" customHeight="1">
      <c r="B318" s="84"/>
      <c r="C318" s="57"/>
      <c r="D318" s="57"/>
      <c r="E318" s="57"/>
      <c r="F318" s="57"/>
      <c r="G318" s="57"/>
      <c r="H318" s="57"/>
      <c r="I318" s="57"/>
      <c r="J318" s="57"/>
      <c r="K318" s="57"/>
      <c r="L318" s="668"/>
      <c r="M318" s="668"/>
      <c r="N318" s="161"/>
    </row>
    <row r="319" spans="2:14">
      <c r="B319" s="84" t="s">
        <v>868</v>
      </c>
      <c r="C319" s="57">
        <v>335258</v>
      </c>
      <c r="D319" s="57">
        <f>'Budget Detail FY 2020-27'!N588</f>
        <v>578005</v>
      </c>
      <c r="E319" s="57">
        <v>250000</v>
      </c>
      <c r="F319" s="57">
        <f>'Budget Detail FY 2020-27'!P588</f>
        <v>650576</v>
      </c>
      <c r="G319" s="57">
        <f>'Budget Detail FY 2020-27'!Q588</f>
        <v>253000</v>
      </c>
      <c r="H319" s="57">
        <f>'Budget Detail FY 2020-27'!R588</f>
        <v>250000</v>
      </c>
      <c r="I319" s="57">
        <f>'Budget Detail FY 2020-27'!S588</f>
        <v>250000</v>
      </c>
      <c r="J319" s="57">
        <f>'Budget Detail FY 2020-27'!T588</f>
        <v>250000</v>
      </c>
      <c r="K319" s="57">
        <f>'Budget Detail FY 2020-27'!U588</f>
        <v>250000</v>
      </c>
      <c r="L319" s="668"/>
      <c r="M319" s="668"/>
      <c r="N319" s="161"/>
    </row>
    <row r="320" spans="2:14" ht="7.5" customHeight="1">
      <c r="B320" s="84"/>
      <c r="C320" s="57"/>
      <c r="D320" s="57"/>
      <c r="E320" s="57"/>
      <c r="F320" s="57"/>
      <c r="G320" s="57"/>
      <c r="H320" s="57"/>
      <c r="I320" s="57"/>
      <c r="J320" s="57"/>
      <c r="K320" s="57"/>
      <c r="L320" s="668"/>
      <c r="M320" s="668"/>
      <c r="N320" s="161"/>
    </row>
    <row r="321" spans="2:14" ht="15.75" customHeight="1" thickBot="1">
      <c r="B321" s="78" t="s">
        <v>602</v>
      </c>
      <c r="C321" s="431">
        <v>511692</v>
      </c>
      <c r="D321" s="431">
        <v>1485791</v>
      </c>
      <c r="E321" s="431">
        <v>273410</v>
      </c>
      <c r="F321" s="431">
        <f>D321+F312</f>
        <v>1488996</v>
      </c>
      <c r="G321" s="431">
        <f>F321+G312</f>
        <v>359643</v>
      </c>
      <c r="H321" s="431">
        <f>G321+H312</f>
        <v>320000</v>
      </c>
      <c r="I321" s="431">
        <f>H321+I312</f>
        <v>320000</v>
      </c>
      <c r="J321" s="431">
        <f>I321+J312</f>
        <v>320000</v>
      </c>
      <c r="K321" s="431">
        <f>J321+K312</f>
        <v>320000</v>
      </c>
      <c r="L321" s="406"/>
      <c r="M321" s="406"/>
      <c r="N321" s="161"/>
    </row>
    <row r="322" spans="2:14" ht="7.5" customHeight="1" thickTop="1">
      <c r="B322" s="4"/>
      <c r="C322" s="2"/>
      <c r="D322" s="2"/>
      <c r="E322" s="2"/>
      <c r="F322" s="2"/>
      <c r="G322" s="2"/>
      <c r="H322" s="2"/>
      <c r="I322" s="2"/>
      <c r="J322" s="2"/>
      <c r="K322" s="2"/>
      <c r="L322" s="663"/>
      <c r="M322" s="663"/>
      <c r="N322" s="161"/>
    </row>
    <row r="323" spans="2:14">
      <c r="B323" s="4"/>
      <c r="C323" s="2"/>
      <c r="D323" s="2"/>
      <c r="E323" s="2"/>
      <c r="F323" s="2"/>
      <c r="G323" s="2"/>
      <c r="H323" s="2"/>
      <c r="I323" s="2"/>
      <c r="J323" s="2"/>
      <c r="K323" s="2"/>
      <c r="L323" s="663"/>
      <c r="M323" s="663"/>
      <c r="N323" s="161"/>
    </row>
    <row r="324" spans="2:14">
      <c r="B324" s="1"/>
      <c r="C324" s="2"/>
      <c r="D324" s="2"/>
      <c r="E324" s="2"/>
      <c r="F324" s="2"/>
      <c r="G324" s="2"/>
      <c r="H324" s="2"/>
      <c r="I324" s="2"/>
      <c r="J324" s="2"/>
      <c r="K324" s="2"/>
      <c r="L324" s="663"/>
      <c r="M324" s="663"/>
      <c r="N324" s="161"/>
    </row>
    <row r="325" spans="2:14">
      <c r="B325" s="1"/>
      <c r="C325" s="2"/>
      <c r="D325" s="2"/>
      <c r="E325" s="2"/>
      <c r="F325" s="2"/>
      <c r="G325" s="2"/>
      <c r="H325" s="2"/>
      <c r="I325" s="2"/>
      <c r="J325" s="2"/>
      <c r="K325" s="2"/>
      <c r="L325" s="663"/>
      <c r="M325" s="663"/>
      <c r="N325" s="161"/>
    </row>
    <row r="326" spans="2:14">
      <c r="B326" s="1"/>
      <c r="C326" s="2"/>
      <c r="D326" s="2"/>
      <c r="E326" s="2"/>
      <c r="F326" s="2"/>
      <c r="G326" s="2"/>
      <c r="H326" s="2"/>
      <c r="I326" s="2"/>
      <c r="J326" s="2"/>
      <c r="K326" s="2"/>
      <c r="L326" s="663"/>
      <c r="M326" s="663"/>
      <c r="N326" s="161"/>
    </row>
    <row r="327" spans="2:14">
      <c r="B327" s="1"/>
      <c r="C327" s="2"/>
      <c r="D327" s="2"/>
      <c r="E327" s="2"/>
      <c r="F327" s="2"/>
      <c r="G327" s="2"/>
      <c r="H327" s="2"/>
      <c r="I327" s="2"/>
      <c r="J327" s="2"/>
      <c r="K327" s="2"/>
      <c r="L327" s="663"/>
      <c r="M327" s="663"/>
      <c r="N327" s="161"/>
    </row>
    <row r="328" spans="2:14">
      <c r="B328" s="1"/>
      <c r="C328" s="2"/>
      <c r="D328" s="2"/>
      <c r="E328" s="2"/>
      <c r="F328" s="2"/>
      <c r="G328" s="2"/>
      <c r="H328" s="2"/>
      <c r="I328" s="2"/>
      <c r="J328" s="2"/>
      <c r="K328" s="2"/>
      <c r="L328" s="663"/>
      <c r="M328" s="663"/>
      <c r="N328" s="161"/>
    </row>
    <row r="329" spans="2:14">
      <c r="B329" s="1"/>
      <c r="C329" s="2"/>
      <c r="D329" s="2"/>
      <c r="E329" s="2"/>
      <c r="F329" s="2"/>
      <c r="G329" s="2"/>
      <c r="H329" s="2"/>
      <c r="I329" s="2"/>
      <c r="J329" s="2"/>
      <c r="K329" s="2"/>
      <c r="L329" s="663"/>
      <c r="M329" s="663"/>
      <c r="N329" s="161"/>
    </row>
    <row r="330" spans="2:14">
      <c r="B330" s="1"/>
      <c r="C330" s="2"/>
      <c r="D330" s="2"/>
      <c r="E330" s="2"/>
      <c r="F330" s="2"/>
      <c r="G330" s="2"/>
      <c r="H330" s="2"/>
      <c r="I330" s="2"/>
      <c r="J330" s="2"/>
      <c r="K330" s="2"/>
      <c r="L330" s="663"/>
      <c r="M330" s="663"/>
      <c r="N330" s="161"/>
    </row>
    <row r="331" spans="2:14">
      <c r="B331" s="1"/>
      <c r="C331" s="2"/>
      <c r="D331" s="2"/>
      <c r="E331" s="2"/>
      <c r="F331" s="2"/>
      <c r="G331" s="2"/>
      <c r="H331" s="2"/>
      <c r="I331" s="2"/>
      <c r="J331" s="2"/>
      <c r="K331" s="2"/>
      <c r="L331" s="663"/>
      <c r="M331" s="663"/>
      <c r="N331" s="161"/>
    </row>
    <row r="332" spans="2:14">
      <c r="B332" s="1"/>
      <c r="C332" s="2"/>
      <c r="D332" s="2"/>
      <c r="E332" s="2"/>
      <c r="F332" s="2"/>
      <c r="G332" s="2"/>
      <c r="H332" s="2"/>
      <c r="I332" s="2"/>
      <c r="J332" s="2"/>
      <c r="K332" s="2"/>
      <c r="L332" s="663"/>
      <c r="M332" s="663"/>
      <c r="N332" s="161"/>
    </row>
    <row r="333" spans="2:14">
      <c r="B333" s="1"/>
      <c r="C333" s="2"/>
      <c r="D333" s="2"/>
      <c r="E333" s="2"/>
      <c r="F333" s="2"/>
      <c r="G333" s="2"/>
      <c r="H333" s="2"/>
      <c r="I333" s="2"/>
      <c r="J333" s="2"/>
      <c r="K333" s="2"/>
      <c r="L333" s="663"/>
      <c r="M333" s="663"/>
      <c r="N333" s="161"/>
    </row>
    <row r="334" spans="2:14">
      <c r="N334" s="161"/>
    </row>
    <row r="335" spans="2:14" ht="17.399999999999999">
      <c r="B335" s="682" t="s">
        <v>609</v>
      </c>
      <c r="C335" s="682"/>
      <c r="D335" s="682"/>
      <c r="E335" s="682"/>
      <c r="F335" s="682"/>
      <c r="G335" s="682"/>
      <c r="H335" s="682"/>
      <c r="I335" s="682"/>
      <c r="J335" s="682"/>
      <c r="K335" s="682"/>
      <c r="L335" s="662"/>
      <c r="M335" s="662"/>
      <c r="N335" s="161"/>
    </row>
    <row r="336" spans="2:14">
      <c r="B336" s="43"/>
      <c r="C336" s="2"/>
      <c r="D336" s="2"/>
      <c r="E336" s="2"/>
      <c r="F336" s="2"/>
      <c r="G336" s="2"/>
      <c r="H336" s="2"/>
      <c r="I336" s="2"/>
      <c r="J336" s="2"/>
      <c r="K336" s="2"/>
      <c r="L336" s="663"/>
      <c r="M336" s="663"/>
      <c r="N336" s="161"/>
    </row>
    <row r="337" spans="2:14" ht="12.75" customHeight="1">
      <c r="B337" s="683" t="s">
        <v>924</v>
      </c>
      <c r="C337" s="683"/>
      <c r="D337" s="683"/>
      <c r="E337" s="683"/>
      <c r="F337" s="683"/>
      <c r="G337" s="683"/>
      <c r="H337" s="683"/>
      <c r="I337" s="683"/>
      <c r="J337" s="683"/>
      <c r="K337" s="683"/>
      <c r="L337" s="664"/>
      <c r="M337" s="664"/>
      <c r="N337" s="161"/>
    </row>
    <row r="338" spans="2:14" ht="20.25" customHeight="1">
      <c r="B338" s="683"/>
      <c r="C338" s="683"/>
      <c r="D338" s="683"/>
      <c r="E338" s="683"/>
      <c r="F338" s="683"/>
      <c r="G338" s="683"/>
      <c r="H338" s="683"/>
      <c r="I338" s="683"/>
      <c r="J338" s="683"/>
      <c r="K338" s="683"/>
      <c r="L338" s="664"/>
      <c r="M338" s="664"/>
      <c r="N338" s="161"/>
    </row>
    <row r="339" spans="2:14">
      <c r="B339" s="19"/>
      <c r="C339" s="16"/>
      <c r="D339" s="16"/>
      <c r="E339" s="16"/>
      <c r="F339" s="16"/>
      <c r="G339" s="16"/>
      <c r="H339" s="16"/>
      <c r="I339" s="16"/>
      <c r="J339" s="16"/>
      <c r="K339" s="16"/>
      <c r="L339" s="675"/>
      <c r="M339" s="675"/>
      <c r="N339" s="161"/>
    </row>
    <row r="340" spans="2:14">
      <c r="B340" s="4"/>
      <c r="C340" s="43"/>
      <c r="D340" s="573"/>
      <c r="E340" s="43" t="s">
        <v>815</v>
      </c>
      <c r="F340" s="573"/>
      <c r="G340" s="43" t="s">
        <v>816</v>
      </c>
      <c r="H340" s="573"/>
      <c r="I340" s="573"/>
      <c r="J340" s="573"/>
      <c r="K340" s="573"/>
      <c r="L340" s="304"/>
      <c r="M340" s="304"/>
      <c r="N340" s="161"/>
    </row>
    <row r="341" spans="2:14">
      <c r="B341" s="43"/>
      <c r="C341" s="43" t="s">
        <v>813</v>
      </c>
      <c r="D341" s="43" t="s">
        <v>814</v>
      </c>
      <c r="E341" s="43" t="s">
        <v>583</v>
      </c>
      <c r="F341" s="43" t="s">
        <v>815</v>
      </c>
      <c r="G341" s="156" t="str">
        <f>'Fund Cover Sheets'!$N$1</f>
        <v>Adopted</v>
      </c>
      <c r="H341" s="43" t="s">
        <v>817</v>
      </c>
      <c r="I341" s="43" t="s">
        <v>818</v>
      </c>
      <c r="J341" s="43" t="s">
        <v>819</v>
      </c>
      <c r="K341" s="43" t="s">
        <v>820</v>
      </c>
      <c r="L341" s="665"/>
      <c r="M341" s="665"/>
      <c r="N341" s="161"/>
    </row>
    <row r="342" spans="2:14" ht="14.4" thickBot="1">
      <c r="B342" s="44"/>
      <c r="C342" s="45" t="s">
        <v>1</v>
      </c>
      <c r="D342" s="45" t="s">
        <v>1</v>
      </c>
      <c r="E342" s="45" t="s">
        <v>553</v>
      </c>
      <c r="F342" s="45" t="s">
        <v>19</v>
      </c>
      <c r="G342" s="45" t="s">
        <v>553</v>
      </c>
      <c r="H342" s="45" t="s">
        <v>19</v>
      </c>
      <c r="I342" s="45" t="s">
        <v>19</v>
      </c>
      <c r="J342" s="45" t="s">
        <v>19</v>
      </c>
      <c r="K342" s="45" t="s">
        <v>19</v>
      </c>
      <c r="L342" s="566"/>
      <c r="M342" s="566"/>
      <c r="N342" s="161"/>
    </row>
    <row r="343" spans="2:14">
      <c r="B343" s="1"/>
      <c r="C343" s="52"/>
      <c r="D343" s="2"/>
      <c r="E343" s="2"/>
      <c r="F343" s="2"/>
      <c r="G343" s="2"/>
      <c r="H343" s="2"/>
      <c r="I343" s="2"/>
      <c r="J343" s="2"/>
      <c r="K343" s="2"/>
      <c r="L343" s="663"/>
      <c r="M343" s="663"/>
      <c r="N343" s="161"/>
    </row>
    <row r="344" spans="2:14">
      <c r="B344" s="80" t="s">
        <v>685</v>
      </c>
      <c r="C344" s="2"/>
      <c r="D344" s="2"/>
      <c r="E344" s="2"/>
      <c r="F344" s="2"/>
      <c r="G344" s="2"/>
      <c r="H344" s="2"/>
      <c r="I344" s="2"/>
      <c r="J344" s="2"/>
      <c r="K344" s="2"/>
      <c r="L344" s="663"/>
      <c r="M344" s="663"/>
      <c r="N344" s="161"/>
    </row>
    <row r="345" spans="2:14" ht="20.100000000000001" customHeight="1">
      <c r="B345" s="133" t="s">
        <v>586</v>
      </c>
      <c r="C345" s="49">
        <f>'Budget Detail FY 2020-27'!M595</f>
        <v>8555</v>
      </c>
      <c r="D345" s="49">
        <f>'Budget Detail FY 2020-27'!N595</f>
        <v>12994</v>
      </c>
      <c r="E345" s="49">
        <f>'Budget Detail FY 2020-27'!O595</f>
        <v>8000</v>
      </c>
      <c r="F345" s="49">
        <f>'Budget Detail FY 2020-27'!P595</f>
        <v>9500</v>
      </c>
      <c r="G345" s="49">
        <f>'Budget Detail FY 2020-27'!Q595</f>
        <v>8000</v>
      </c>
      <c r="H345" s="49">
        <f>'Budget Detail FY 2020-27'!R595</f>
        <v>0</v>
      </c>
      <c r="I345" s="49">
        <f>'Budget Detail FY 2020-27'!S595</f>
        <v>0</v>
      </c>
      <c r="J345" s="49">
        <f>'Budget Detail FY 2020-27'!T595</f>
        <v>0</v>
      </c>
      <c r="K345" s="49">
        <f>'Budget Detail FY 2020-27'!U595</f>
        <v>0</v>
      </c>
      <c r="L345" s="666"/>
      <c r="M345" s="666"/>
      <c r="N345" s="161"/>
    </row>
    <row r="346" spans="2:14" s="470" customFormat="1" ht="20.100000000000001" customHeight="1">
      <c r="B346" s="517" t="s">
        <v>1241</v>
      </c>
      <c r="C346" s="514">
        <f t="shared" ref="C346:K346" si="37">SUM(C345)</f>
        <v>8555</v>
      </c>
      <c r="D346" s="514">
        <f t="shared" si="37"/>
        <v>12994</v>
      </c>
      <c r="E346" s="514">
        <f t="shared" si="37"/>
        <v>8000</v>
      </c>
      <c r="F346" s="514">
        <f t="shared" si="37"/>
        <v>9500</v>
      </c>
      <c r="G346" s="514">
        <f t="shared" si="37"/>
        <v>8000</v>
      </c>
      <c r="H346" s="514">
        <f t="shared" si="37"/>
        <v>0</v>
      </c>
      <c r="I346" s="514">
        <f t="shared" si="37"/>
        <v>0</v>
      </c>
      <c r="J346" s="514">
        <f t="shared" si="37"/>
        <v>0</v>
      </c>
      <c r="K346" s="514">
        <f t="shared" si="37"/>
        <v>0</v>
      </c>
      <c r="L346" s="406"/>
      <c r="M346" s="406"/>
      <c r="N346" s="161"/>
    </row>
    <row r="347" spans="2:14" s="470" customFormat="1" ht="6.9" customHeight="1">
      <c r="B347" s="133"/>
      <c r="C347" s="49"/>
      <c r="D347" s="49"/>
      <c r="E347" s="49"/>
      <c r="F347" s="49"/>
      <c r="G347" s="49"/>
      <c r="H347" s="49"/>
      <c r="I347" s="49"/>
      <c r="J347" s="49"/>
      <c r="K347" s="49"/>
      <c r="L347" s="666"/>
      <c r="M347" s="666"/>
      <c r="N347" s="161"/>
    </row>
    <row r="348" spans="2:14" ht="20.100000000000001" customHeight="1">
      <c r="B348" s="134" t="s">
        <v>592</v>
      </c>
      <c r="C348" s="2">
        <f>SUM('Budget Detail FY 2020-27'!M598:M598)</f>
        <v>315470</v>
      </c>
      <c r="D348" s="2">
        <f>SUM('Budget Detail FY 2020-27'!N598:N598)</f>
        <v>310231</v>
      </c>
      <c r="E348" s="2">
        <f>SUM('Budget Detail FY 2020-27'!O598:O598)</f>
        <v>321375</v>
      </c>
      <c r="F348" s="2">
        <f>SUM('Budget Detail FY 2020-27'!P598:P598)</f>
        <v>319875</v>
      </c>
      <c r="G348" s="2">
        <f>SUM('Budget Detail FY 2020-27'!Q598:Q598)</f>
        <v>322075</v>
      </c>
      <c r="H348" s="2">
        <f>SUM('Budget Detail FY 2020-27'!R598:R598)</f>
        <v>0</v>
      </c>
      <c r="I348" s="2">
        <f>SUM('Budget Detail FY 2020-27'!S598:S598)</f>
        <v>0</v>
      </c>
      <c r="J348" s="2">
        <f>SUM('Budget Detail FY 2020-27'!T598:T598)</f>
        <v>0</v>
      </c>
      <c r="K348" s="2">
        <f>SUM('Budget Detail FY 2020-27'!U598:U598)</f>
        <v>0</v>
      </c>
      <c r="L348" s="663"/>
      <c r="M348" s="663"/>
      <c r="N348" s="161"/>
    </row>
    <row r="349" spans="2:14" ht="20.100000000000001" customHeight="1" thickBot="1">
      <c r="B349" s="79" t="s">
        <v>593</v>
      </c>
      <c r="C349" s="433">
        <f t="shared" ref="C349:K349" si="38">C348+C346</f>
        <v>324025</v>
      </c>
      <c r="D349" s="433">
        <f t="shared" si="38"/>
        <v>323225</v>
      </c>
      <c r="E349" s="433">
        <f t="shared" si="38"/>
        <v>329375</v>
      </c>
      <c r="F349" s="433">
        <f t="shared" si="38"/>
        <v>329375</v>
      </c>
      <c r="G349" s="433">
        <f t="shared" si="38"/>
        <v>330075</v>
      </c>
      <c r="H349" s="433">
        <f t="shared" si="38"/>
        <v>0</v>
      </c>
      <c r="I349" s="433">
        <f t="shared" si="38"/>
        <v>0</v>
      </c>
      <c r="J349" s="433">
        <f t="shared" si="38"/>
        <v>0</v>
      </c>
      <c r="K349" s="433">
        <f t="shared" si="38"/>
        <v>0</v>
      </c>
      <c r="L349" s="406"/>
      <c r="M349" s="406"/>
      <c r="N349" s="161"/>
    </row>
    <row r="350" spans="2:14">
      <c r="B350" s="1"/>
      <c r="C350" s="2"/>
      <c r="D350" s="2"/>
      <c r="E350" s="2"/>
      <c r="F350" s="2"/>
      <c r="G350" s="2"/>
      <c r="H350" s="2"/>
      <c r="I350" s="2"/>
      <c r="J350" s="2"/>
      <c r="K350" s="2"/>
      <c r="L350" s="663"/>
      <c r="M350" s="663"/>
      <c r="N350" s="161"/>
    </row>
    <row r="351" spans="2:14">
      <c r="B351" s="80" t="s">
        <v>424</v>
      </c>
      <c r="C351" s="2"/>
      <c r="D351" s="2"/>
      <c r="E351" s="2"/>
      <c r="F351" s="2"/>
      <c r="G351" s="2"/>
      <c r="H351" s="2"/>
      <c r="I351" s="2"/>
      <c r="J351" s="2"/>
      <c r="K351" s="2"/>
      <c r="L351" s="663"/>
      <c r="M351" s="663"/>
      <c r="N351" s="161"/>
    </row>
    <row r="352" spans="2:14" ht="20.100000000000001" customHeight="1">
      <c r="B352" s="134" t="s">
        <v>596</v>
      </c>
      <c r="C352" s="49">
        <f>'Budget Detail FY 2020-27'!M603</f>
        <v>475</v>
      </c>
      <c r="D352" s="49">
        <f>'Budget Detail FY 2020-27'!N603</f>
        <v>475</v>
      </c>
      <c r="E352" s="49">
        <f>'Budget Detail FY 2020-27'!O603</f>
        <v>475</v>
      </c>
      <c r="F352" s="49">
        <f>'Budget Detail FY 2020-27'!P603</f>
        <v>475</v>
      </c>
      <c r="G352" s="49">
        <f>'Budget Detail FY 2020-27'!Q603</f>
        <v>475</v>
      </c>
      <c r="H352" s="49">
        <f>'Budget Detail FY 2020-27'!R603</f>
        <v>0</v>
      </c>
      <c r="I352" s="49">
        <f>'Budget Detail FY 2020-27'!S603</f>
        <v>0</v>
      </c>
      <c r="J352" s="49">
        <f>'Budget Detail FY 2020-27'!T603</f>
        <v>0</v>
      </c>
      <c r="K352" s="49">
        <f>'Budget Detail FY 2020-27'!U603</f>
        <v>0</v>
      </c>
      <c r="L352" s="666"/>
      <c r="M352" s="666"/>
      <c r="N352" s="161"/>
    </row>
    <row r="353" spans="2:14" ht="20.100000000000001" customHeight="1">
      <c r="B353" s="134" t="s">
        <v>543</v>
      </c>
      <c r="C353" s="2">
        <f>SUM('Budget Detail FY 2020-27'!M605:M606)</f>
        <v>323550</v>
      </c>
      <c r="D353" s="2">
        <f>SUM('Budget Detail FY 2020-27'!N605:N606)</f>
        <v>322750</v>
      </c>
      <c r="E353" s="2">
        <f>SUM('Budget Detail FY 2020-27'!O605:O606)</f>
        <v>328900</v>
      </c>
      <c r="F353" s="2">
        <f>SUM('Budget Detail FY 2020-27'!P605:P606)</f>
        <v>328900</v>
      </c>
      <c r="G353" s="2">
        <f>SUM('Budget Detail FY 2020-27'!Q605:Q606)</f>
        <v>329600</v>
      </c>
      <c r="H353" s="2">
        <f>SUM('Budget Detail FY 2020-27'!R605:R606)</f>
        <v>0</v>
      </c>
      <c r="I353" s="2">
        <f>SUM('Budget Detail FY 2020-27'!S605:S606)</f>
        <v>0</v>
      </c>
      <c r="J353" s="2">
        <f>SUM('Budget Detail FY 2020-27'!T605:T606)</f>
        <v>0</v>
      </c>
      <c r="K353" s="2">
        <f>SUM('Budget Detail FY 2020-27'!U605:U606)</f>
        <v>0</v>
      </c>
      <c r="L353" s="663"/>
      <c r="M353" s="663"/>
      <c r="N353" s="161"/>
    </row>
    <row r="354" spans="2:14" ht="20.100000000000001" customHeight="1" thickBot="1">
      <c r="B354" s="79" t="s">
        <v>600</v>
      </c>
      <c r="C354" s="433">
        <f t="shared" ref="C354:K354" si="39">SUM(C352:C353)</f>
        <v>324025</v>
      </c>
      <c r="D354" s="433">
        <f t="shared" si="39"/>
        <v>323225</v>
      </c>
      <c r="E354" s="433">
        <f t="shared" si="39"/>
        <v>329375</v>
      </c>
      <c r="F354" s="433">
        <f t="shared" si="39"/>
        <v>329375</v>
      </c>
      <c r="G354" s="433">
        <f t="shared" si="39"/>
        <v>330075</v>
      </c>
      <c r="H354" s="433">
        <f t="shared" si="39"/>
        <v>0</v>
      </c>
      <c r="I354" s="433">
        <f t="shared" si="39"/>
        <v>0</v>
      </c>
      <c r="J354" s="433">
        <f t="shared" si="39"/>
        <v>0</v>
      </c>
      <c r="K354" s="433">
        <f t="shared" si="39"/>
        <v>0</v>
      </c>
      <c r="L354" s="406"/>
      <c r="M354" s="406"/>
      <c r="N354" s="661"/>
    </row>
    <row r="355" spans="2:14">
      <c r="B355" s="80"/>
      <c r="C355" s="2"/>
      <c r="D355" s="2"/>
      <c r="E355" s="2"/>
      <c r="F355" s="2"/>
      <c r="G355" s="2"/>
      <c r="H355" s="2"/>
      <c r="I355" s="2"/>
      <c r="J355" s="2"/>
      <c r="K355" s="2"/>
      <c r="L355" s="663"/>
      <c r="M355" s="663"/>
      <c r="N355" s="161"/>
    </row>
    <row r="356" spans="2:14" ht="20.100000000000001" customHeight="1">
      <c r="B356" s="133" t="s">
        <v>601</v>
      </c>
      <c r="C356" s="49">
        <f t="shared" ref="C356:K356" si="40">+C349-C354</f>
        <v>0</v>
      </c>
      <c r="D356" s="49">
        <f t="shared" si="40"/>
        <v>0</v>
      </c>
      <c r="E356" s="49">
        <f t="shared" si="40"/>
        <v>0</v>
      </c>
      <c r="F356" s="49">
        <f t="shared" si="40"/>
        <v>0</v>
      </c>
      <c r="G356" s="49">
        <f t="shared" si="40"/>
        <v>0</v>
      </c>
      <c r="H356" s="49">
        <f t="shared" si="40"/>
        <v>0</v>
      </c>
      <c r="I356" s="49">
        <f t="shared" si="40"/>
        <v>0</v>
      </c>
      <c r="J356" s="49">
        <f t="shared" si="40"/>
        <v>0</v>
      </c>
      <c r="K356" s="49">
        <f t="shared" si="40"/>
        <v>0</v>
      </c>
      <c r="L356" s="666"/>
      <c r="M356" s="666"/>
      <c r="N356" s="161"/>
    </row>
    <row r="357" spans="2:14">
      <c r="B357" s="81"/>
      <c r="C357" s="2"/>
      <c r="D357" s="2"/>
      <c r="E357" s="2"/>
      <c r="F357" s="2"/>
      <c r="G357" s="2"/>
      <c r="H357" s="2"/>
      <c r="I357" s="2"/>
      <c r="J357" s="2"/>
      <c r="K357" s="2"/>
      <c r="L357" s="663"/>
      <c r="M357" s="663"/>
      <c r="N357" s="161"/>
    </row>
    <row r="358" spans="2:14" ht="20.100000000000001" customHeight="1" thickBot="1">
      <c r="B358" s="78" t="s">
        <v>602</v>
      </c>
      <c r="C358" s="431">
        <v>0</v>
      </c>
      <c r="D358" s="431">
        <v>0</v>
      </c>
      <c r="E358" s="431">
        <v>0</v>
      </c>
      <c r="F358" s="431">
        <f>D358+F356</f>
        <v>0</v>
      </c>
      <c r="G358" s="431">
        <f>F358+G356</f>
        <v>0</v>
      </c>
      <c r="H358" s="431">
        <f>G358+H356</f>
        <v>0</v>
      </c>
      <c r="I358" s="431">
        <f>H358+I356</f>
        <v>0</v>
      </c>
      <c r="J358" s="431">
        <f>I358+J356</f>
        <v>0</v>
      </c>
      <c r="K358" s="431">
        <f>J358+K356</f>
        <v>0</v>
      </c>
      <c r="L358" s="406"/>
      <c r="M358" s="406"/>
      <c r="N358" s="161"/>
    </row>
    <row r="359" spans="2:14" ht="14.4" thickTop="1">
      <c r="B359" s="4"/>
      <c r="C359" s="2"/>
      <c r="D359" s="2"/>
      <c r="E359" s="2"/>
      <c r="F359" s="2"/>
      <c r="G359" s="2"/>
      <c r="H359" s="2"/>
      <c r="I359" s="2"/>
      <c r="J359" s="2"/>
      <c r="K359" s="2"/>
      <c r="L359" s="663"/>
      <c r="M359" s="663"/>
      <c r="N359" s="161"/>
    </row>
    <row r="360" spans="2:14">
      <c r="B360" s="4"/>
      <c r="C360" s="2"/>
      <c r="D360" s="2"/>
      <c r="E360" s="2"/>
      <c r="F360" s="2"/>
      <c r="G360" s="2"/>
      <c r="H360" s="2"/>
      <c r="I360" s="2"/>
      <c r="J360" s="2"/>
      <c r="K360" s="2"/>
      <c r="L360" s="663"/>
      <c r="M360" s="663"/>
      <c r="N360" s="161"/>
    </row>
    <row r="361" spans="2:14">
      <c r="B361" s="1"/>
      <c r="C361" s="2"/>
      <c r="D361" s="2"/>
      <c r="E361" s="2"/>
      <c r="F361" s="2"/>
      <c r="G361" s="2"/>
      <c r="H361" s="2"/>
      <c r="I361" s="2"/>
      <c r="J361" s="2"/>
      <c r="K361" s="2"/>
      <c r="L361" s="663"/>
      <c r="M361" s="663"/>
      <c r="N361" s="161"/>
    </row>
    <row r="362" spans="2:14">
      <c r="B362" s="1"/>
      <c r="C362" s="2"/>
      <c r="D362" s="2"/>
      <c r="E362" s="2"/>
      <c r="F362" s="2"/>
      <c r="G362" s="2"/>
      <c r="H362" s="2"/>
      <c r="I362" s="2"/>
      <c r="J362" s="2"/>
      <c r="K362" s="2"/>
      <c r="L362" s="663"/>
      <c r="M362" s="663"/>
      <c r="N362" s="161"/>
    </row>
    <row r="363" spans="2:14">
      <c r="B363" s="1"/>
      <c r="C363" s="2"/>
      <c r="D363" s="2"/>
      <c r="E363" s="2"/>
      <c r="F363" s="2"/>
      <c r="G363" s="2"/>
      <c r="H363" s="2"/>
      <c r="I363" s="2"/>
      <c r="J363" s="2"/>
      <c r="K363" s="2"/>
      <c r="L363" s="663"/>
      <c r="M363" s="663"/>
      <c r="N363" s="161"/>
    </row>
    <row r="364" spans="2:14">
      <c r="B364" s="1"/>
      <c r="C364" s="2"/>
      <c r="D364" s="2"/>
      <c r="E364" s="2"/>
      <c r="F364" s="2"/>
      <c r="G364" s="2"/>
      <c r="H364" s="2"/>
      <c r="I364" s="2"/>
      <c r="J364" s="2"/>
      <c r="K364" s="2"/>
      <c r="L364" s="663"/>
      <c r="M364" s="663"/>
      <c r="N364" s="161"/>
    </row>
    <row r="365" spans="2:14">
      <c r="B365" s="1"/>
      <c r="C365" s="2"/>
      <c r="D365" s="2"/>
      <c r="E365" s="2"/>
      <c r="F365" s="2"/>
      <c r="G365" s="2"/>
      <c r="H365" s="2"/>
      <c r="I365" s="2"/>
      <c r="J365" s="2"/>
      <c r="K365" s="2"/>
      <c r="L365" s="663"/>
      <c r="M365" s="663"/>
      <c r="N365" s="161"/>
    </row>
    <row r="366" spans="2:14">
      <c r="B366" s="1"/>
      <c r="C366" s="2"/>
      <c r="D366" s="2"/>
      <c r="E366" s="2"/>
      <c r="F366" s="2"/>
      <c r="G366" s="2"/>
      <c r="H366" s="2"/>
      <c r="I366" s="2"/>
      <c r="J366" s="2"/>
      <c r="K366" s="2"/>
      <c r="L366" s="663"/>
      <c r="M366" s="663"/>
      <c r="N366" s="161"/>
    </row>
    <row r="367" spans="2:14">
      <c r="B367" s="1"/>
      <c r="C367" s="2"/>
      <c r="D367" s="2"/>
      <c r="E367" s="2"/>
      <c r="F367" s="2"/>
      <c r="G367" s="2"/>
      <c r="H367" s="2"/>
      <c r="I367" s="2"/>
      <c r="J367" s="2"/>
      <c r="K367" s="2"/>
      <c r="L367" s="663"/>
      <c r="M367" s="663"/>
      <c r="N367" s="161"/>
    </row>
    <row r="368" spans="2:14">
      <c r="B368" s="1"/>
      <c r="C368" s="2"/>
      <c r="D368" s="2"/>
      <c r="E368" s="2"/>
      <c r="F368" s="2"/>
      <c r="G368" s="2"/>
      <c r="H368" s="2"/>
      <c r="I368" s="2"/>
      <c r="J368" s="2"/>
      <c r="K368" s="2"/>
      <c r="L368" s="663"/>
      <c r="M368" s="663"/>
      <c r="N368" s="161"/>
    </row>
    <row r="369" spans="2:14">
      <c r="B369" s="1"/>
      <c r="C369" s="2"/>
      <c r="D369" s="2"/>
      <c r="E369" s="2"/>
      <c r="F369" s="2"/>
      <c r="G369" s="2"/>
      <c r="H369" s="2"/>
      <c r="I369" s="2"/>
      <c r="J369" s="2"/>
      <c r="K369" s="2"/>
      <c r="L369" s="663"/>
      <c r="M369" s="663"/>
      <c r="N369" s="161"/>
    </row>
    <row r="370" spans="2:14">
      <c r="B370" s="1"/>
      <c r="C370" s="2"/>
      <c r="D370" s="2"/>
      <c r="E370" s="2"/>
      <c r="F370" s="2"/>
      <c r="G370" s="2"/>
      <c r="H370" s="2"/>
      <c r="I370" s="2"/>
      <c r="J370" s="2"/>
      <c r="K370" s="2"/>
      <c r="L370" s="663"/>
      <c r="M370" s="663"/>
      <c r="N370" s="161"/>
    </row>
    <row r="371" spans="2:14">
      <c r="N371" s="161"/>
    </row>
    <row r="372" spans="2:14" ht="17.399999999999999">
      <c r="B372" s="682" t="s">
        <v>610</v>
      </c>
      <c r="C372" s="682"/>
      <c r="D372" s="682"/>
      <c r="E372" s="682"/>
      <c r="F372" s="682"/>
      <c r="G372" s="682"/>
      <c r="H372" s="682"/>
      <c r="I372" s="682"/>
      <c r="J372" s="682"/>
      <c r="K372" s="682"/>
      <c r="L372" s="662"/>
      <c r="M372" s="662"/>
      <c r="N372" s="161"/>
    </row>
    <row r="373" spans="2:14">
      <c r="B373" s="43"/>
      <c r="C373" s="2"/>
      <c r="D373" s="2"/>
      <c r="E373" s="2"/>
      <c r="F373" s="2"/>
      <c r="G373" s="2"/>
      <c r="H373" s="2"/>
      <c r="I373" s="2"/>
      <c r="J373" s="2"/>
      <c r="K373" s="2"/>
      <c r="L373" s="663"/>
      <c r="M373" s="663"/>
      <c r="N373" s="161"/>
    </row>
    <row r="374" spans="2:14" ht="12.75" customHeight="1">
      <c r="B374" s="683" t="s">
        <v>611</v>
      </c>
      <c r="C374" s="683"/>
      <c r="D374" s="683"/>
      <c r="E374" s="683"/>
      <c r="F374" s="683"/>
      <c r="G374" s="683"/>
      <c r="H374" s="683"/>
      <c r="I374" s="683"/>
      <c r="J374" s="683"/>
      <c r="K374" s="683"/>
      <c r="L374" s="664"/>
      <c r="M374" s="664"/>
      <c r="N374" s="161"/>
    </row>
    <row r="375" spans="2:14" ht="18" customHeight="1">
      <c r="B375" s="683"/>
      <c r="C375" s="683"/>
      <c r="D375" s="683"/>
      <c r="E375" s="683"/>
      <c r="F375" s="683"/>
      <c r="G375" s="683"/>
      <c r="H375" s="683"/>
      <c r="I375" s="683"/>
      <c r="J375" s="683"/>
      <c r="K375" s="683"/>
      <c r="L375" s="664"/>
      <c r="M375" s="664"/>
      <c r="N375" s="161"/>
    </row>
    <row r="376" spans="2:14" ht="7.5" customHeight="1">
      <c r="B376" s="19"/>
      <c r="C376" s="16"/>
      <c r="D376" s="16"/>
      <c r="E376" s="16"/>
      <c r="F376" s="2"/>
      <c r="G376" s="2"/>
      <c r="H376" s="2"/>
      <c r="I376" s="2"/>
      <c r="J376" s="2"/>
      <c r="K376" s="2"/>
      <c r="L376" s="663"/>
      <c r="M376" s="663"/>
      <c r="N376" s="161"/>
    </row>
    <row r="377" spans="2:14">
      <c r="B377" s="4"/>
      <c r="C377" s="43"/>
      <c r="D377" s="573"/>
      <c r="E377" s="43" t="s">
        <v>815</v>
      </c>
      <c r="F377" s="573"/>
      <c r="G377" s="43" t="s">
        <v>816</v>
      </c>
      <c r="H377" s="573"/>
      <c r="I377" s="573"/>
      <c r="J377" s="573"/>
      <c r="K377" s="573"/>
      <c r="L377" s="304"/>
      <c r="M377" s="304"/>
      <c r="N377" s="161"/>
    </row>
    <row r="378" spans="2:14">
      <c r="B378" s="43"/>
      <c r="C378" s="43" t="s">
        <v>813</v>
      </c>
      <c r="D378" s="43" t="s">
        <v>814</v>
      </c>
      <c r="E378" s="43" t="s">
        <v>583</v>
      </c>
      <c r="F378" s="43" t="s">
        <v>815</v>
      </c>
      <c r="G378" s="156" t="str">
        <f>'Fund Cover Sheets'!$N$1</f>
        <v>Adopted</v>
      </c>
      <c r="H378" s="43" t="s">
        <v>817</v>
      </c>
      <c r="I378" s="43" t="s">
        <v>818</v>
      </c>
      <c r="J378" s="43" t="s">
        <v>819</v>
      </c>
      <c r="K378" s="43" t="s">
        <v>820</v>
      </c>
      <c r="L378" s="665"/>
      <c r="M378" s="665"/>
      <c r="N378" s="161"/>
    </row>
    <row r="379" spans="2:14" ht="14.4" thickBot="1">
      <c r="B379" s="44"/>
      <c r="C379" s="45" t="s">
        <v>1</v>
      </c>
      <c r="D379" s="45" t="s">
        <v>1</v>
      </c>
      <c r="E379" s="45" t="s">
        <v>553</v>
      </c>
      <c r="F379" s="45" t="s">
        <v>19</v>
      </c>
      <c r="G379" s="45" t="s">
        <v>553</v>
      </c>
      <c r="H379" s="45" t="s">
        <v>19</v>
      </c>
      <c r="I379" s="45" t="s">
        <v>19</v>
      </c>
      <c r="J379" s="45" t="s">
        <v>19</v>
      </c>
      <c r="K379" s="45" t="s">
        <v>19</v>
      </c>
      <c r="L379" s="566"/>
      <c r="M379" s="566"/>
      <c r="N379" s="161"/>
    </row>
    <row r="380" spans="2:14">
      <c r="B380" s="1"/>
      <c r="C380" s="52"/>
      <c r="D380" s="2"/>
      <c r="E380" s="2"/>
      <c r="F380" s="2"/>
      <c r="G380" s="2"/>
      <c r="H380" s="2"/>
      <c r="I380" s="2"/>
      <c r="J380" s="2"/>
      <c r="K380" s="2"/>
      <c r="L380" s="663"/>
      <c r="M380" s="663"/>
      <c r="N380" s="161"/>
    </row>
    <row r="381" spans="2:14">
      <c r="B381" s="80" t="s">
        <v>685</v>
      </c>
      <c r="C381" s="2"/>
      <c r="D381" s="2"/>
      <c r="E381" s="2"/>
      <c r="F381" s="2"/>
      <c r="G381" s="2"/>
      <c r="H381" s="2"/>
      <c r="I381" s="2"/>
      <c r="J381" s="2"/>
      <c r="K381" s="2"/>
      <c r="L381" s="663"/>
      <c r="M381" s="663"/>
      <c r="N381" s="161"/>
    </row>
    <row r="382" spans="2:14" s="571" customFormat="1" ht="20.100000000000001" customHeight="1">
      <c r="B382" s="134" t="s">
        <v>585</v>
      </c>
      <c r="C382" s="49">
        <f>'Budget Detail FY 2020-27'!M616+'Budget Detail FY 2020-27'!M617</f>
        <v>0</v>
      </c>
      <c r="D382" s="49">
        <f>'Budget Detail FY 2020-27'!N616+'Budget Detail FY 2020-27'!N617</f>
        <v>0</v>
      </c>
      <c r="E382" s="2">
        <f>'Budget Detail FY 2020-27'!O616+'Budget Detail FY 2020-27'!O617</f>
        <v>131250</v>
      </c>
      <c r="F382" s="2">
        <f>'Budget Detail FY 2020-27'!P616+'Budget Detail FY 2020-27'!P617</f>
        <v>0</v>
      </c>
      <c r="G382" s="2">
        <f>'Budget Detail FY 2020-27'!Q616+'Budget Detail FY 2020-27'!Q617</f>
        <v>100000</v>
      </c>
      <c r="H382" s="2">
        <f>'Budget Detail FY 2020-27'!R616+'Budget Detail FY 2020-27'!R617</f>
        <v>0</v>
      </c>
      <c r="I382" s="2">
        <f>'Budget Detail FY 2020-27'!S616+'Budget Detail FY 2020-27'!S617</f>
        <v>0</v>
      </c>
      <c r="J382" s="2">
        <f>'Budget Detail FY 2020-27'!T616+'Budget Detail FY 2020-27'!T617</f>
        <v>0</v>
      </c>
      <c r="K382" s="2">
        <f>'Budget Detail FY 2020-27'!U616+'Budget Detail FY 2020-27'!U617</f>
        <v>0</v>
      </c>
      <c r="L382" s="663"/>
      <c r="M382" s="663"/>
      <c r="N382" s="660"/>
    </row>
    <row r="383" spans="2:14" ht="20.100000000000001" customHeight="1">
      <c r="B383" s="134" t="s">
        <v>588</v>
      </c>
      <c r="C383" s="2">
        <f>SUM('Budget Detail FY 2020-27'!M618:M623)</f>
        <v>4440881</v>
      </c>
      <c r="D383" s="2">
        <f>SUM('Budget Detail FY 2020-27'!N618:N623)</f>
        <v>5062645</v>
      </c>
      <c r="E383" s="2">
        <f>SUM('Budget Detail FY 2020-27'!O618:O623)</f>
        <v>4643894</v>
      </c>
      <c r="F383" s="2">
        <f>SUM('Budget Detail FY 2020-27'!P618:P623)</f>
        <v>5090800</v>
      </c>
      <c r="G383" s="2">
        <f>SUM('Budget Detail FY 2020-27'!Q618:Q623)</f>
        <v>5393543</v>
      </c>
      <c r="H383" s="2">
        <f>SUM('Budget Detail FY 2020-27'!R618:R623)</f>
        <v>5628444</v>
      </c>
      <c r="I383" s="2">
        <f>SUM('Budget Detail FY 2020-27'!S618:S623)</f>
        <v>5819836</v>
      </c>
      <c r="J383" s="2">
        <f>SUM('Budget Detail FY 2020-27'!T618:T623)</f>
        <v>6062267</v>
      </c>
      <c r="K383" s="2">
        <f>SUM('Budget Detail FY 2020-27'!U618:U623)</f>
        <v>6316278</v>
      </c>
      <c r="L383" s="663"/>
      <c r="M383" s="663"/>
      <c r="N383" s="660"/>
    </row>
    <row r="384" spans="2:14" ht="20.100000000000001" customHeight="1">
      <c r="B384" s="134" t="s">
        <v>589</v>
      </c>
      <c r="C384" s="2">
        <f>'Budget Detail FY 2020-27'!M624+'Budget Detail FY 2020-27'!M625</f>
        <v>27873</v>
      </c>
      <c r="D384" s="2">
        <f>'Budget Detail FY 2020-27'!N624+'Budget Detail FY 2020-27'!N625</f>
        <v>1302</v>
      </c>
      <c r="E384" s="2">
        <f>'Budget Detail FY 2020-27'!O624+'Budget Detail FY 2020-27'!O625</f>
        <v>3000</v>
      </c>
      <c r="F384" s="2">
        <f>'Budget Detail FY 2020-27'!P624+'Budget Detail FY 2020-27'!P625</f>
        <v>1911</v>
      </c>
      <c r="G384" s="2">
        <f>'Budget Detail FY 2020-27'!Q624+'Budget Detail FY 2020-27'!Q625</f>
        <v>2000</v>
      </c>
      <c r="H384" s="2">
        <f>'Budget Detail FY 2020-27'!R624+'Budget Detail FY 2020-27'!R625</f>
        <v>3000</v>
      </c>
      <c r="I384" s="2">
        <f>'Budget Detail FY 2020-27'!S624+'Budget Detail FY 2020-27'!S625</f>
        <v>5000</v>
      </c>
      <c r="J384" s="2">
        <f>'Budget Detail FY 2020-27'!T624+'Budget Detail FY 2020-27'!T625</f>
        <v>10000</v>
      </c>
      <c r="K384" s="2">
        <f>'Budget Detail FY 2020-27'!U624+'Budget Detail FY 2020-27'!U625</f>
        <v>15000</v>
      </c>
      <c r="L384" s="663"/>
      <c r="M384" s="663"/>
      <c r="N384" s="660"/>
    </row>
    <row r="385" spans="2:14" ht="20.100000000000001" customHeight="1">
      <c r="B385" s="134" t="s">
        <v>590</v>
      </c>
      <c r="C385" s="2">
        <f>SUM('Budget Detail FY 2020-27'!M626:M626)</f>
        <v>11110</v>
      </c>
      <c r="D385" s="2">
        <f>SUM('Budget Detail FY 2020-27'!N626:N626)</f>
        <v>2524</v>
      </c>
      <c r="E385" s="2">
        <f>SUM('Budget Detail FY 2020-27'!O626:O626)</f>
        <v>0</v>
      </c>
      <c r="F385" s="2">
        <f>SUM('Budget Detail FY 2020-27'!P626:P626)</f>
        <v>2920</v>
      </c>
      <c r="G385" s="2">
        <f>SUM('Budget Detail FY 2020-27'!Q626:Q626)</f>
        <v>0</v>
      </c>
      <c r="H385" s="2">
        <f>SUM('Budget Detail FY 2020-27'!R626:R626)</f>
        <v>0</v>
      </c>
      <c r="I385" s="2">
        <f>SUM('Budget Detail FY 2020-27'!S626:S626)</f>
        <v>0</v>
      </c>
      <c r="J385" s="2">
        <f>SUM('Budget Detail FY 2020-27'!T626:T626)</f>
        <v>0</v>
      </c>
      <c r="K385" s="2">
        <f>SUM('Budget Detail FY 2020-27'!U626:U626)</f>
        <v>0</v>
      </c>
      <c r="L385" s="663"/>
      <c r="M385" s="663"/>
      <c r="N385" s="660"/>
    </row>
    <row r="386" spans="2:14" ht="20.100000000000001" customHeight="1">
      <c r="B386" s="134" t="s">
        <v>591</v>
      </c>
      <c r="C386" s="2">
        <f>SUM('Budget Detail FY 2020-27'!M627:M628)</f>
        <v>101330</v>
      </c>
      <c r="D386" s="2">
        <f>SUM('Budget Detail FY 2020-27'!N627:N628)</f>
        <v>100469</v>
      </c>
      <c r="E386" s="2">
        <f>SUM('Budget Detail FY 2020-27'!O627:O628)</f>
        <v>102894</v>
      </c>
      <c r="F386" s="2">
        <f>SUM('Budget Detail FY 2020-27'!P627:P628)</f>
        <v>102894</v>
      </c>
      <c r="G386" s="2">
        <f>SUM('Budget Detail FY 2020-27'!Q627:Q628)</f>
        <v>105601</v>
      </c>
      <c r="H386" s="2">
        <f>SUM('Budget Detail FY 2020-27'!R627:R628)</f>
        <v>108384</v>
      </c>
      <c r="I386" s="2">
        <f>SUM('Budget Detail FY 2020-27'!S627:S628)</f>
        <v>111246</v>
      </c>
      <c r="J386" s="2">
        <f>SUM('Budget Detail FY 2020-27'!T627:T628)</f>
        <v>114187</v>
      </c>
      <c r="K386" s="2">
        <f>SUM('Budget Detail FY 2020-27'!U627:U628)</f>
        <v>117206</v>
      </c>
      <c r="L386" s="663"/>
      <c r="M386" s="663"/>
      <c r="N386" s="660"/>
    </row>
    <row r="387" spans="2:14" s="470" customFormat="1" ht="20.100000000000001" customHeight="1">
      <c r="B387" s="515" t="s">
        <v>1241</v>
      </c>
      <c r="C387" s="514">
        <f t="shared" ref="C387:K387" si="41">SUM(C382:C386)</f>
        <v>4581194</v>
      </c>
      <c r="D387" s="514">
        <f t="shared" si="41"/>
        <v>5166940</v>
      </c>
      <c r="E387" s="514">
        <f t="shared" si="41"/>
        <v>4881038</v>
      </c>
      <c r="F387" s="514">
        <f t="shared" si="41"/>
        <v>5198525</v>
      </c>
      <c r="G387" s="514">
        <f t="shared" si="41"/>
        <v>5601144</v>
      </c>
      <c r="H387" s="514">
        <f t="shared" si="41"/>
        <v>5739828</v>
      </c>
      <c r="I387" s="514">
        <f t="shared" si="41"/>
        <v>5936082</v>
      </c>
      <c r="J387" s="514">
        <f t="shared" si="41"/>
        <v>6186454</v>
      </c>
      <c r="K387" s="514">
        <f t="shared" si="41"/>
        <v>6448484</v>
      </c>
      <c r="L387" s="406"/>
      <c r="M387" s="406"/>
      <c r="N387" s="660"/>
    </row>
    <row r="388" spans="2:14" s="470" customFormat="1" ht="6.9" customHeight="1">
      <c r="B388" s="134"/>
      <c r="C388" s="2"/>
      <c r="D388" s="2"/>
      <c r="E388" s="2"/>
      <c r="F388" s="2"/>
      <c r="G388" s="2"/>
      <c r="H388" s="2"/>
      <c r="I388" s="2"/>
      <c r="J388" s="2"/>
      <c r="K388" s="2"/>
      <c r="L388" s="663"/>
      <c r="M388" s="663"/>
      <c r="N388" s="660"/>
    </row>
    <row r="389" spans="2:14" ht="20.100000000000001" customHeight="1">
      <c r="B389" s="134" t="s">
        <v>592</v>
      </c>
      <c r="C389" s="2">
        <f>SUM('Budget Detail FY 2020-27'!M631:M632)</f>
        <v>178781</v>
      </c>
      <c r="D389" s="2">
        <f>SUM('Budget Detail FY 2020-27'!N631:N632)</f>
        <v>179020</v>
      </c>
      <c r="E389" s="2">
        <f>SUM('Budget Detail FY 2020-27'!O631:O632)</f>
        <v>180233</v>
      </c>
      <c r="F389" s="2">
        <f>SUM('Budget Detail FY 2020-27'!P631:P632)</f>
        <v>180233</v>
      </c>
      <c r="G389" s="2">
        <f>SUM('Budget Detail FY 2020-27'!Q631:Q632)</f>
        <v>177859</v>
      </c>
      <c r="H389" s="2">
        <f>SUM('Budget Detail FY 2020-27'!R631:R632)</f>
        <v>178752</v>
      </c>
      <c r="I389" s="2">
        <f>SUM('Budget Detail FY 2020-27'!S631:S632)</f>
        <v>173559</v>
      </c>
      <c r="J389" s="2">
        <f>SUM('Budget Detail FY 2020-27'!T631:T632)</f>
        <v>55366</v>
      </c>
      <c r="K389" s="2">
        <f>SUM('Budget Detail FY 2020-27'!U631:U632)</f>
        <v>54738</v>
      </c>
      <c r="L389" s="663"/>
      <c r="M389" s="663"/>
      <c r="N389" s="161"/>
    </row>
    <row r="390" spans="2:14" ht="20.100000000000001" customHeight="1" thickBot="1">
      <c r="B390" s="79" t="s">
        <v>1243</v>
      </c>
      <c r="C390" s="433">
        <f t="shared" ref="C390:K390" si="42">C387+C389</f>
        <v>4759975</v>
      </c>
      <c r="D390" s="433">
        <f t="shared" si="42"/>
        <v>5345960</v>
      </c>
      <c r="E390" s="433">
        <f t="shared" si="42"/>
        <v>5061271</v>
      </c>
      <c r="F390" s="433">
        <f t="shared" si="42"/>
        <v>5378758</v>
      </c>
      <c r="G390" s="433">
        <f t="shared" si="42"/>
        <v>5779003</v>
      </c>
      <c r="H390" s="433">
        <f t="shared" si="42"/>
        <v>5918580</v>
      </c>
      <c r="I390" s="433">
        <f t="shared" si="42"/>
        <v>6109641</v>
      </c>
      <c r="J390" s="433">
        <f t="shared" si="42"/>
        <v>6241820</v>
      </c>
      <c r="K390" s="433">
        <f t="shared" si="42"/>
        <v>6503222</v>
      </c>
      <c r="L390" s="406"/>
      <c r="M390" s="406"/>
      <c r="N390" s="161"/>
    </row>
    <row r="391" spans="2:14" ht="7.5" customHeight="1">
      <c r="B391" s="1"/>
      <c r="C391" s="2"/>
      <c r="D391" s="2"/>
      <c r="E391" s="2"/>
      <c r="F391" s="2"/>
      <c r="G391" s="2"/>
      <c r="H391" s="2"/>
      <c r="I391" s="2"/>
      <c r="J391" s="2"/>
      <c r="K391" s="2"/>
      <c r="L391" s="663"/>
      <c r="M391" s="663"/>
      <c r="N391" s="161"/>
    </row>
    <row r="392" spans="2:14">
      <c r="B392" s="80" t="s">
        <v>426</v>
      </c>
      <c r="C392" s="2"/>
      <c r="D392" s="2"/>
      <c r="E392" s="2"/>
      <c r="F392" s="2"/>
      <c r="G392" s="2"/>
      <c r="H392" s="2"/>
      <c r="I392" s="2"/>
      <c r="J392" s="2"/>
      <c r="K392" s="2"/>
      <c r="L392" s="663"/>
      <c r="M392" s="663"/>
      <c r="N392" s="161"/>
    </row>
    <row r="393" spans="2:14" ht="20.100000000000001" customHeight="1">
      <c r="B393" s="134" t="s">
        <v>594</v>
      </c>
      <c r="C393" s="49">
        <f>SUM('Budget Detail FY 2020-27'!M638:M640)</f>
        <v>403984</v>
      </c>
      <c r="D393" s="49">
        <f>SUM('Budget Detail FY 2020-27'!N638:N640)</f>
        <v>453904</v>
      </c>
      <c r="E393" s="49">
        <f>SUM('Budget Detail FY 2020-27'!O638:O640)</f>
        <v>537856</v>
      </c>
      <c r="F393" s="49">
        <f>SUM('Budget Detail FY 2020-27'!P638:P640)</f>
        <v>503488</v>
      </c>
      <c r="G393" s="49">
        <f>SUM('Budget Detail FY 2020-27'!Q638:Q640)</f>
        <v>562785</v>
      </c>
      <c r="H393" s="49">
        <f>SUM('Budget Detail FY 2020-27'!R638:R640)</f>
        <v>578109</v>
      </c>
      <c r="I393" s="49">
        <f>SUM('Budget Detail FY 2020-27'!S638:S640)</f>
        <v>583892</v>
      </c>
      <c r="J393" s="49">
        <f>SUM('Budget Detail FY 2020-27'!T638:T640)</f>
        <v>600149</v>
      </c>
      <c r="K393" s="49">
        <f>SUM('Budget Detail FY 2020-27'!U638:U640)</f>
        <v>616893</v>
      </c>
      <c r="L393" s="666"/>
      <c r="M393" s="666"/>
      <c r="N393" s="660"/>
    </row>
    <row r="394" spans="2:14" ht="20.100000000000001" customHeight="1">
      <c r="B394" s="134" t="s">
        <v>595</v>
      </c>
      <c r="C394" s="2">
        <f>SUM('Budget Detail FY 2020-27'!M641:M648)</f>
        <v>195247</v>
      </c>
      <c r="D394" s="2">
        <f>SUM('Budget Detail FY 2020-27'!N641:N648)</f>
        <v>235333</v>
      </c>
      <c r="E394" s="2">
        <f>SUM('Budget Detail FY 2020-27'!O641:O648)</f>
        <v>243593</v>
      </c>
      <c r="F394" s="2">
        <f>SUM('Budget Detail FY 2020-27'!P641:P648)</f>
        <v>249885</v>
      </c>
      <c r="G394" s="2">
        <f>SUM('Budget Detail FY 2020-27'!Q641:Q648)</f>
        <v>270666</v>
      </c>
      <c r="H394" s="2">
        <f>SUM('Budget Detail FY 2020-27'!R641:R648)</f>
        <v>287916</v>
      </c>
      <c r="I394" s="2">
        <f>SUM('Budget Detail FY 2020-27'!S641:S648)</f>
        <v>305568</v>
      </c>
      <c r="J394" s="2">
        <f>SUM('Budget Detail FY 2020-27'!T641:T648)</f>
        <v>325404</v>
      </c>
      <c r="K394" s="2">
        <f>SUM('Budget Detail FY 2020-27'!U641:U648)</f>
        <v>346704</v>
      </c>
      <c r="L394" s="663"/>
      <c r="M394" s="663"/>
      <c r="N394" s="660"/>
    </row>
    <row r="395" spans="2:14" ht="20.100000000000001" customHeight="1">
      <c r="B395" s="134" t="s">
        <v>596</v>
      </c>
      <c r="C395" s="2">
        <f>SUM('Budget Detail FY 2020-27'!M649:M672)</f>
        <v>848173</v>
      </c>
      <c r="D395" s="2">
        <f>SUM('Budget Detail FY 2020-27'!N649:N672)</f>
        <v>896256</v>
      </c>
      <c r="E395" s="2">
        <f>SUM('Budget Detail FY 2020-27'!O649:O672)</f>
        <v>1073649</v>
      </c>
      <c r="F395" s="2">
        <f>SUM('Budget Detail FY 2020-27'!P649:P672)</f>
        <v>983840</v>
      </c>
      <c r="G395" s="2">
        <f>SUM('Budget Detail FY 2020-27'!Q649:Q672)</f>
        <v>1421529</v>
      </c>
      <c r="H395" s="2">
        <f>SUM('Budget Detail FY 2020-27'!R649:R672)</f>
        <v>1368624</v>
      </c>
      <c r="I395" s="2">
        <f>SUM('Budget Detail FY 2020-27'!S649:S672)</f>
        <v>1350137</v>
      </c>
      <c r="J395" s="2">
        <f>SUM('Budget Detail FY 2020-27'!T649:T672)</f>
        <v>1355155</v>
      </c>
      <c r="K395" s="2">
        <f>SUM('Budget Detail FY 2020-27'!U649:U672)</f>
        <v>1011069</v>
      </c>
      <c r="L395" s="663"/>
      <c r="M395" s="663"/>
      <c r="N395" s="660"/>
    </row>
    <row r="396" spans="2:14" ht="20.100000000000001" customHeight="1">
      <c r="B396" s="134" t="s">
        <v>597</v>
      </c>
      <c r="C396" s="2">
        <f>SUM('Budget Detail FY 2020-27'!M673:M681)</f>
        <v>388696</v>
      </c>
      <c r="D396" s="2">
        <f>SUM('Budget Detail FY 2020-27'!N673:N681)</f>
        <v>414134</v>
      </c>
      <c r="E396" s="2">
        <f>SUM('Budget Detail FY 2020-27'!O673:O681)</f>
        <v>370225</v>
      </c>
      <c r="F396" s="2">
        <f>SUM('Budget Detail FY 2020-27'!P673:P681)</f>
        <v>453724</v>
      </c>
      <c r="G396" s="2">
        <f>SUM('Budget Detail FY 2020-27'!Q673:Q681)</f>
        <v>470418</v>
      </c>
      <c r="H396" s="2">
        <f>SUM('Budget Detail FY 2020-27'!R673:R681)</f>
        <v>468097</v>
      </c>
      <c r="I396" s="2">
        <f>SUM('Budget Detail FY 2020-27'!S673:S681)</f>
        <v>455392</v>
      </c>
      <c r="J396" s="2">
        <f>SUM('Budget Detail FY 2020-27'!T673:T681)</f>
        <v>468336</v>
      </c>
      <c r="K396" s="2">
        <f>SUM('Budget Detail FY 2020-27'!U673:U681)</f>
        <v>481964</v>
      </c>
      <c r="L396" s="663"/>
      <c r="M396" s="663"/>
      <c r="N396" s="660"/>
    </row>
    <row r="397" spans="2:14" ht="20.100000000000001" customHeight="1">
      <c r="B397" s="134" t="s">
        <v>598</v>
      </c>
      <c r="C397" s="2">
        <f>SUM('Budget Detail FY 2020-27'!M682:M694)</f>
        <v>827158</v>
      </c>
      <c r="D397" s="2">
        <f>SUM('Budget Detail FY 2020-27'!N682:N694)</f>
        <v>407285</v>
      </c>
      <c r="E397" s="2">
        <f>SUM('Budget Detail FY 2020-27'!O682:O694)</f>
        <v>2040580</v>
      </c>
      <c r="F397" s="2">
        <f>SUM('Budget Detail FY 2020-27'!P682:P694)</f>
        <v>1478380</v>
      </c>
      <c r="G397" s="2">
        <f>SUM('Budget Detail FY 2020-27'!Q682:Q694)</f>
        <v>3183316</v>
      </c>
      <c r="H397" s="2">
        <f>SUM('Budget Detail FY 2020-27'!R682:R694)</f>
        <v>2890788</v>
      </c>
      <c r="I397" s="2">
        <f>SUM('Budget Detail FY 2020-27'!S682:S694)</f>
        <v>2929060</v>
      </c>
      <c r="J397" s="2">
        <f>SUM('Budget Detail FY 2020-27'!T682:T694)</f>
        <v>1677500</v>
      </c>
      <c r="K397" s="2">
        <f>SUM('Budget Detail FY 2020-27'!U682:U694)</f>
        <v>1311500</v>
      </c>
      <c r="L397" s="663"/>
      <c r="M397" s="663"/>
      <c r="N397" s="660"/>
    </row>
    <row r="398" spans="2:14" s="641" customFormat="1" ht="20.100000000000001" customHeight="1">
      <c r="B398" s="134" t="s">
        <v>612</v>
      </c>
      <c r="C398" s="2">
        <f>'Budget Detail FY 2020-27'!M695</f>
        <v>0</v>
      </c>
      <c r="D398" s="2">
        <f>'Budget Detail FY 2020-27'!N695</f>
        <v>0</v>
      </c>
      <c r="E398" s="2">
        <f>'Budget Detail FY 2020-27'!O695</f>
        <v>0</v>
      </c>
      <c r="F398" s="2">
        <f>'Budget Detail FY 2020-27'!P695</f>
        <v>0</v>
      </c>
      <c r="G398" s="2">
        <f>'Budget Detail FY 2020-27'!Q695</f>
        <v>130281</v>
      </c>
      <c r="H398" s="2">
        <f>'Budget Detail FY 2020-27'!R695</f>
        <v>521124</v>
      </c>
      <c r="I398" s="2">
        <f>'Budget Detail FY 2020-27'!S695</f>
        <v>651405</v>
      </c>
      <c r="J398" s="2">
        <f>'Budget Detail FY 2020-27'!T695</f>
        <v>0</v>
      </c>
      <c r="K398" s="2">
        <f>'Budget Detail FY 2020-27'!U695</f>
        <v>0</v>
      </c>
      <c r="L398" s="663"/>
      <c r="M398" s="663"/>
      <c r="N398" s="660"/>
    </row>
    <row r="399" spans="2:14" ht="20.100000000000001" customHeight="1">
      <c r="B399" s="134" t="s">
        <v>543</v>
      </c>
      <c r="C399" s="2">
        <f>SUM('Budget Detail FY 2020-27'!M697:M707)</f>
        <v>2361500</v>
      </c>
      <c r="D399" s="2">
        <f>SUM('Budget Detail FY 2020-27'!N697:N707)</f>
        <v>2305935</v>
      </c>
      <c r="E399" s="2">
        <f>SUM('Budget Detail FY 2020-27'!O697:O707)</f>
        <v>1815830</v>
      </c>
      <c r="F399" s="2">
        <f>SUM('Budget Detail FY 2020-27'!P697:P707)</f>
        <v>1815830</v>
      </c>
      <c r="G399" s="2">
        <f>SUM('Budget Detail FY 2020-27'!Q697:Q707)</f>
        <v>1654108</v>
      </c>
      <c r="H399" s="2">
        <f>SUM('Budget Detail FY 2020-27'!R697:R707)</f>
        <v>714373</v>
      </c>
      <c r="I399" s="2">
        <f>SUM('Budget Detail FY 2020-27'!S697:S707)</f>
        <v>702673</v>
      </c>
      <c r="J399" s="2">
        <f>SUM('Budget Detail FY 2020-27'!T697:T707)</f>
        <v>358446</v>
      </c>
      <c r="K399" s="2">
        <f>SUM('Budget Detail FY 2020-27'!U697:U707)</f>
        <v>293285</v>
      </c>
      <c r="L399" s="663"/>
      <c r="M399" s="663"/>
      <c r="N399" s="660"/>
    </row>
    <row r="400" spans="2:14" ht="20.100000000000001" customHeight="1" thickBot="1">
      <c r="B400" s="79" t="s">
        <v>613</v>
      </c>
      <c r="C400" s="433">
        <f t="shared" ref="C400:K400" si="43">SUM(C393:C399)</f>
        <v>5024758</v>
      </c>
      <c r="D400" s="433">
        <f t="shared" si="43"/>
        <v>4712847</v>
      </c>
      <c r="E400" s="433">
        <f t="shared" si="43"/>
        <v>6081733</v>
      </c>
      <c r="F400" s="433">
        <f t="shared" si="43"/>
        <v>5485147</v>
      </c>
      <c r="G400" s="433">
        <f t="shared" si="43"/>
        <v>7693103</v>
      </c>
      <c r="H400" s="433">
        <f t="shared" si="43"/>
        <v>6829031</v>
      </c>
      <c r="I400" s="433">
        <f t="shared" si="43"/>
        <v>6978127</v>
      </c>
      <c r="J400" s="433">
        <f t="shared" si="43"/>
        <v>4784990</v>
      </c>
      <c r="K400" s="433">
        <f t="shared" si="43"/>
        <v>4061415</v>
      </c>
      <c r="L400" s="406"/>
      <c r="M400" s="406"/>
      <c r="N400" s="161"/>
    </row>
    <row r="401" spans="2:14" s="554" customFormat="1" ht="6.9" customHeight="1">
      <c r="B401" s="558"/>
      <c r="C401" s="410"/>
      <c r="D401" s="410"/>
      <c r="E401" s="410"/>
      <c r="F401" s="410"/>
      <c r="G401" s="410"/>
      <c r="H401" s="410"/>
      <c r="I401" s="410"/>
      <c r="J401" s="410"/>
      <c r="K401" s="410"/>
      <c r="L401" s="406"/>
      <c r="M401" s="406"/>
      <c r="N401" s="161"/>
    </row>
    <row r="402" spans="2:14" s="554" customFormat="1" ht="20.100000000000001" customHeight="1">
      <c r="B402" s="134" t="s">
        <v>599</v>
      </c>
      <c r="C402" s="295">
        <f>'Budget Detail FY 2020-27'!M711</f>
        <v>0</v>
      </c>
      <c r="D402" s="295">
        <f>'Budget Detail FY 2020-27'!N711</f>
        <v>0</v>
      </c>
      <c r="E402" s="295">
        <f>'Budget Detail FY 2020-27'!O711</f>
        <v>0</v>
      </c>
      <c r="F402" s="295">
        <f>'Budget Detail FY 2020-27'!P711</f>
        <v>0</v>
      </c>
      <c r="G402" s="295">
        <f>'Budget Detail FY 2020-27'!Q711</f>
        <v>0</v>
      </c>
      <c r="H402" s="295">
        <f>'Budget Detail FY 2020-27'!R711</f>
        <v>66443</v>
      </c>
      <c r="I402" s="295">
        <f>'Budget Detail FY 2020-27'!S711</f>
        <v>382945</v>
      </c>
      <c r="J402" s="295">
        <f>'Budget Detail FY 2020-27'!T711</f>
        <v>382008</v>
      </c>
      <c r="K402" s="295">
        <f>'Budget Detail FY 2020-27'!U711</f>
        <v>382074</v>
      </c>
      <c r="L402" s="667"/>
      <c r="M402" s="667"/>
      <c r="N402" s="161"/>
    </row>
    <row r="403" spans="2:14" s="554" customFormat="1" ht="20.100000000000001" customHeight="1" thickBot="1">
      <c r="B403" s="79" t="s">
        <v>1254</v>
      </c>
      <c r="C403" s="559">
        <f>C400+C402</f>
        <v>5024758</v>
      </c>
      <c r="D403" s="559">
        <f t="shared" ref="D403:K403" si="44">D400+D402</f>
        <v>4712847</v>
      </c>
      <c r="E403" s="559">
        <f t="shared" si="44"/>
        <v>6081733</v>
      </c>
      <c r="F403" s="559">
        <f t="shared" si="44"/>
        <v>5485147</v>
      </c>
      <c r="G403" s="559">
        <f t="shared" si="44"/>
        <v>7693103</v>
      </c>
      <c r="H403" s="559">
        <f t="shared" si="44"/>
        <v>6895474</v>
      </c>
      <c r="I403" s="559">
        <f t="shared" si="44"/>
        <v>7361072</v>
      </c>
      <c r="J403" s="559">
        <f t="shared" si="44"/>
        <v>5166998</v>
      </c>
      <c r="K403" s="559">
        <f t="shared" si="44"/>
        <v>4443489</v>
      </c>
      <c r="L403" s="676"/>
      <c r="M403" s="676"/>
      <c r="N403" s="661"/>
    </row>
    <row r="404" spans="2:14" ht="7.5" customHeight="1">
      <c r="B404" s="80"/>
      <c r="C404" s="2"/>
      <c r="D404" s="2"/>
      <c r="E404" s="2"/>
      <c r="F404" s="2"/>
      <c r="G404" s="2"/>
      <c r="H404" s="2"/>
      <c r="I404" s="2"/>
      <c r="J404" s="2"/>
      <c r="K404" s="2"/>
      <c r="L404" s="663"/>
      <c r="M404" s="663"/>
      <c r="N404" s="161"/>
    </row>
    <row r="405" spans="2:14" ht="20.100000000000001" customHeight="1">
      <c r="B405" s="133" t="s">
        <v>601</v>
      </c>
      <c r="C405" s="49">
        <f t="shared" ref="C405:K405" si="45">+C390-C403</f>
        <v>-264783</v>
      </c>
      <c r="D405" s="49">
        <f t="shared" si="45"/>
        <v>633113</v>
      </c>
      <c r="E405" s="49">
        <f t="shared" si="45"/>
        <v>-1020462</v>
      </c>
      <c r="F405" s="49">
        <f t="shared" si="45"/>
        <v>-106389</v>
      </c>
      <c r="G405" s="49">
        <f t="shared" si="45"/>
        <v>-1914100</v>
      </c>
      <c r="H405" s="49">
        <f t="shared" si="45"/>
        <v>-976894</v>
      </c>
      <c r="I405" s="49">
        <f t="shared" si="45"/>
        <v>-1251431</v>
      </c>
      <c r="J405" s="49">
        <f t="shared" si="45"/>
        <v>1074822</v>
      </c>
      <c r="K405" s="49">
        <f t="shared" si="45"/>
        <v>2059733</v>
      </c>
      <c r="L405" s="666"/>
      <c r="M405" s="666"/>
      <c r="N405" s="161"/>
    </row>
    <row r="406" spans="2:14" ht="7.5" customHeight="1">
      <c r="B406" s="81"/>
      <c r="C406" s="2"/>
      <c r="D406" s="2"/>
      <c r="E406" s="2"/>
      <c r="F406" s="2"/>
      <c r="G406" s="2"/>
      <c r="H406" s="2"/>
      <c r="I406" s="2"/>
      <c r="J406" s="2"/>
      <c r="K406" s="2"/>
      <c r="L406" s="663"/>
      <c r="M406" s="663"/>
      <c r="N406" s="161"/>
    </row>
    <row r="407" spans="2:14" ht="20.100000000000001" customHeight="1" thickBot="1">
      <c r="B407" s="78" t="s">
        <v>614</v>
      </c>
      <c r="C407" s="431">
        <v>3268245</v>
      </c>
      <c r="D407" s="431">
        <v>3901358</v>
      </c>
      <c r="E407" s="431">
        <v>2600578</v>
      </c>
      <c r="F407" s="431">
        <f>D407+F405</f>
        <v>3794969</v>
      </c>
      <c r="G407" s="431">
        <f>F407+G405</f>
        <v>1880869</v>
      </c>
      <c r="H407" s="431">
        <f>G407+H405</f>
        <v>903975</v>
      </c>
      <c r="I407" s="431">
        <f>H407+I405</f>
        <v>-347456</v>
      </c>
      <c r="J407" s="431">
        <f>I407+J405</f>
        <v>727366</v>
      </c>
      <c r="K407" s="431">
        <f>J407+K405</f>
        <v>2787099</v>
      </c>
      <c r="L407" s="406"/>
      <c r="M407" s="406"/>
      <c r="N407" s="161"/>
    </row>
    <row r="408" spans="2:14" ht="14.4" thickTop="1">
      <c r="B408" s="4"/>
      <c r="C408" s="82">
        <f t="shared" ref="C408:K408" si="46">+C407/C403</f>
        <v>0.65042833903642727</v>
      </c>
      <c r="D408" s="82">
        <f t="shared" si="46"/>
        <v>0.8278134214838716</v>
      </c>
      <c r="E408" s="82">
        <f t="shared" si="46"/>
        <v>0.42760476331335162</v>
      </c>
      <c r="F408" s="82">
        <f t="shared" si="46"/>
        <v>0.69186277049639688</v>
      </c>
      <c r="G408" s="82">
        <f t="shared" si="46"/>
        <v>0.24448769241748095</v>
      </c>
      <c r="H408" s="82">
        <f t="shared" si="46"/>
        <v>0.13109686150654762</v>
      </c>
      <c r="I408" s="82">
        <f t="shared" si="46"/>
        <v>-4.7201820604390231E-2</v>
      </c>
      <c r="J408" s="82">
        <f t="shared" si="46"/>
        <v>0.14077148858969948</v>
      </c>
      <c r="K408" s="82">
        <f t="shared" si="46"/>
        <v>0.62723211422375524</v>
      </c>
      <c r="L408" s="670"/>
      <c r="M408" s="670"/>
      <c r="N408" s="161"/>
    </row>
    <row r="409" spans="2:14">
      <c r="B409" s="4"/>
      <c r="C409" s="82"/>
      <c r="D409" s="82"/>
      <c r="E409" s="82"/>
      <c r="F409" s="82"/>
      <c r="G409" s="82"/>
      <c r="H409" s="82"/>
      <c r="I409" s="82"/>
      <c r="J409" s="82"/>
      <c r="K409" s="82"/>
      <c r="L409" s="670"/>
      <c r="M409" s="670"/>
      <c r="N409" s="161"/>
    </row>
    <row r="410" spans="2:14" ht="7.5" customHeight="1">
      <c r="B410" s="4"/>
      <c r="C410" s="2"/>
      <c r="D410" s="2"/>
      <c r="E410" s="2"/>
      <c r="F410" s="2"/>
      <c r="G410" s="2"/>
      <c r="H410" s="2"/>
      <c r="I410" s="2"/>
      <c r="J410" s="2"/>
      <c r="K410" s="2"/>
      <c r="L410" s="663"/>
      <c r="M410" s="663"/>
      <c r="N410" s="161"/>
    </row>
    <row r="411" spans="2:14">
      <c r="B411" s="1"/>
      <c r="C411" s="2"/>
      <c r="D411" s="2"/>
      <c r="E411" s="2"/>
      <c r="F411" s="2"/>
      <c r="G411" s="2"/>
      <c r="H411" s="2"/>
      <c r="I411" s="2"/>
      <c r="J411" s="2"/>
      <c r="K411" s="2"/>
      <c r="L411" s="663"/>
      <c r="M411" s="663"/>
      <c r="N411" s="161"/>
    </row>
    <row r="412" spans="2:14">
      <c r="B412" s="1"/>
      <c r="C412" s="2"/>
      <c r="D412" s="2"/>
      <c r="E412" s="2"/>
      <c r="F412" s="2"/>
      <c r="G412" s="2"/>
      <c r="H412" s="2"/>
      <c r="I412" s="2"/>
      <c r="J412" s="2"/>
      <c r="K412" s="2"/>
      <c r="L412" s="663"/>
      <c r="M412" s="663"/>
      <c r="N412" s="161"/>
    </row>
    <row r="413" spans="2:14">
      <c r="B413" s="1"/>
      <c r="C413" s="2"/>
      <c r="D413" s="2"/>
      <c r="E413" s="2"/>
      <c r="F413" s="2"/>
      <c r="G413" s="2"/>
      <c r="H413" s="2"/>
      <c r="I413" s="2"/>
      <c r="J413" s="2"/>
      <c r="K413" s="2"/>
      <c r="L413" s="663"/>
      <c r="M413" s="663"/>
      <c r="N413" s="161"/>
    </row>
    <row r="414" spans="2:14">
      <c r="B414" s="1"/>
      <c r="C414" s="2"/>
      <c r="D414" s="2"/>
      <c r="E414" s="2"/>
      <c r="F414" s="2"/>
      <c r="G414" s="2"/>
      <c r="H414" s="2"/>
      <c r="I414" s="2"/>
      <c r="J414" s="2"/>
      <c r="K414" s="2"/>
      <c r="L414" s="663"/>
      <c r="M414" s="663"/>
      <c r="N414" s="161"/>
    </row>
    <row r="415" spans="2:14">
      <c r="B415" s="1"/>
      <c r="C415" s="2"/>
      <c r="D415" s="2"/>
      <c r="E415" s="2"/>
      <c r="F415" s="2"/>
      <c r="G415" s="2"/>
      <c r="H415" s="2"/>
      <c r="I415" s="2"/>
      <c r="J415" s="2"/>
      <c r="K415" s="2"/>
      <c r="L415" s="663"/>
      <c r="M415" s="663"/>
      <c r="N415" s="161"/>
    </row>
    <row r="416" spans="2:14">
      <c r="B416" s="1"/>
      <c r="C416" s="2"/>
      <c r="D416" s="2"/>
      <c r="E416" s="2"/>
      <c r="F416" s="2"/>
      <c r="G416" s="2"/>
      <c r="H416" s="2"/>
      <c r="I416" s="2"/>
      <c r="J416" s="2"/>
      <c r="K416" s="2"/>
      <c r="L416" s="663"/>
      <c r="M416" s="663"/>
      <c r="N416" s="161"/>
    </row>
    <row r="417" spans="2:14">
      <c r="B417" s="1"/>
      <c r="C417" s="2"/>
      <c r="D417" s="2"/>
      <c r="E417" s="2"/>
      <c r="F417" s="2"/>
      <c r="G417" s="2"/>
      <c r="H417" s="2"/>
      <c r="I417" s="2"/>
      <c r="J417" s="2"/>
      <c r="K417" s="2"/>
      <c r="L417" s="663"/>
      <c r="M417" s="663"/>
      <c r="N417" s="161"/>
    </row>
    <row r="418" spans="2:14">
      <c r="B418" s="1"/>
      <c r="C418" s="2"/>
      <c r="D418" s="2"/>
      <c r="E418" s="2"/>
      <c r="F418" s="2"/>
      <c r="G418" s="2"/>
      <c r="H418" s="2"/>
      <c r="I418" s="2"/>
      <c r="J418" s="2"/>
      <c r="K418" s="2"/>
      <c r="L418" s="663"/>
      <c r="M418" s="663"/>
      <c r="N418" s="161"/>
    </row>
    <row r="419" spans="2:14">
      <c r="B419" s="1"/>
      <c r="C419" s="2"/>
      <c r="D419" s="2"/>
      <c r="E419" s="2"/>
      <c r="F419" s="2"/>
      <c r="G419" s="2"/>
      <c r="H419" s="2"/>
      <c r="I419" s="2"/>
      <c r="J419" s="2"/>
      <c r="K419" s="2"/>
      <c r="L419" s="663"/>
      <c r="M419" s="663"/>
      <c r="N419" s="161"/>
    </row>
    <row r="420" spans="2:14">
      <c r="B420" s="1"/>
      <c r="C420" s="2"/>
      <c r="D420" s="2"/>
      <c r="E420" s="2"/>
      <c r="F420" s="2"/>
      <c r="G420" s="2"/>
      <c r="H420" s="2"/>
      <c r="I420" s="2"/>
      <c r="J420" s="2"/>
      <c r="K420" s="2"/>
      <c r="L420" s="663"/>
      <c r="M420" s="663"/>
      <c r="N420" s="161"/>
    </row>
    <row r="421" spans="2:14">
      <c r="B421" s="1"/>
      <c r="C421" s="2"/>
      <c r="D421" s="2"/>
      <c r="E421" s="2"/>
      <c r="F421" s="2"/>
      <c r="G421" s="2"/>
      <c r="H421" s="2"/>
      <c r="I421" s="2"/>
      <c r="J421" s="2"/>
      <c r="K421" s="2"/>
      <c r="L421" s="663"/>
      <c r="M421" s="663"/>
      <c r="N421" s="161"/>
    </row>
    <row r="422" spans="2:14">
      <c r="N422" s="161"/>
    </row>
    <row r="423" spans="2:14" ht="17.399999999999999">
      <c r="B423" s="682" t="s">
        <v>615</v>
      </c>
      <c r="C423" s="682"/>
      <c r="D423" s="682"/>
      <c r="E423" s="682"/>
      <c r="F423" s="682"/>
      <c r="G423" s="682"/>
      <c r="H423" s="682"/>
      <c r="I423" s="682"/>
      <c r="J423" s="682"/>
      <c r="K423" s="682"/>
      <c r="L423" s="662"/>
      <c r="M423" s="662"/>
      <c r="N423" s="161"/>
    </row>
    <row r="424" spans="2:14">
      <c r="B424" s="43"/>
      <c r="C424" s="2"/>
      <c r="D424" s="2"/>
      <c r="E424" s="2"/>
      <c r="F424" s="2"/>
      <c r="G424" s="2"/>
      <c r="H424" s="2"/>
      <c r="I424" s="2"/>
      <c r="J424" s="2"/>
      <c r="K424" s="2"/>
      <c r="L424" s="663"/>
      <c r="M424" s="663"/>
      <c r="N424" s="161"/>
    </row>
    <row r="425" spans="2:14" ht="12.75" customHeight="1">
      <c r="B425" s="683" t="s">
        <v>616</v>
      </c>
      <c r="C425" s="683"/>
      <c r="D425" s="683"/>
      <c r="E425" s="683"/>
      <c r="F425" s="683"/>
      <c r="G425" s="683"/>
      <c r="H425" s="683"/>
      <c r="I425" s="683"/>
      <c r="J425" s="683"/>
      <c r="K425" s="683"/>
      <c r="L425" s="664"/>
      <c r="M425" s="664"/>
      <c r="N425" s="161"/>
    </row>
    <row r="426" spans="2:14" ht="18" customHeight="1">
      <c r="B426" s="683"/>
      <c r="C426" s="683"/>
      <c r="D426" s="683"/>
      <c r="E426" s="683"/>
      <c r="F426" s="683"/>
      <c r="G426" s="683"/>
      <c r="H426" s="683"/>
      <c r="I426" s="683"/>
      <c r="J426" s="683"/>
      <c r="K426" s="683"/>
      <c r="L426" s="664"/>
      <c r="M426" s="664"/>
      <c r="N426" s="161"/>
    </row>
    <row r="427" spans="2:14" ht="7.5" customHeight="1">
      <c r="B427" s="19"/>
      <c r="C427" s="16"/>
      <c r="D427" s="16"/>
      <c r="E427" s="16"/>
      <c r="F427" s="2"/>
      <c r="G427" s="2"/>
      <c r="H427" s="2"/>
      <c r="I427" s="2"/>
      <c r="J427" s="2"/>
      <c r="K427" s="2"/>
      <c r="L427" s="663"/>
      <c r="M427" s="663"/>
      <c r="N427" s="161"/>
    </row>
    <row r="428" spans="2:14">
      <c r="B428" s="4"/>
      <c r="C428" s="43"/>
      <c r="D428" s="573"/>
      <c r="E428" s="43" t="s">
        <v>815</v>
      </c>
      <c r="F428" s="573"/>
      <c r="G428" s="43" t="s">
        <v>816</v>
      </c>
      <c r="H428" s="573"/>
      <c r="I428" s="573"/>
      <c r="J428" s="573"/>
      <c r="K428" s="573"/>
      <c r="L428" s="304"/>
      <c r="M428" s="304"/>
      <c r="N428" s="161"/>
    </row>
    <row r="429" spans="2:14">
      <c r="B429" s="43"/>
      <c r="C429" s="43" t="s">
        <v>813</v>
      </c>
      <c r="D429" s="43" t="s">
        <v>814</v>
      </c>
      <c r="E429" s="43" t="s">
        <v>583</v>
      </c>
      <c r="F429" s="43" t="s">
        <v>815</v>
      </c>
      <c r="G429" s="156" t="str">
        <f>'Fund Cover Sheets'!$N$1</f>
        <v>Adopted</v>
      </c>
      <c r="H429" s="43" t="s">
        <v>817</v>
      </c>
      <c r="I429" s="43" t="s">
        <v>818</v>
      </c>
      <c r="J429" s="43" t="s">
        <v>819</v>
      </c>
      <c r="K429" s="43" t="s">
        <v>820</v>
      </c>
      <c r="L429" s="665"/>
      <c r="M429" s="665"/>
      <c r="N429" s="161"/>
    </row>
    <row r="430" spans="2:14" ht="14.4" thickBot="1">
      <c r="B430" s="44"/>
      <c r="C430" s="45" t="s">
        <v>1</v>
      </c>
      <c r="D430" s="45" t="s">
        <v>1</v>
      </c>
      <c r="E430" s="45" t="s">
        <v>553</v>
      </c>
      <c r="F430" s="45" t="s">
        <v>19</v>
      </c>
      <c r="G430" s="45" t="s">
        <v>553</v>
      </c>
      <c r="H430" s="45" t="s">
        <v>19</v>
      </c>
      <c r="I430" s="45" t="s">
        <v>19</v>
      </c>
      <c r="J430" s="45" t="s">
        <v>19</v>
      </c>
      <c r="K430" s="45" t="s">
        <v>19</v>
      </c>
      <c r="L430" s="566"/>
      <c r="M430" s="566"/>
      <c r="N430" s="161"/>
    </row>
    <row r="431" spans="2:14" ht="7.5" customHeight="1">
      <c r="B431" s="1"/>
      <c r="C431" s="52"/>
      <c r="D431" s="2"/>
      <c r="E431" s="2"/>
      <c r="F431" s="2"/>
      <c r="G431" s="2"/>
      <c r="H431" s="2"/>
      <c r="I431" s="2"/>
      <c r="J431" s="2"/>
      <c r="K431" s="2"/>
      <c r="L431" s="663"/>
      <c r="M431" s="663"/>
      <c r="N431" s="161"/>
    </row>
    <row r="432" spans="2:14">
      <c r="B432" s="80" t="s">
        <v>1273</v>
      </c>
      <c r="C432" s="2"/>
      <c r="D432" s="2"/>
      <c r="E432" s="2"/>
      <c r="F432" s="2"/>
      <c r="G432" s="2"/>
      <c r="H432" s="2"/>
      <c r="I432" s="2"/>
      <c r="J432" s="2"/>
      <c r="K432" s="2"/>
      <c r="L432" s="663"/>
      <c r="M432" s="663"/>
      <c r="N432" s="161"/>
    </row>
    <row r="433" spans="2:14" s="571" customFormat="1" ht="20.100000000000001" customHeight="1">
      <c r="B433" s="134" t="s">
        <v>585</v>
      </c>
      <c r="C433" s="49">
        <f>'Budget Detail FY 2020-27'!M726+'Budget Detail FY 2020-27'!M727</f>
        <v>0</v>
      </c>
      <c r="D433" s="49">
        <f>'Budget Detail FY 2020-27'!N726+'Budget Detail FY 2020-27'!N727</f>
        <v>0</v>
      </c>
      <c r="E433" s="49">
        <f>'Budget Detail FY 2020-27'!O726+'Budget Detail FY 2020-27'!O727</f>
        <v>84500</v>
      </c>
      <c r="F433" s="49">
        <f>'Budget Detail FY 2020-27'!P726+'Budget Detail FY 2020-27'!P727</f>
        <v>0</v>
      </c>
      <c r="G433" s="49">
        <f>'Budget Detail FY 2020-27'!Q726+'Budget Detail FY 2020-27'!Q727</f>
        <v>1000000</v>
      </c>
      <c r="H433" s="49">
        <f>'Budget Detail FY 2020-27'!R726+'Budget Detail FY 2020-27'!R727</f>
        <v>0</v>
      </c>
      <c r="I433" s="49">
        <f>'Budget Detail FY 2020-27'!S726+'Budget Detail FY 2020-27'!S727</f>
        <v>0</v>
      </c>
      <c r="J433" s="49">
        <f>'Budget Detail FY 2020-27'!T726+'Budget Detail FY 2020-27'!T727</f>
        <v>0</v>
      </c>
      <c r="K433" s="49">
        <f>'Budget Detail FY 2020-27'!U726+'Budget Detail FY 2020-27'!U727</f>
        <v>0</v>
      </c>
      <c r="L433" s="666"/>
      <c r="M433" s="666"/>
      <c r="N433" s="660"/>
    </row>
    <row r="434" spans="2:14" ht="20.100000000000001" customHeight="1">
      <c r="B434" s="134" t="s">
        <v>588</v>
      </c>
      <c r="C434" s="2">
        <f>SUM('Budget Detail FY 2020-27'!M728:M733)</f>
        <v>1601847</v>
      </c>
      <c r="D434" s="2">
        <f>SUM('Budget Detail FY 2020-27'!N728:N733)</f>
        <v>1731961</v>
      </c>
      <c r="E434" s="2">
        <f>SUM('Budget Detail FY 2020-27'!O728:O733)</f>
        <v>1669853</v>
      </c>
      <c r="F434" s="2">
        <f>SUM('Budget Detail FY 2020-27'!P728:P733)</f>
        <v>1729000</v>
      </c>
      <c r="G434" s="2">
        <f>SUM('Budget Detail FY 2020-27'!Q728:Q733)</f>
        <v>1776200</v>
      </c>
      <c r="H434" s="2">
        <f>SUM('Budget Detail FY 2020-27'!R728:R733)</f>
        <v>1852400</v>
      </c>
      <c r="I434" s="2">
        <f>SUM('Budget Detail FY 2020-27'!S728:S733)</f>
        <v>1932833</v>
      </c>
      <c r="J434" s="2">
        <f>SUM('Budget Detail FY 2020-27'!T728:T733)</f>
        <v>2017747</v>
      </c>
      <c r="K434" s="2">
        <f>SUM('Budget Detail FY 2020-27'!U728:U733)</f>
        <v>2107403</v>
      </c>
      <c r="L434" s="663"/>
      <c r="M434" s="663"/>
      <c r="N434" s="660"/>
    </row>
    <row r="435" spans="2:14" ht="20.100000000000001" customHeight="1">
      <c r="B435" s="134" t="s">
        <v>589</v>
      </c>
      <c r="C435" s="2">
        <f>'Budget Detail FY 2020-27'!M734+'Budget Detail FY 2020-27'!M735</f>
        <v>38751</v>
      </c>
      <c r="D435" s="2">
        <f>'Budget Detail FY 2020-27'!N734+'Budget Detail FY 2020-27'!N735</f>
        <v>480</v>
      </c>
      <c r="E435" s="2">
        <f>'Budget Detail FY 2020-27'!O734+'Budget Detail FY 2020-27'!O735</f>
        <v>1500</v>
      </c>
      <c r="F435" s="2">
        <f>'Budget Detail FY 2020-27'!P734+'Budget Detail FY 2020-27'!P735</f>
        <v>3174</v>
      </c>
      <c r="G435" s="2">
        <f>'Budget Detail FY 2020-27'!Q734+'Budget Detail FY 2020-27'!Q735</f>
        <v>750</v>
      </c>
      <c r="H435" s="2">
        <f>'Budget Detail FY 2020-27'!R734+'Budget Detail FY 2020-27'!R735</f>
        <v>1000</v>
      </c>
      <c r="I435" s="2">
        <f>'Budget Detail FY 2020-27'!S734+'Budget Detail FY 2020-27'!S735</f>
        <v>2000</v>
      </c>
      <c r="J435" s="2">
        <f>'Budget Detail FY 2020-27'!T734+'Budget Detail FY 2020-27'!T735</f>
        <v>3000</v>
      </c>
      <c r="K435" s="2">
        <f>'Budget Detail FY 2020-27'!U734+'Budget Detail FY 2020-27'!U735</f>
        <v>5000</v>
      </c>
      <c r="L435" s="663"/>
      <c r="M435" s="663"/>
      <c r="N435" s="660"/>
    </row>
    <row r="436" spans="2:14" ht="20.100000000000001" customHeight="1">
      <c r="B436" s="134" t="s">
        <v>590</v>
      </c>
      <c r="C436" s="2">
        <f>SUM('Budget Detail FY 2020-27'!M736:M737)</f>
        <v>1630</v>
      </c>
      <c r="D436" s="2">
        <f>SUM('Budget Detail FY 2020-27'!N736:N737)</f>
        <v>4629</v>
      </c>
      <c r="E436" s="2">
        <f>SUM('Budget Detail FY 2020-27'!O736:O737)</f>
        <v>0</v>
      </c>
      <c r="F436" s="2">
        <f>SUM('Budget Detail FY 2020-27'!P736:P737)</f>
        <v>1683</v>
      </c>
      <c r="G436" s="2">
        <f>SUM('Budget Detail FY 2020-27'!Q736:Q737)</f>
        <v>2227415</v>
      </c>
      <c r="H436" s="2">
        <f>SUM('Budget Detail FY 2020-27'!R736:R737)</f>
        <v>0</v>
      </c>
      <c r="I436" s="2">
        <f>SUM('Budget Detail FY 2020-27'!S736:S737)</f>
        <v>0</v>
      </c>
      <c r="J436" s="2">
        <f>SUM('Budget Detail FY 2020-27'!T736:T737)</f>
        <v>0</v>
      </c>
      <c r="K436" s="2">
        <f>SUM('Budget Detail FY 2020-27'!U736:U737)</f>
        <v>0</v>
      </c>
      <c r="L436" s="663"/>
      <c r="M436" s="663"/>
      <c r="N436" s="660"/>
    </row>
    <row r="437" spans="2:14" s="470" customFormat="1" ht="20.100000000000001" customHeight="1">
      <c r="B437" s="515" t="s">
        <v>1241</v>
      </c>
      <c r="C437" s="514">
        <f t="shared" ref="C437:K437" si="47">SUM(C433:C436)</f>
        <v>1642228</v>
      </c>
      <c r="D437" s="514">
        <f t="shared" si="47"/>
        <v>1737070</v>
      </c>
      <c r="E437" s="514">
        <f t="shared" si="47"/>
        <v>1755853</v>
      </c>
      <c r="F437" s="514">
        <f t="shared" si="47"/>
        <v>1733857</v>
      </c>
      <c r="G437" s="514">
        <f t="shared" si="47"/>
        <v>5004365</v>
      </c>
      <c r="H437" s="514">
        <f t="shared" si="47"/>
        <v>1853400</v>
      </c>
      <c r="I437" s="514">
        <f t="shared" si="47"/>
        <v>1934833</v>
      </c>
      <c r="J437" s="514">
        <f t="shared" si="47"/>
        <v>2020747</v>
      </c>
      <c r="K437" s="514">
        <f t="shared" si="47"/>
        <v>2112403</v>
      </c>
      <c r="L437" s="406"/>
      <c r="M437" s="406"/>
      <c r="N437" s="660"/>
    </row>
    <row r="438" spans="2:14" s="470" customFormat="1" ht="6.9" customHeight="1">
      <c r="B438" s="134"/>
      <c r="C438" s="2"/>
      <c r="D438" s="2"/>
      <c r="E438" s="2"/>
      <c r="F438" s="2"/>
      <c r="G438" s="2"/>
      <c r="H438" s="2"/>
      <c r="I438" s="2"/>
      <c r="J438" s="2"/>
      <c r="K438" s="2"/>
      <c r="L438" s="663"/>
      <c r="M438" s="663"/>
      <c r="N438" s="660"/>
    </row>
    <row r="439" spans="2:14" ht="20.100000000000001" customHeight="1">
      <c r="B439" s="134" t="s">
        <v>592</v>
      </c>
      <c r="C439" s="2">
        <f>'Budget Detail FY 2020-27'!M740+'Budget Detail FY 2020-27'!M741</f>
        <v>575030</v>
      </c>
      <c r="D439" s="2">
        <f>'Budget Detail FY 2020-27'!N740+'Budget Detail FY 2020-27'!N741</f>
        <v>174744</v>
      </c>
      <c r="E439" s="2">
        <f>'Budget Detail FY 2020-27'!O740+'Budget Detail FY 2020-27'!O741</f>
        <v>519749</v>
      </c>
      <c r="F439" s="2">
        <f>'Budget Detail FY 2020-27'!P740+'Budget Detail FY 2020-27'!P741</f>
        <v>4679749</v>
      </c>
      <c r="G439" s="2">
        <f>'Budget Detail FY 2020-27'!Q740+'Budget Detail FY 2020-27'!Q741</f>
        <v>1600356</v>
      </c>
      <c r="H439" s="2">
        <f>'Budget Detail FY 2020-27'!R740+'Budget Detail FY 2020-27'!R741</f>
        <v>1065723</v>
      </c>
      <c r="I439" s="2">
        <f>'Budget Detail FY 2020-27'!S740+'Budget Detail FY 2020-27'!S741</f>
        <v>769303</v>
      </c>
      <c r="J439" s="2">
        <f>'Budget Detail FY 2020-27'!T740+'Budget Detail FY 2020-27'!T741</f>
        <v>568980</v>
      </c>
      <c r="K439" s="2">
        <f>'Budget Detail FY 2020-27'!U740+'Budget Detail FY 2020-27'!U741</f>
        <v>0</v>
      </c>
      <c r="L439" s="663"/>
      <c r="M439" s="663"/>
      <c r="N439" s="660"/>
    </row>
    <row r="440" spans="2:14" ht="20.100000000000001" customHeight="1" thickBot="1">
      <c r="B440" s="79" t="s">
        <v>1243</v>
      </c>
      <c r="C440" s="433">
        <f t="shared" ref="C440:K440" si="48">C437+C439</f>
        <v>2217258</v>
      </c>
      <c r="D440" s="433">
        <f t="shared" si="48"/>
        <v>1911814</v>
      </c>
      <c r="E440" s="433">
        <f t="shared" si="48"/>
        <v>2275602</v>
      </c>
      <c r="F440" s="433">
        <f t="shared" si="48"/>
        <v>6413606</v>
      </c>
      <c r="G440" s="433">
        <f t="shared" si="48"/>
        <v>6604721</v>
      </c>
      <c r="H440" s="433">
        <f t="shared" si="48"/>
        <v>2919123</v>
      </c>
      <c r="I440" s="433">
        <f t="shared" si="48"/>
        <v>2704136</v>
      </c>
      <c r="J440" s="433">
        <f t="shared" si="48"/>
        <v>2589727</v>
      </c>
      <c r="K440" s="433">
        <f t="shared" si="48"/>
        <v>2112403</v>
      </c>
      <c r="L440" s="406"/>
      <c r="M440" s="406"/>
      <c r="N440" s="161"/>
    </row>
    <row r="441" spans="2:14" ht="7.5" customHeight="1">
      <c r="B441" s="1"/>
      <c r="C441" s="2"/>
      <c r="D441" s="2"/>
      <c r="E441" s="2"/>
      <c r="F441" s="2"/>
      <c r="G441" s="2"/>
      <c r="H441" s="2"/>
      <c r="I441" s="2"/>
      <c r="J441" s="2"/>
      <c r="K441" s="2"/>
      <c r="L441" s="663"/>
      <c r="M441" s="663"/>
      <c r="N441" s="161"/>
    </row>
    <row r="442" spans="2:14">
      <c r="B442" s="80" t="s">
        <v>426</v>
      </c>
      <c r="C442" s="2"/>
      <c r="D442" s="2"/>
      <c r="E442" s="2"/>
      <c r="F442" s="2"/>
      <c r="G442" s="2"/>
      <c r="H442" s="2"/>
      <c r="I442" s="2"/>
      <c r="J442" s="2"/>
      <c r="K442" s="2"/>
      <c r="L442" s="663"/>
      <c r="M442" s="663"/>
      <c r="N442" s="161"/>
    </row>
    <row r="443" spans="2:14" ht="20.100000000000001" customHeight="1">
      <c r="B443" s="134" t="s">
        <v>594</v>
      </c>
      <c r="C443" s="49">
        <f>SUM('Budget Detail FY 2020-27'!M748:M750)</f>
        <v>203811</v>
      </c>
      <c r="D443" s="49">
        <f>SUM('Budget Detail FY 2020-27'!N748:N750)</f>
        <v>243940</v>
      </c>
      <c r="E443" s="49">
        <f>SUM('Budget Detail FY 2020-27'!O748:O750)</f>
        <v>278833</v>
      </c>
      <c r="F443" s="49">
        <f>SUM('Budget Detail FY 2020-27'!P748:P750)</f>
        <v>274700</v>
      </c>
      <c r="G443" s="49">
        <f>SUM('Budget Detail FY 2020-27'!Q748:Q750)</f>
        <v>292011</v>
      </c>
      <c r="H443" s="49">
        <f>SUM('Budget Detail FY 2020-27'!R748:R750)</f>
        <v>300540</v>
      </c>
      <c r="I443" s="49">
        <f>SUM('Budget Detail FY 2020-27'!S748:S750)</f>
        <v>309325</v>
      </c>
      <c r="J443" s="49">
        <f>SUM('Budget Detail FY 2020-27'!T748:T750)</f>
        <v>318374</v>
      </c>
      <c r="K443" s="49">
        <f>SUM('Budget Detail FY 2020-27'!U748:U750)</f>
        <v>327694</v>
      </c>
      <c r="L443" s="666"/>
      <c r="M443" s="666"/>
      <c r="N443" s="660"/>
    </row>
    <row r="444" spans="2:14" ht="20.100000000000001" customHeight="1">
      <c r="B444" s="134" t="s">
        <v>595</v>
      </c>
      <c r="C444" s="2">
        <f>SUM('Budget Detail FY 2020-27'!M751:M758)</f>
        <v>119911</v>
      </c>
      <c r="D444" s="2">
        <f>SUM('Budget Detail FY 2020-27'!N751:N758)</f>
        <v>134831</v>
      </c>
      <c r="E444" s="2">
        <f>SUM('Budget Detail FY 2020-27'!O751:O758)</f>
        <v>151754</v>
      </c>
      <c r="F444" s="2">
        <f>SUM('Budget Detail FY 2020-27'!P751:P758)</f>
        <v>149965</v>
      </c>
      <c r="G444" s="2">
        <f>SUM('Budget Detail FY 2020-27'!Q751:Q758)</f>
        <v>161122</v>
      </c>
      <c r="H444" s="2">
        <f>SUM('Budget Detail FY 2020-27'!R751:R758)</f>
        <v>171737</v>
      </c>
      <c r="I444" s="2">
        <f>SUM('Budget Detail FY 2020-27'!S751:S758)</f>
        <v>183191</v>
      </c>
      <c r="J444" s="2">
        <f>SUM('Budget Detail FY 2020-27'!T751:T758)</f>
        <v>195440</v>
      </c>
      <c r="K444" s="2">
        <f>SUM('Budget Detail FY 2020-27'!U751:U758)</f>
        <v>208607</v>
      </c>
      <c r="L444" s="663"/>
      <c r="M444" s="663"/>
      <c r="N444" s="660"/>
    </row>
    <row r="445" spans="2:14" ht="20.100000000000001" customHeight="1">
      <c r="B445" s="134" t="s">
        <v>596</v>
      </c>
      <c r="C445" s="2">
        <f>SUM('Budget Detail FY 2020-27'!M759:M777)</f>
        <v>140242</v>
      </c>
      <c r="D445" s="2">
        <f>SUM('Budget Detail FY 2020-27'!N759:N777)</f>
        <v>266720</v>
      </c>
      <c r="E445" s="2">
        <f>SUM('Budget Detail FY 2020-27'!O759:O777)</f>
        <v>214665</v>
      </c>
      <c r="F445" s="2">
        <f>SUM('Budget Detail FY 2020-27'!P759:P777)</f>
        <v>237319</v>
      </c>
      <c r="G445" s="2">
        <f>SUM('Budget Detail FY 2020-27'!Q759:Q777)</f>
        <v>261972</v>
      </c>
      <c r="H445" s="2">
        <f>SUM('Budget Detail FY 2020-27'!R759:R777)</f>
        <v>223655</v>
      </c>
      <c r="I445" s="2">
        <f>SUM('Budget Detail FY 2020-27'!S759:S777)</f>
        <v>205565</v>
      </c>
      <c r="J445" s="2">
        <f>SUM('Budget Detail FY 2020-27'!T759:T777)</f>
        <v>239888</v>
      </c>
      <c r="K445" s="2">
        <f>SUM('Budget Detail FY 2020-27'!U759:U777)</f>
        <v>237300</v>
      </c>
      <c r="L445" s="663"/>
      <c r="M445" s="663"/>
      <c r="N445" s="660"/>
    </row>
    <row r="446" spans="2:14" ht="20.100000000000001" customHeight="1">
      <c r="B446" s="134" t="s">
        <v>597</v>
      </c>
      <c r="C446" s="2">
        <f>SUM('Budget Detail FY 2020-27'!M778:M786)</f>
        <v>51182</v>
      </c>
      <c r="D446" s="2">
        <f>SUM('Budget Detail FY 2020-27'!N778:N786)</f>
        <v>36319</v>
      </c>
      <c r="E446" s="2">
        <f>SUM('Budget Detail FY 2020-27'!O778:O786)</f>
        <v>65563</v>
      </c>
      <c r="F446" s="2">
        <f>SUM('Budget Detail FY 2020-27'!P778:P786)</f>
        <v>63563</v>
      </c>
      <c r="G446" s="2">
        <f>SUM('Budget Detail FY 2020-27'!Q778:Q786)</f>
        <v>63363</v>
      </c>
      <c r="H446" s="2">
        <f>SUM('Budget Detail FY 2020-27'!R778:R786)</f>
        <v>63828</v>
      </c>
      <c r="I446" s="2">
        <f>SUM('Budget Detail FY 2020-27'!S778:S786)</f>
        <v>65431</v>
      </c>
      <c r="J446" s="2">
        <f>SUM('Budget Detail FY 2020-27'!T778:T786)</f>
        <v>67146</v>
      </c>
      <c r="K446" s="2">
        <f>SUM('Budget Detail FY 2020-27'!U778:U786)</f>
        <v>68981</v>
      </c>
      <c r="L446" s="663"/>
      <c r="M446" s="663"/>
      <c r="N446" s="660"/>
    </row>
    <row r="447" spans="2:14" ht="20.100000000000001" customHeight="1">
      <c r="B447" s="134" t="s">
        <v>598</v>
      </c>
      <c r="C447" s="2">
        <f>SUM('Budget Detail FY 2020-27'!M787:M795)</f>
        <v>132845</v>
      </c>
      <c r="D447" s="2">
        <f>SUM('Budget Detail FY 2020-27'!N787:N795)</f>
        <v>212077</v>
      </c>
      <c r="E447" s="2">
        <f>SUM('Budget Detail FY 2020-27'!O787:O795)</f>
        <v>341309</v>
      </c>
      <c r="F447" s="2">
        <f>SUM('Budget Detail FY 2020-27'!P787:P795)</f>
        <v>109488</v>
      </c>
      <c r="G447" s="2">
        <f>SUM('Budget Detail FY 2020-27'!Q787:Q795)</f>
        <v>3791554</v>
      </c>
      <c r="H447" s="2">
        <f>SUM('Budget Detail FY 2020-27'!R787:R795)</f>
        <v>530000</v>
      </c>
      <c r="I447" s="2">
        <f>SUM('Budget Detail FY 2020-27'!S787:S795)</f>
        <v>530000</v>
      </c>
      <c r="J447" s="2">
        <f>SUM('Budget Detail FY 2020-27'!T787:T795)</f>
        <v>530000</v>
      </c>
      <c r="K447" s="2">
        <f>SUM('Budget Detail FY 2020-27'!U787:U795)</f>
        <v>530000</v>
      </c>
      <c r="L447" s="663"/>
      <c r="M447" s="663"/>
      <c r="N447" s="660"/>
    </row>
    <row r="448" spans="2:14" ht="20.100000000000001" customHeight="1">
      <c r="B448" s="134" t="s">
        <v>612</v>
      </c>
      <c r="C448" s="2">
        <f>SUM('Budget Detail FY 2020-27'!M796:M797)</f>
        <v>30948</v>
      </c>
      <c r="D448" s="2">
        <f>SUM('Budget Detail FY 2020-27'!N796:N797)</f>
        <v>0</v>
      </c>
      <c r="E448" s="2">
        <f>SUM('Budget Detail FY 2020-27'!O796:O797)</f>
        <v>0</v>
      </c>
      <c r="F448" s="2">
        <f>SUM('Budget Detail FY 2020-27'!P796:P797)</f>
        <v>0</v>
      </c>
      <c r="G448" s="2">
        <f>SUM('Budget Detail FY 2020-27'!Q796:Q797)</f>
        <v>120259</v>
      </c>
      <c r="H448" s="2">
        <f>SUM('Budget Detail FY 2020-27'!R796:R797)</f>
        <v>481037</v>
      </c>
      <c r="I448" s="2">
        <f>SUM('Budget Detail FY 2020-27'!S796:S797)</f>
        <v>601297</v>
      </c>
      <c r="J448" s="2">
        <f>SUM('Budget Detail FY 2020-27'!T796:T797)</f>
        <v>0</v>
      </c>
      <c r="K448" s="2">
        <f>SUM('Budget Detail FY 2020-27'!U796:U797)</f>
        <v>0</v>
      </c>
      <c r="L448" s="663"/>
      <c r="M448" s="663"/>
      <c r="N448" s="660"/>
    </row>
    <row r="449" spans="2:14" ht="20.100000000000001" customHeight="1">
      <c r="B449" s="134" t="s">
        <v>543</v>
      </c>
      <c r="C449" s="2">
        <f>SUM('Budget Detail FY 2020-27'!M798:M809)</f>
        <v>1352307</v>
      </c>
      <c r="D449" s="2">
        <f>SUM('Budget Detail FY 2020-27'!N798:N809)</f>
        <v>1300502</v>
      </c>
      <c r="E449" s="2">
        <f>SUM('Budget Detail FY 2020-27'!O798:O809)</f>
        <v>1300780</v>
      </c>
      <c r="F449" s="2">
        <f>SUM('Budget Detail FY 2020-27'!P798:P809)</f>
        <v>1300780</v>
      </c>
      <c r="G449" s="2">
        <f>SUM('Budget Detail FY 2020-27'!Q798:Q809)</f>
        <v>1231615</v>
      </c>
      <c r="H449" s="2">
        <f>SUM('Budget Detail FY 2020-27'!R798:R809)</f>
        <v>1065723</v>
      </c>
      <c r="I449" s="2">
        <f>SUM('Budget Detail FY 2020-27'!S798:S809)</f>
        <v>1070054</v>
      </c>
      <c r="J449" s="2">
        <f>SUM('Budget Detail FY 2020-27'!T798:T809)</f>
        <v>1074201</v>
      </c>
      <c r="K449" s="2">
        <f>SUM('Budget Detail FY 2020-27'!U798:U809)</f>
        <v>0</v>
      </c>
      <c r="L449" s="663"/>
      <c r="M449" s="663"/>
      <c r="N449" s="660"/>
    </row>
    <row r="450" spans="2:14" s="470" customFormat="1" ht="20.100000000000001" customHeight="1">
      <c r="B450" s="516" t="s">
        <v>613</v>
      </c>
      <c r="C450" s="514">
        <f t="shared" ref="C450:K450" si="49">SUM(C443:C449)</f>
        <v>2031246</v>
      </c>
      <c r="D450" s="514">
        <f t="shared" si="49"/>
        <v>2194389</v>
      </c>
      <c r="E450" s="514">
        <f t="shared" si="49"/>
        <v>2352904</v>
      </c>
      <c r="F450" s="514">
        <f t="shared" si="49"/>
        <v>2135815</v>
      </c>
      <c r="G450" s="514">
        <f t="shared" si="49"/>
        <v>5921896</v>
      </c>
      <c r="H450" s="514">
        <f t="shared" si="49"/>
        <v>2836520</v>
      </c>
      <c r="I450" s="514">
        <f t="shared" si="49"/>
        <v>2964863</v>
      </c>
      <c r="J450" s="514">
        <f t="shared" si="49"/>
        <v>2425049</v>
      </c>
      <c r="K450" s="514">
        <f t="shared" si="49"/>
        <v>1372582</v>
      </c>
      <c r="L450" s="406"/>
      <c r="M450" s="406"/>
      <c r="N450" s="660"/>
    </row>
    <row r="451" spans="2:14" s="470" customFormat="1" ht="6.9" customHeight="1">
      <c r="B451" s="134"/>
      <c r="C451" s="2"/>
      <c r="D451" s="2"/>
      <c r="E451" s="2"/>
      <c r="F451" s="2"/>
      <c r="G451" s="2"/>
      <c r="H451" s="2"/>
      <c r="I451" s="2"/>
      <c r="J451" s="2"/>
      <c r="K451" s="2"/>
      <c r="L451" s="663"/>
      <c r="M451" s="663"/>
      <c r="N451" s="660"/>
    </row>
    <row r="452" spans="2:14" ht="20.100000000000001" customHeight="1">
      <c r="B452" s="134" t="s">
        <v>599</v>
      </c>
      <c r="C452" s="2">
        <f>SUM('Budget Detail FY 2020-27'!M812:M814)</f>
        <v>73875</v>
      </c>
      <c r="D452" s="2">
        <f>SUM('Budget Detail FY 2020-27'!N812:N814)</f>
        <v>75125</v>
      </c>
      <c r="E452" s="2">
        <f>SUM('Budget Detail FY 2020-27'!O812:O814)</f>
        <v>75675</v>
      </c>
      <c r="F452" s="2">
        <f>SUM('Budget Detail FY 2020-27'!P812:P814)</f>
        <v>4188972</v>
      </c>
      <c r="G452" s="2">
        <f>SUM('Budget Detail FY 2020-27'!Q812:Q814)</f>
        <v>73650</v>
      </c>
      <c r="H452" s="2">
        <f>SUM('Budget Detail FY 2020-27'!R812:R814)</f>
        <v>140568</v>
      </c>
      <c r="I452" s="2">
        <f>SUM('Budget Detail FY 2020-27'!S812:S814)</f>
        <v>452470</v>
      </c>
      <c r="J452" s="2">
        <f>SUM('Budget Detail FY 2020-27'!T812:T814)</f>
        <v>382008</v>
      </c>
      <c r="K452" s="2">
        <f>SUM('Budget Detail FY 2020-27'!U812:U814)</f>
        <v>382074</v>
      </c>
      <c r="L452" s="663"/>
      <c r="M452" s="663"/>
      <c r="N452" s="161"/>
    </row>
    <row r="453" spans="2:14" ht="20.100000000000001" customHeight="1" thickBot="1">
      <c r="B453" s="79" t="s">
        <v>1254</v>
      </c>
      <c r="C453" s="433">
        <f t="shared" ref="C453:K453" si="50">C450+C452</f>
        <v>2105121</v>
      </c>
      <c r="D453" s="433">
        <f t="shared" si="50"/>
        <v>2269514</v>
      </c>
      <c r="E453" s="433">
        <f t="shared" si="50"/>
        <v>2428579</v>
      </c>
      <c r="F453" s="433">
        <f t="shared" si="50"/>
        <v>6324787</v>
      </c>
      <c r="G453" s="433">
        <f t="shared" si="50"/>
        <v>5995546</v>
      </c>
      <c r="H453" s="433">
        <f t="shared" si="50"/>
        <v>2977088</v>
      </c>
      <c r="I453" s="433">
        <f t="shared" si="50"/>
        <v>3417333</v>
      </c>
      <c r="J453" s="433">
        <f t="shared" si="50"/>
        <v>2807057</v>
      </c>
      <c r="K453" s="433">
        <f t="shared" si="50"/>
        <v>1754656</v>
      </c>
      <c r="L453" s="406"/>
      <c r="M453" s="406"/>
      <c r="N453" s="661"/>
    </row>
    <row r="454" spans="2:14" ht="7.5" customHeight="1">
      <c r="B454" s="80"/>
      <c r="C454" s="2"/>
      <c r="D454" s="2"/>
      <c r="E454" s="2"/>
      <c r="F454" s="2"/>
      <c r="G454" s="2"/>
      <c r="H454" s="2"/>
      <c r="I454" s="2"/>
      <c r="J454" s="2"/>
      <c r="K454" s="2"/>
      <c r="L454" s="663"/>
      <c r="M454" s="663"/>
      <c r="N454" s="161"/>
    </row>
    <row r="455" spans="2:14" ht="20.100000000000001" customHeight="1">
      <c r="B455" s="133" t="s">
        <v>601</v>
      </c>
      <c r="C455" s="49">
        <f t="shared" ref="C455:K455" si="51">+C440-C453</f>
        <v>112137</v>
      </c>
      <c r="D455" s="49">
        <f t="shared" si="51"/>
        <v>-357700</v>
      </c>
      <c r="E455" s="49">
        <f t="shared" si="51"/>
        <v>-152977</v>
      </c>
      <c r="F455" s="49">
        <f t="shared" si="51"/>
        <v>88819</v>
      </c>
      <c r="G455" s="49">
        <f t="shared" si="51"/>
        <v>609175</v>
      </c>
      <c r="H455" s="49">
        <f t="shared" si="51"/>
        <v>-57965</v>
      </c>
      <c r="I455" s="49">
        <f t="shared" si="51"/>
        <v>-713197</v>
      </c>
      <c r="J455" s="49">
        <f t="shared" si="51"/>
        <v>-217330</v>
      </c>
      <c r="K455" s="49">
        <f t="shared" si="51"/>
        <v>357747</v>
      </c>
      <c r="L455" s="666"/>
      <c r="M455" s="666"/>
      <c r="N455" s="161"/>
    </row>
    <row r="456" spans="2:14" ht="7.5" customHeight="1">
      <c r="B456" s="81"/>
      <c r="C456" s="2"/>
      <c r="D456" s="2"/>
      <c r="E456" s="2"/>
      <c r="F456" s="2"/>
      <c r="G456" s="2"/>
      <c r="H456" s="2"/>
      <c r="I456" s="2"/>
      <c r="J456" s="2"/>
      <c r="K456" s="2"/>
      <c r="L456" s="663"/>
      <c r="M456" s="663"/>
      <c r="N456" s="161"/>
    </row>
    <row r="457" spans="2:14" ht="20.100000000000001" customHeight="1" thickBot="1">
      <c r="B457" s="78" t="s">
        <v>614</v>
      </c>
      <c r="C457" s="431">
        <v>1222388</v>
      </c>
      <c r="D457" s="431">
        <v>864688</v>
      </c>
      <c r="E457" s="431">
        <v>692051</v>
      </c>
      <c r="F457" s="431">
        <f>D457+F455</f>
        <v>953507</v>
      </c>
      <c r="G457" s="431">
        <f>F457+G455</f>
        <v>1562682</v>
      </c>
      <c r="H457" s="431">
        <f>G457+H455</f>
        <v>1504717</v>
      </c>
      <c r="I457" s="431">
        <f>H457+I455</f>
        <v>791520</v>
      </c>
      <c r="J457" s="431">
        <f>I457+J455</f>
        <v>574190</v>
      </c>
      <c r="K457" s="431">
        <f>J457+K455</f>
        <v>931937</v>
      </c>
      <c r="L457" s="406"/>
      <c r="M457" s="406"/>
      <c r="N457" s="161"/>
    </row>
    <row r="458" spans="2:14" ht="14.4" thickTop="1">
      <c r="B458" s="4"/>
      <c r="C458" s="82">
        <f t="shared" ref="C458:K458" si="52">+C457/C453</f>
        <v>0.58067350997876133</v>
      </c>
      <c r="D458" s="82">
        <f t="shared" si="52"/>
        <v>0.38100139501232422</v>
      </c>
      <c r="E458" s="82">
        <f t="shared" si="52"/>
        <v>0.28496128806186666</v>
      </c>
      <c r="F458" s="82">
        <f t="shared" si="52"/>
        <v>0.15075717174349113</v>
      </c>
      <c r="G458" s="82">
        <f t="shared" si="52"/>
        <v>0.2606404821178922</v>
      </c>
      <c r="H458" s="82">
        <f t="shared" si="52"/>
        <v>0.5054324897349356</v>
      </c>
      <c r="I458" s="82">
        <f t="shared" si="52"/>
        <v>0.23161921884697803</v>
      </c>
      <c r="J458" s="82">
        <f t="shared" si="52"/>
        <v>0.20455231226156079</v>
      </c>
      <c r="K458" s="82">
        <f t="shared" si="52"/>
        <v>0.53112233964948119</v>
      </c>
      <c r="L458" s="670"/>
      <c r="M458" s="670"/>
      <c r="N458" s="161"/>
    </row>
    <row r="459" spans="2:14">
      <c r="B459" s="4"/>
      <c r="C459" s="82"/>
      <c r="D459" s="82"/>
      <c r="E459" s="82"/>
      <c r="F459" s="82"/>
      <c r="G459" s="82"/>
      <c r="H459" s="82"/>
      <c r="I459" s="82"/>
      <c r="J459" s="82"/>
      <c r="K459" s="82"/>
      <c r="L459" s="670"/>
      <c r="M459" s="670"/>
      <c r="N459" s="161"/>
    </row>
    <row r="460" spans="2:14" ht="7.5" customHeight="1">
      <c r="B460" s="4"/>
      <c r="C460" s="2"/>
      <c r="D460" s="2"/>
      <c r="E460" s="2"/>
      <c r="F460" s="2"/>
      <c r="G460" s="2"/>
      <c r="H460" s="2"/>
      <c r="I460" s="2"/>
      <c r="J460" s="2"/>
      <c r="K460" s="2"/>
      <c r="L460" s="663"/>
      <c r="M460" s="663"/>
      <c r="N460" s="161"/>
    </row>
    <row r="461" spans="2:14">
      <c r="B461" s="1"/>
      <c r="C461" s="2"/>
      <c r="D461" s="2"/>
      <c r="E461" s="2"/>
      <c r="F461" s="2"/>
      <c r="G461" s="2"/>
      <c r="H461" s="2"/>
      <c r="I461" s="2"/>
      <c r="J461" s="2"/>
      <c r="K461" s="2"/>
      <c r="L461" s="663"/>
      <c r="M461" s="663"/>
      <c r="N461" s="161"/>
    </row>
    <row r="462" spans="2:14">
      <c r="B462" s="1"/>
      <c r="C462" s="2"/>
      <c r="D462" s="2"/>
      <c r="E462" s="2"/>
      <c r="F462" s="2"/>
      <c r="G462" s="2"/>
      <c r="H462" s="2"/>
      <c r="I462" s="2"/>
      <c r="J462" s="2"/>
      <c r="K462" s="2"/>
      <c r="L462" s="663"/>
      <c r="M462" s="663"/>
      <c r="N462" s="161"/>
    </row>
    <row r="463" spans="2:14">
      <c r="B463" s="1"/>
      <c r="C463" s="2"/>
      <c r="D463" s="2"/>
      <c r="E463" s="2"/>
      <c r="F463" s="2"/>
      <c r="G463" s="2"/>
      <c r="H463" s="2"/>
      <c r="I463" s="2"/>
      <c r="J463" s="2"/>
      <c r="K463" s="2"/>
      <c r="L463" s="663"/>
      <c r="M463" s="663"/>
      <c r="N463" s="161"/>
    </row>
    <row r="464" spans="2:14">
      <c r="B464" s="1"/>
      <c r="C464" s="2"/>
      <c r="D464" s="2"/>
      <c r="E464" s="2"/>
      <c r="F464" s="2"/>
      <c r="G464" s="2"/>
      <c r="H464" s="2"/>
      <c r="I464" s="2"/>
      <c r="J464" s="2"/>
      <c r="K464" s="2"/>
      <c r="L464" s="663"/>
      <c r="M464" s="663"/>
      <c r="N464" s="161"/>
    </row>
    <row r="465" spans="2:14">
      <c r="B465" s="1"/>
      <c r="C465" s="2"/>
      <c r="D465" s="2"/>
      <c r="E465" s="2"/>
      <c r="F465" s="2"/>
      <c r="G465" s="2"/>
      <c r="H465" s="2"/>
      <c r="I465" s="2"/>
      <c r="J465" s="2"/>
      <c r="K465" s="2"/>
      <c r="L465" s="663"/>
      <c r="M465" s="663"/>
      <c r="N465" s="161"/>
    </row>
    <row r="466" spans="2:14">
      <c r="B466" s="1"/>
      <c r="C466" s="2"/>
      <c r="D466" s="2"/>
      <c r="E466" s="2"/>
      <c r="F466" s="2"/>
      <c r="G466" s="2"/>
      <c r="H466" s="2"/>
      <c r="I466" s="2"/>
      <c r="J466" s="2"/>
      <c r="K466" s="2"/>
      <c r="L466" s="663"/>
      <c r="M466" s="663"/>
      <c r="N466" s="161"/>
    </row>
    <row r="467" spans="2:14">
      <c r="B467" s="1"/>
      <c r="C467" s="2"/>
      <c r="D467" s="2"/>
      <c r="E467" s="2"/>
      <c r="F467" s="2"/>
      <c r="G467" s="2"/>
      <c r="H467" s="2"/>
      <c r="I467" s="2"/>
      <c r="J467" s="2"/>
      <c r="K467" s="2"/>
      <c r="L467" s="663"/>
      <c r="M467" s="663"/>
      <c r="N467" s="161"/>
    </row>
    <row r="468" spans="2:14">
      <c r="B468" s="1"/>
      <c r="C468" s="2"/>
      <c r="D468" s="2"/>
      <c r="E468" s="2"/>
      <c r="F468" s="2"/>
      <c r="G468" s="2"/>
      <c r="H468" s="2"/>
      <c r="I468" s="2"/>
      <c r="J468" s="2"/>
      <c r="K468" s="2"/>
      <c r="L468" s="663"/>
      <c r="M468" s="663"/>
      <c r="N468" s="161"/>
    </row>
    <row r="469" spans="2:14">
      <c r="B469" s="1"/>
      <c r="C469" s="2"/>
      <c r="D469" s="2"/>
      <c r="E469" s="2"/>
      <c r="F469" s="2"/>
      <c r="G469" s="2"/>
      <c r="H469" s="2"/>
      <c r="I469" s="2"/>
      <c r="J469" s="2"/>
      <c r="K469" s="2"/>
      <c r="L469" s="663"/>
      <c r="M469" s="663"/>
      <c r="N469" s="161"/>
    </row>
    <row r="470" spans="2:14">
      <c r="B470" s="1"/>
      <c r="C470" s="2"/>
      <c r="D470" s="2"/>
      <c r="E470" s="2"/>
      <c r="F470" s="2"/>
      <c r="G470" s="2"/>
      <c r="H470" s="2"/>
      <c r="I470" s="2"/>
      <c r="J470" s="2"/>
      <c r="K470" s="2"/>
      <c r="L470" s="663"/>
      <c r="M470" s="663"/>
      <c r="N470" s="161"/>
    </row>
    <row r="471" spans="2:14">
      <c r="B471" s="1"/>
      <c r="C471" s="2"/>
      <c r="D471" s="2"/>
      <c r="E471" s="2"/>
      <c r="F471" s="2"/>
      <c r="G471" s="2"/>
      <c r="H471" s="2"/>
      <c r="I471" s="2"/>
      <c r="J471" s="2"/>
      <c r="K471" s="2"/>
      <c r="L471" s="663"/>
      <c r="M471" s="663"/>
      <c r="N471" s="161"/>
    </row>
    <row r="472" spans="2:14">
      <c r="B472" s="1"/>
      <c r="C472" s="2"/>
      <c r="D472" s="2"/>
      <c r="E472" s="2"/>
      <c r="F472" s="2"/>
      <c r="G472" s="2"/>
      <c r="H472" s="2"/>
      <c r="I472" s="2"/>
      <c r="J472" s="2"/>
      <c r="K472" s="2"/>
      <c r="L472" s="663"/>
      <c r="M472" s="663"/>
      <c r="N472" s="161"/>
    </row>
    <row r="473" spans="2:14">
      <c r="N473" s="161"/>
    </row>
    <row r="474" spans="2:14">
      <c r="N474" s="161"/>
    </row>
    <row r="475" spans="2:14" ht="17.399999999999999">
      <c r="B475" s="682" t="s">
        <v>617</v>
      </c>
      <c r="C475" s="682"/>
      <c r="D475" s="682"/>
      <c r="E475" s="682"/>
      <c r="F475" s="682"/>
      <c r="G475" s="682"/>
      <c r="H475" s="682"/>
      <c r="I475" s="682"/>
      <c r="J475" s="682"/>
      <c r="K475" s="682"/>
      <c r="L475" s="662"/>
      <c r="M475" s="662"/>
      <c r="N475" s="161"/>
    </row>
    <row r="476" spans="2:14">
      <c r="B476" s="43"/>
      <c r="C476" s="2"/>
      <c r="D476" s="2"/>
      <c r="E476" s="2"/>
      <c r="F476" s="2"/>
      <c r="G476" s="2"/>
      <c r="H476" s="2"/>
      <c r="I476" s="2"/>
      <c r="J476" s="2"/>
      <c r="K476" s="2"/>
      <c r="L476" s="663"/>
      <c r="M476" s="663"/>
      <c r="N476" s="161"/>
    </row>
    <row r="477" spans="2:14" ht="12.75" customHeight="1">
      <c r="B477" s="687" t="s">
        <v>618</v>
      </c>
      <c r="C477" s="687"/>
      <c r="D477" s="687"/>
      <c r="E477" s="687"/>
      <c r="F477" s="687"/>
      <c r="G477" s="687"/>
      <c r="H477" s="687"/>
      <c r="I477" s="687"/>
      <c r="J477" s="687"/>
      <c r="K477" s="687"/>
      <c r="L477" s="677"/>
      <c r="M477" s="677"/>
      <c r="N477" s="161"/>
    </row>
    <row r="478" spans="2:14" ht="12.75" customHeight="1">
      <c r="B478" s="687"/>
      <c r="C478" s="687"/>
      <c r="D478" s="687"/>
      <c r="E478" s="687"/>
      <c r="F478" s="687"/>
      <c r="G478" s="687"/>
      <c r="H478" s="687"/>
      <c r="I478" s="687"/>
      <c r="J478" s="687"/>
      <c r="K478" s="687"/>
      <c r="L478" s="677"/>
      <c r="M478" s="677"/>
      <c r="N478" s="161"/>
    </row>
    <row r="479" spans="2:14" ht="18.75" customHeight="1">
      <c r="B479" s="687"/>
      <c r="C479" s="687"/>
      <c r="D479" s="687"/>
      <c r="E479" s="687"/>
      <c r="F479" s="687"/>
      <c r="G479" s="687"/>
      <c r="H479" s="687"/>
      <c r="I479" s="687"/>
      <c r="J479" s="687"/>
      <c r="K479" s="687"/>
      <c r="L479" s="677"/>
      <c r="M479" s="677"/>
      <c r="N479" s="161"/>
    </row>
    <row r="480" spans="2:14">
      <c r="B480" s="4"/>
      <c r="C480" s="43"/>
      <c r="D480" s="573"/>
      <c r="E480" s="43" t="s">
        <v>815</v>
      </c>
      <c r="F480" s="573"/>
      <c r="G480" s="43" t="s">
        <v>816</v>
      </c>
      <c r="H480" s="573"/>
      <c r="I480" s="573"/>
      <c r="J480" s="573"/>
      <c r="K480" s="573"/>
      <c r="L480" s="304"/>
      <c r="M480" s="304"/>
      <c r="N480" s="161"/>
    </row>
    <row r="481" spans="2:14">
      <c r="B481" s="43"/>
      <c r="C481" s="43" t="s">
        <v>813</v>
      </c>
      <c r="D481" s="43" t="s">
        <v>814</v>
      </c>
      <c r="E481" s="43" t="s">
        <v>583</v>
      </c>
      <c r="F481" s="43" t="s">
        <v>815</v>
      </c>
      <c r="G481" s="156" t="str">
        <f>'Fund Cover Sheets'!$N$1</f>
        <v>Adopted</v>
      </c>
      <c r="H481" s="43" t="s">
        <v>817</v>
      </c>
      <c r="I481" s="43" t="s">
        <v>818</v>
      </c>
      <c r="J481" s="43" t="s">
        <v>819</v>
      </c>
      <c r="K481" s="43" t="s">
        <v>820</v>
      </c>
      <c r="L481" s="665"/>
      <c r="M481" s="665"/>
      <c r="N481" s="161"/>
    </row>
    <row r="482" spans="2:14" ht="14.4" thickBot="1">
      <c r="B482" s="44"/>
      <c r="C482" s="45" t="s">
        <v>1</v>
      </c>
      <c r="D482" s="45" t="s">
        <v>1</v>
      </c>
      <c r="E482" s="45" t="s">
        <v>553</v>
      </c>
      <c r="F482" s="45" t="s">
        <v>19</v>
      </c>
      <c r="G482" s="45" t="s">
        <v>553</v>
      </c>
      <c r="H482" s="45" t="s">
        <v>19</v>
      </c>
      <c r="I482" s="45" t="s">
        <v>19</v>
      </c>
      <c r="J482" s="45" t="s">
        <v>19</v>
      </c>
      <c r="K482" s="45" t="s">
        <v>19</v>
      </c>
      <c r="L482" s="566"/>
      <c r="M482" s="566"/>
      <c r="N482" s="161"/>
    </row>
    <row r="483" spans="2:14">
      <c r="B483" s="1"/>
      <c r="C483" s="52"/>
      <c r="D483" s="2"/>
      <c r="E483" s="2"/>
      <c r="F483" s="2"/>
      <c r="G483" s="2"/>
      <c r="H483" s="2"/>
      <c r="I483" s="2"/>
      <c r="J483" s="2"/>
      <c r="K483" s="2"/>
      <c r="L483" s="663"/>
      <c r="M483" s="663"/>
      <c r="N483" s="161"/>
    </row>
    <row r="484" spans="2:14">
      <c r="B484" s="80" t="s">
        <v>1273</v>
      </c>
      <c r="C484" s="2"/>
      <c r="D484" s="2"/>
      <c r="E484" s="2"/>
      <c r="F484" s="2"/>
      <c r="G484" s="2"/>
      <c r="H484" s="2"/>
      <c r="I484" s="2"/>
      <c r="J484" s="2"/>
      <c r="K484" s="2"/>
      <c r="L484" s="663"/>
      <c r="M484" s="663"/>
      <c r="N484" s="161"/>
    </row>
    <row r="485" spans="2:14" ht="20.100000000000001" customHeight="1">
      <c r="B485" s="134" t="s">
        <v>619</v>
      </c>
      <c r="C485" s="2">
        <f>SUM('Budget Detail FY 2020-27'!M830:M839)</f>
        <v>41044</v>
      </c>
      <c r="D485" s="2">
        <f>SUM('Budget Detail FY 2020-27'!N830:N839)</f>
        <v>18770</v>
      </c>
      <c r="E485" s="2">
        <f>SUM('Budget Detail FY 2020-27'!O830:O839)</f>
        <v>25760</v>
      </c>
      <c r="F485" s="2">
        <f>SUM('Budget Detail FY 2020-27'!P830:P839)</f>
        <v>1136</v>
      </c>
      <c r="G485" s="2">
        <f>SUM('Budget Detail FY 2020-27'!Q830:Q839)</f>
        <v>0</v>
      </c>
      <c r="H485" s="2">
        <f>SUM('Budget Detail FY 2020-27'!R830:R839)</f>
        <v>0</v>
      </c>
      <c r="I485" s="2">
        <f>SUM('Budget Detail FY 2020-27'!S830:S839)</f>
        <v>0</v>
      </c>
      <c r="J485" s="2">
        <f>SUM('Budget Detail FY 2020-27'!T830:T839)</f>
        <v>0</v>
      </c>
      <c r="K485" s="2">
        <f>SUM('Budget Detail FY 2020-27'!U830:U839)</f>
        <v>0</v>
      </c>
      <c r="L485" s="663"/>
      <c r="M485" s="663"/>
      <c r="N485" s="161"/>
    </row>
    <row r="486" spans="2:14" ht="20.100000000000001" customHeight="1">
      <c r="B486" s="134" t="s">
        <v>591</v>
      </c>
      <c r="C486" s="2">
        <f>'Budget Detail FY 2020-27'!M840</f>
        <v>0</v>
      </c>
      <c r="D486" s="2">
        <f>'Budget Detail FY 2020-27'!N840</f>
        <v>193</v>
      </c>
      <c r="E486" s="2">
        <f>'Budget Detail FY 2020-27'!O840</f>
        <v>0</v>
      </c>
      <c r="F486" s="2">
        <f>'Budget Detail FY 2020-27'!P840</f>
        <v>0</v>
      </c>
      <c r="G486" s="2">
        <f>'Budget Detail FY 2020-27'!Q840</f>
        <v>0</v>
      </c>
      <c r="H486" s="2">
        <f>'Budget Detail FY 2020-27'!R840</f>
        <v>0</v>
      </c>
      <c r="I486" s="2">
        <f>'Budget Detail FY 2020-27'!S840</f>
        <v>0</v>
      </c>
      <c r="J486" s="2">
        <f>'Budget Detail FY 2020-27'!T840</f>
        <v>0</v>
      </c>
      <c r="K486" s="2">
        <f>'Budget Detail FY 2020-27'!U840</f>
        <v>0</v>
      </c>
      <c r="L486" s="663"/>
      <c r="M486" s="663"/>
      <c r="N486" s="161"/>
    </row>
    <row r="487" spans="2:14" ht="20.100000000000001" customHeight="1" thickBot="1">
      <c r="B487" s="79" t="s">
        <v>1241</v>
      </c>
      <c r="C487" s="433">
        <f t="shared" ref="C487:K487" si="53">SUM(C485:C486)</f>
        <v>41044</v>
      </c>
      <c r="D487" s="433">
        <f t="shared" si="53"/>
        <v>18963</v>
      </c>
      <c r="E487" s="433">
        <f t="shared" si="53"/>
        <v>25760</v>
      </c>
      <c r="F487" s="433">
        <f t="shared" si="53"/>
        <v>1136</v>
      </c>
      <c r="G487" s="433">
        <f t="shared" si="53"/>
        <v>0</v>
      </c>
      <c r="H487" s="433">
        <f t="shared" si="53"/>
        <v>0</v>
      </c>
      <c r="I487" s="433">
        <f t="shared" si="53"/>
        <v>0</v>
      </c>
      <c r="J487" s="433">
        <f t="shared" si="53"/>
        <v>0</v>
      </c>
      <c r="K487" s="433">
        <f t="shared" si="53"/>
        <v>0</v>
      </c>
      <c r="L487" s="406"/>
      <c r="M487" s="406"/>
      <c r="N487" s="161"/>
    </row>
    <row r="488" spans="2:14">
      <c r="B488" s="1"/>
      <c r="C488" s="2"/>
      <c r="D488" s="2"/>
      <c r="E488" s="2"/>
      <c r="F488" s="2"/>
      <c r="G488" s="2"/>
      <c r="H488" s="2"/>
      <c r="I488" s="2"/>
      <c r="J488" s="2"/>
      <c r="K488" s="2"/>
      <c r="L488" s="663"/>
      <c r="M488" s="663"/>
      <c r="N488" s="161"/>
    </row>
    <row r="489" spans="2:14">
      <c r="B489" s="80" t="s">
        <v>424</v>
      </c>
      <c r="C489" s="2"/>
      <c r="D489" s="2"/>
      <c r="E489" s="2"/>
      <c r="F489" s="2"/>
      <c r="G489" s="2"/>
      <c r="H489" s="2"/>
      <c r="I489" s="2"/>
      <c r="J489" s="2"/>
      <c r="K489" s="2"/>
      <c r="L489" s="663"/>
      <c r="M489" s="663"/>
      <c r="N489" s="161"/>
    </row>
    <row r="490" spans="2:14" ht="20.100000000000001" customHeight="1">
      <c r="B490" s="134" t="s">
        <v>596</v>
      </c>
      <c r="C490" s="49">
        <f>'Budget Detail FY 2020-27'!M843</f>
        <v>5035</v>
      </c>
      <c r="D490" s="49">
        <f>'Budget Detail FY 2020-27'!N843</f>
        <v>5290</v>
      </c>
      <c r="E490" s="49">
        <f>'Budget Detail FY 2020-27'!O843</f>
        <v>0</v>
      </c>
      <c r="F490" s="49">
        <f>'Budget Detail FY 2020-27'!P843</f>
        <v>0</v>
      </c>
      <c r="G490" s="49">
        <f>'Budget Detail FY 2020-27'!Q843</f>
        <v>0</v>
      </c>
      <c r="H490" s="49">
        <f>'Budget Detail FY 2020-27'!R843</f>
        <v>0</v>
      </c>
      <c r="I490" s="49">
        <f>'Budget Detail FY 2020-27'!S843</f>
        <v>0</v>
      </c>
      <c r="J490" s="49">
        <f>'Budget Detail FY 2020-27'!T843</f>
        <v>0</v>
      </c>
      <c r="K490" s="49">
        <f>'Budget Detail FY 2020-27'!U843</f>
        <v>0</v>
      </c>
      <c r="L490" s="666"/>
      <c r="M490" s="666"/>
      <c r="N490" s="161"/>
    </row>
    <row r="491" spans="2:14" ht="20.100000000000001" customHeight="1">
      <c r="B491" s="134" t="s">
        <v>598</v>
      </c>
      <c r="C491" s="2">
        <f>SUM('Budget Detail FY 2020-27'!M844:M848)</f>
        <v>0</v>
      </c>
      <c r="D491" s="2">
        <f>SUM('Budget Detail FY 2020-27'!N844:N848)</f>
        <v>230383</v>
      </c>
      <c r="E491" s="2">
        <f>SUM('Budget Detail FY 2020-27'!O844:O848)</f>
        <v>5000</v>
      </c>
      <c r="F491" s="2">
        <f>SUM('Budget Detail FY 2020-27'!P844:P848)</f>
        <v>0</v>
      </c>
      <c r="G491" s="2">
        <f>SUM('Budget Detail FY 2020-27'!Q844:Q848)</f>
        <v>0</v>
      </c>
      <c r="H491" s="2">
        <f>SUM('Budget Detail FY 2020-27'!R844:R848)</f>
        <v>0</v>
      </c>
      <c r="I491" s="2">
        <f>SUM('Budget Detail FY 2020-27'!S844:S848)</f>
        <v>0</v>
      </c>
      <c r="J491" s="2">
        <f>SUM('Budget Detail FY 2020-27'!T844:T848)</f>
        <v>0</v>
      </c>
      <c r="K491" s="2">
        <f>SUM('Budget Detail FY 2020-27'!U844:U848)</f>
        <v>0</v>
      </c>
      <c r="L491" s="663"/>
      <c r="M491" s="663"/>
      <c r="N491" s="161"/>
    </row>
    <row r="492" spans="2:14" ht="20.100000000000001" customHeight="1" thickBot="1">
      <c r="B492" s="79" t="s">
        <v>600</v>
      </c>
      <c r="C492" s="433">
        <f>SUM(C490:C491)</f>
        <v>5035</v>
      </c>
      <c r="D492" s="433">
        <f t="shared" ref="D492:K492" si="54">SUM(D490:D491)</f>
        <v>235673</v>
      </c>
      <c r="E492" s="433">
        <f t="shared" si="54"/>
        <v>5000</v>
      </c>
      <c r="F492" s="433">
        <f t="shared" si="54"/>
        <v>0</v>
      </c>
      <c r="G492" s="433">
        <f t="shared" si="54"/>
        <v>0</v>
      </c>
      <c r="H492" s="433">
        <f t="shared" si="54"/>
        <v>0</v>
      </c>
      <c r="I492" s="433">
        <f t="shared" si="54"/>
        <v>0</v>
      </c>
      <c r="J492" s="433">
        <f t="shared" si="54"/>
        <v>0</v>
      </c>
      <c r="K492" s="433">
        <f t="shared" si="54"/>
        <v>0</v>
      </c>
      <c r="L492" s="406"/>
      <c r="M492" s="406"/>
      <c r="N492" s="161"/>
    </row>
    <row r="493" spans="2:14" s="631" customFormat="1" ht="6.9" customHeight="1">
      <c r="B493" s="134"/>
      <c r="C493" s="2"/>
      <c r="D493" s="2"/>
      <c r="E493" s="2"/>
      <c r="F493" s="2"/>
      <c r="G493" s="2"/>
      <c r="H493" s="2"/>
      <c r="I493" s="2"/>
      <c r="J493" s="2"/>
      <c r="K493" s="2"/>
      <c r="L493" s="663"/>
      <c r="M493" s="663"/>
      <c r="N493" s="660"/>
    </row>
    <row r="494" spans="2:14" s="631" customFormat="1" ht="20.100000000000001" customHeight="1">
      <c r="B494" s="134" t="s">
        <v>599</v>
      </c>
      <c r="C494" s="2">
        <f>'Budget Detail FY 2020-27'!M851</f>
        <v>0</v>
      </c>
      <c r="D494" s="2">
        <f>'Budget Detail FY 2020-27'!N851</f>
        <v>0</v>
      </c>
      <c r="E494" s="2">
        <f>'Budget Detail FY 2020-27'!O851</f>
        <v>0</v>
      </c>
      <c r="F494" s="2">
        <f>'Budget Detail FY 2020-27'!P851</f>
        <v>32267</v>
      </c>
      <c r="G494" s="2">
        <f>'Budget Detail FY 2020-27'!Q851</f>
        <v>0</v>
      </c>
      <c r="H494" s="2">
        <f>'Budget Detail FY 2020-27'!R851</f>
        <v>0</v>
      </c>
      <c r="I494" s="2">
        <f>'Budget Detail FY 2020-27'!S851</f>
        <v>0</v>
      </c>
      <c r="J494" s="2">
        <f>'Budget Detail FY 2020-27'!T851</f>
        <v>0</v>
      </c>
      <c r="K494" s="2">
        <f>'Budget Detail FY 2020-27'!U851</f>
        <v>0</v>
      </c>
      <c r="L494" s="663"/>
      <c r="M494" s="663"/>
      <c r="N494" s="161"/>
    </row>
    <row r="495" spans="2:14" s="631" customFormat="1" ht="20.100000000000001" customHeight="1" thickBot="1">
      <c r="B495" s="79" t="s">
        <v>1242</v>
      </c>
      <c r="C495" s="433">
        <f t="shared" ref="C495:K495" si="55">C492+C494</f>
        <v>5035</v>
      </c>
      <c r="D495" s="433">
        <f t="shared" si="55"/>
        <v>235673</v>
      </c>
      <c r="E495" s="433">
        <f t="shared" si="55"/>
        <v>5000</v>
      </c>
      <c r="F495" s="433">
        <f t="shared" si="55"/>
        <v>32267</v>
      </c>
      <c r="G495" s="433">
        <f t="shared" si="55"/>
        <v>0</v>
      </c>
      <c r="H495" s="433">
        <f t="shared" si="55"/>
        <v>0</v>
      </c>
      <c r="I495" s="433">
        <f t="shared" si="55"/>
        <v>0</v>
      </c>
      <c r="J495" s="433">
        <f t="shared" si="55"/>
        <v>0</v>
      </c>
      <c r="K495" s="433">
        <f t="shared" si="55"/>
        <v>0</v>
      </c>
      <c r="L495" s="406"/>
      <c r="M495" s="406"/>
      <c r="N495" s="661"/>
    </row>
    <row r="496" spans="2:14" s="631" customFormat="1" ht="7.5" customHeight="1">
      <c r="B496" s="80"/>
      <c r="C496" s="2"/>
      <c r="D496" s="2"/>
      <c r="E496" s="2"/>
      <c r="F496" s="2"/>
      <c r="G496" s="2"/>
      <c r="H496" s="2"/>
      <c r="I496" s="2"/>
      <c r="J496" s="2"/>
      <c r="K496" s="2"/>
      <c r="L496" s="663"/>
      <c r="M496" s="663"/>
      <c r="N496" s="161"/>
    </row>
    <row r="497" spans="2:14" ht="20.100000000000001" customHeight="1">
      <c r="B497" s="133" t="s">
        <v>601</v>
      </c>
      <c r="C497" s="49">
        <f t="shared" ref="C497:K497" si="56">C487-C495</f>
        <v>36009</v>
      </c>
      <c r="D497" s="49">
        <f t="shared" si="56"/>
        <v>-216710</v>
      </c>
      <c r="E497" s="49">
        <f t="shared" si="56"/>
        <v>20760</v>
      </c>
      <c r="F497" s="49">
        <f t="shared" si="56"/>
        <v>-31131</v>
      </c>
      <c r="G497" s="49">
        <f t="shared" si="56"/>
        <v>0</v>
      </c>
      <c r="H497" s="49">
        <f t="shared" si="56"/>
        <v>0</v>
      </c>
      <c r="I497" s="49">
        <f t="shared" si="56"/>
        <v>0</v>
      </c>
      <c r="J497" s="49">
        <f t="shared" si="56"/>
        <v>0</v>
      </c>
      <c r="K497" s="49">
        <f t="shared" si="56"/>
        <v>0</v>
      </c>
      <c r="L497" s="666"/>
      <c r="M497" s="666"/>
      <c r="N497" s="161"/>
    </row>
    <row r="498" spans="2:14" s="631" customFormat="1" ht="7.5" customHeight="1">
      <c r="B498" s="81"/>
      <c r="C498" s="2"/>
      <c r="D498" s="2"/>
      <c r="E498" s="2"/>
      <c r="F498" s="2"/>
      <c r="G498" s="2"/>
      <c r="H498" s="2"/>
      <c r="I498" s="2"/>
      <c r="J498" s="2"/>
      <c r="K498" s="2"/>
      <c r="L498" s="663"/>
      <c r="M498" s="663"/>
      <c r="N498" s="161"/>
    </row>
    <row r="499" spans="2:14" ht="20.100000000000001" customHeight="1" thickBot="1">
      <c r="B499" s="78" t="s">
        <v>602</v>
      </c>
      <c r="C499" s="431">
        <v>247841</v>
      </c>
      <c r="D499" s="431">
        <v>31131</v>
      </c>
      <c r="E499" s="431">
        <v>59959</v>
      </c>
      <c r="F499" s="431">
        <f>D499+F497</f>
        <v>0</v>
      </c>
      <c r="G499" s="431">
        <f>F499+G497</f>
        <v>0</v>
      </c>
      <c r="H499" s="431">
        <f>G499+H497</f>
        <v>0</v>
      </c>
      <c r="I499" s="431">
        <f>H499+I497</f>
        <v>0</v>
      </c>
      <c r="J499" s="431">
        <f>I499+J497</f>
        <v>0</v>
      </c>
      <c r="K499" s="431">
        <f>J499+K497</f>
        <v>0</v>
      </c>
      <c r="L499" s="406"/>
      <c r="M499" s="406"/>
      <c r="N499" s="161"/>
    </row>
    <row r="500" spans="2:14" ht="14.4" thickTop="1">
      <c r="B500" s="4"/>
      <c r="C500" s="2"/>
      <c r="D500" s="2"/>
      <c r="E500" s="2"/>
      <c r="F500" s="2"/>
      <c r="G500" s="2"/>
      <c r="H500" s="2"/>
      <c r="I500" s="2"/>
      <c r="J500" s="2"/>
      <c r="K500" s="2"/>
      <c r="L500" s="663"/>
      <c r="M500" s="663"/>
      <c r="N500" s="161"/>
    </row>
    <row r="501" spans="2:14">
      <c r="B501" s="4"/>
      <c r="C501" s="2"/>
      <c r="D501" s="2"/>
      <c r="E501" s="2"/>
      <c r="F501" s="2"/>
      <c r="G501" s="2"/>
      <c r="H501" s="2"/>
      <c r="I501" s="2"/>
      <c r="J501" s="2"/>
      <c r="K501" s="2"/>
      <c r="L501" s="663"/>
      <c r="M501" s="663"/>
      <c r="N501" s="161"/>
    </row>
    <row r="502" spans="2:14">
      <c r="B502" s="1"/>
      <c r="C502" s="2"/>
      <c r="D502" s="2"/>
      <c r="E502" s="2"/>
      <c r="F502" s="2"/>
      <c r="G502" s="2"/>
      <c r="H502" s="2"/>
      <c r="I502" s="2"/>
      <c r="J502" s="2"/>
      <c r="K502" s="2"/>
      <c r="L502" s="663"/>
      <c r="M502" s="663"/>
      <c r="N502" s="161"/>
    </row>
    <row r="503" spans="2:14">
      <c r="B503" s="1"/>
      <c r="C503" s="2"/>
      <c r="D503" s="2"/>
      <c r="E503" s="2"/>
      <c r="F503" s="2"/>
      <c r="G503" s="2"/>
      <c r="H503" s="2"/>
      <c r="I503" s="2"/>
      <c r="J503" s="2"/>
      <c r="K503" s="2"/>
      <c r="L503" s="663"/>
      <c r="M503" s="663"/>
      <c r="N503" s="161"/>
    </row>
    <row r="504" spans="2:14">
      <c r="B504" s="1"/>
      <c r="C504" s="2"/>
      <c r="D504" s="2"/>
      <c r="E504" s="2"/>
      <c r="F504" s="2"/>
      <c r="G504" s="2"/>
      <c r="H504" s="2"/>
      <c r="I504" s="2"/>
      <c r="J504" s="2"/>
      <c r="K504" s="2"/>
      <c r="L504" s="663"/>
      <c r="M504" s="663"/>
      <c r="N504" s="161"/>
    </row>
    <row r="505" spans="2:14">
      <c r="B505" s="1"/>
      <c r="C505" s="2"/>
      <c r="D505" s="2"/>
      <c r="E505" s="2"/>
      <c r="F505" s="2"/>
      <c r="G505" s="2"/>
      <c r="H505" s="2"/>
      <c r="I505" s="2"/>
      <c r="J505" s="2"/>
      <c r="K505" s="2"/>
      <c r="L505" s="663"/>
      <c r="M505" s="663"/>
      <c r="N505" s="161"/>
    </row>
    <row r="506" spans="2:14">
      <c r="B506" s="1"/>
      <c r="C506" s="2"/>
      <c r="D506" s="2"/>
      <c r="E506" s="2"/>
      <c r="F506" s="2"/>
      <c r="G506" s="2"/>
      <c r="H506" s="2"/>
      <c r="I506" s="2"/>
      <c r="J506" s="2"/>
      <c r="K506" s="2"/>
      <c r="L506" s="663"/>
      <c r="M506" s="663"/>
      <c r="N506" s="161"/>
    </row>
    <row r="507" spans="2:14">
      <c r="B507" s="1"/>
      <c r="C507" s="2"/>
      <c r="D507" s="2"/>
      <c r="E507" s="2"/>
      <c r="F507" s="2"/>
      <c r="G507" s="2"/>
      <c r="H507" s="2"/>
      <c r="I507" s="2"/>
      <c r="J507" s="2"/>
      <c r="K507" s="2"/>
      <c r="L507" s="663"/>
      <c r="M507" s="663"/>
      <c r="N507" s="161"/>
    </row>
    <row r="508" spans="2:14">
      <c r="B508" s="1"/>
      <c r="C508" s="2"/>
      <c r="D508" s="2"/>
      <c r="E508" s="2"/>
      <c r="F508" s="2"/>
      <c r="G508" s="2"/>
      <c r="H508" s="2"/>
      <c r="I508" s="2"/>
      <c r="J508" s="2"/>
      <c r="K508" s="2"/>
      <c r="L508" s="663"/>
      <c r="M508" s="663"/>
      <c r="N508" s="161"/>
    </row>
    <row r="509" spans="2:14">
      <c r="B509" s="1"/>
      <c r="C509" s="2"/>
      <c r="D509" s="2"/>
      <c r="E509" s="2"/>
      <c r="F509" s="2"/>
      <c r="G509" s="2"/>
      <c r="H509" s="2"/>
      <c r="I509" s="2"/>
      <c r="J509" s="2"/>
      <c r="K509" s="2"/>
      <c r="L509" s="663"/>
      <c r="M509" s="663"/>
      <c r="N509" s="161"/>
    </row>
    <row r="510" spans="2:14">
      <c r="B510" s="1"/>
      <c r="C510" s="2"/>
      <c r="D510" s="2"/>
      <c r="E510" s="2"/>
      <c r="F510" s="2"/>
      <c r="G510" s="2"/>
      <c r="H510" s="2"/>
      <c r="I510" s="2"/>
      <c r="J510" s="2"/>
      <c r="K510" s="2"/>
      <c r="L510" s="663"/>
      <c r="M510" s="663"/>
      <c r="N510" s="161"/>
    </row>
    <row r="511" spans="2:14">
      <c r="B511" s="1"/>
      <c r="C511" s="2"/>
      <c r="D511" s="2"/>
      <c r="E511" s="2"/>
      <c r="F511" s="2"/>
      <c r="G511" s="2"/>
      <c r="H511" s="2"/>
      <c r="I511" s="2"/>
      <c r="J511" s="2"/>
      <c r="K511" s="2"/>
      <c r="L511" s="663"/>
      <c r="M511" s="663"/>
      <c r="N511" s="161"/>
    </row>
    <row r="512" spans="2:14">
      <c r="B512" s="1"/>
      <c r="C512" s="2"/>
      <c r="D512" s="2"/>
      <c r="E512" s="2"/>
      <c r="F512" s="2"/>
      <c r="G512" s="2"/>
      <c r="H512" s="2"/>
      <c r="I512" s="2"/>
      <c r="J512" s="2"/>
      <c r="K512" s="2"/>
      <c r="L512" s="663"/>
      <c r="M512" s="663"/>
      <c r="N512" s="161"/>
    </row>
    <row r="513" spans="2:14">
      <c r="N513" s="161"/>
    </row>
    <row r="514" spans="2:14">
      <c r="N514" s="161"/>
    </row>
    <row r="515" spans="2:14" ht="18.75" customHeight="1">
      <c r="B515" s="682" t="s">
        <v>620</v>
      </c>
      <c r="C515" s="682"/>
      <c r="D515" s="682"/>
      <c r="E515" s="682"/>
      <c r="F515" s="682"/>
      <c r="G515" s="682"/>
      <c r="H515" s="682"/>
      <c r="I515" s="682"/>
      <c r="J515" s="682"/>
      <c r="K515" s="682"/>
      <c r="L515" s="662"/>
      <c r="M515" s="662"/>
      <c r="N515" s="161"/>
    </row>
    <row r="516" spans="2:14">
      <c r="B516" s="43"/>
      <c r="C516" s="2"/>
      <c r="D516" s="2"/>
      <c r="E516" s="2"/>
      <c r="F516" s="2"/>
      <c r="G516" s="2"/>
      <c r="H516" s="2"/>
      <c r="I516" s="2"/>
      <c r="J516" s="2"/>
      <c r="K516" s="2"/>
      <c r="L516" s="663"/>
      <c r="M516" s="663"/>
      <c r="N516" s="161"/>
    </row>
    <row r="517" spans="2:14" ht="12.75" customHeight="1">
      <c r="B517" s="683" t="s">
        <v>621</v>
      </c>
      <c r="C517" s="683"/>
      <c r="D517" s="683"/>
      <c r="E517" s="683"/>
      <c r="F517" s="683"/>
      <c r="G517" s="683"/>
      <c r="H517" s="683"/>
      <c r="I517" s="683"/>
      <c r="J517" s="683"/>
      <c r="K517" s="683"/>
      <c r="L517" s="664"/>
      <c r="M517" s="664"/>
      <c r="N517" s="161"/>
    </row>
    <row r="518" spans="2:14" ht="12.75" customHeight="1">
      <c r="B518" s="683"/>
      <c r="C518" s="683"/>
      <c r="D518" s="683"/>
      <c r="E518" s="683"/>
      <c r="F518" s="683"/>
      <c r="G518" s="683"/>
      <c r="H518" s="683"/>
      <c r="I518" s="683"/>
      <c r="J518" s="683"/>
      <c r="K518" s="683"/>
      <c r="L518" s="664"/>
      <c r="M518" s="664"/>
      <c r="N518" s="161"/>
    </row>
    <row r="519" spans="2:14" ht="12.75" customHeight="1">
      <c r="B519" s="683"/>
      <c r="C519" s="683"/>
      <c r="D519" s="683"/>
      <c r="E519" s="683"/>
      <c r="F519" s="683"/>
      <c r="G519" s="683"/>
      <c r="H519" s="683"/>
      <c r="I519" s="683"/>
      <c r="J519" s="683"/>
      <c r="K519" s="683"/>
      <c r="L519" s="664"/>
      <c r="M519" s="664"/>
      <c r="N519" s="161"/>
    </row>
    <row r="520" spans="2:14" ht="23.25" customHeight="1">
      <c r="B520" s="683"/>
      <c r="C520" s="683"/>
      <c r="D520" s="683"/>
      <c r="E520" s="683"/>
      <c r="F520" s="683"/>
      <c r="G520" s="683"/>
      <c r="H520" s="683"/>
      <c r="I520" s="683"/>
      <c r="J520" s="683"/>
      <c r="K520" s="683"/>
      <c r="L520" s="664"/>
      <c r="M520" s="664"/>
      <c r="N520" s="161"/>
    </row>
    <row r="521" spans="2:14">
      <c r="B521" s="4"/>
      <c r="C521" s="43"/>
      <c r="D521" s="573"/>
      <c r="E521" s="43" t="s">
        <v>815</v>
      </c>
      <c r="F521" s="573"/>
      <c r="G521" s="43" t="s">
        <v>816</v>
      </c>
      <c r="H521" s="573"/>
      <c r="I521" s="573"/>
      <c r="J521" s="573"/>
      <c r="K521" s="573"/>
      <c r="L521" s="304"/>
      <c r="M521" s="304"/>
      <c r="N521" s="161"/>
    </row>
    <row r="522" spans="2:14">
      <c r="B522" s="43"/>
      <c r="C522" s="43" t="s">
        <v>813</v>
      </c>
      <c r="D522" s="43" t="s">
        <v>814</v>
      </c>
      <c r="E522" s="43" t="s">
        <v>583</v>
      </c>
      <c r="F522" s="43" t="s">
        <v>815</v>
      </c>
      <c r="G522" s="156" t="str">
        <f>'Fund Cover Sheets'!$N$1</f>
        <v>Adopted</v>
      </c>
      <c r="H522" s="43" t="s">
        <v>817</v>
      </c>
      <c r="I522" s="43" t="s">
        <v>818</v>
      </c>
      <c r="J522" s="43" t="s">
        <v>819</v>
      </c>
      <c r="K522" s="43" t="s">
        <v>820</v>
      </c>
      <c r="L522" s="665"/>
      <c r="M522" s="665"/>
      <c r="N522" s="161"/>
    </row>
    <row r="523" spans="2:14" ht="14.4" thickBot="1">
      <c r="B523" s="44"/>
      <c r="C523" s="45" t="s">
        <v>1</v>
      </c>
      <c r="D523" s="45" t="s">
        <v>1</v>
      </c>
      <c r="E523" s="45" t="s">
        <v>553</v>
      </c>
      <c r="F523" s="45" t="s">
        <v>19</v>
      </c>
      <c r="G523" s="45" t="s">
        <v>553</v>
      </c>
      <c r="H523" s="45" t="s">
        <v>19</v>
      </c>
      <c r="I523" s="45" t="s">
        <v>19</v>
      </c>
      <c r="J523" s="45" t="s">
        <v>19</v>
      </c>
      <c r="K523" s="45" t="s">
        <v>19</v>
      </c>
      <c r="L523" s="566"/>
      <c r="M523" s="566"/>
      <c r="N523" s="161"/>
    </row>
    <row r="524" spans="2:14" ht="7.5" customHeight="1">
      <c r="B524" s="1"/>
      <c r="C524" s="52"/>
      <c r="D524" s="2"/>
      <c r="E524" s="2"/>
      <c r="F524" s="2"/>
      <c r="G524" s="2"/>
      <c r="H524" s="2"/>
      <c r="I524" s="2"/>
      <c r="J524" s="2"/>
      <c r="K524" s="2"/>
      <c r="L524" s="663"/>
      <c r="M524" s="663"/>
      <c r="N524" s="161"/>
    </row>
    <row r="525" spans="2:14">
      <c r="B525" s="80" t="s">
        <v>1273</v>
      </c>
      <c r="C525" s="2"/>
      <c r="D525" s="2"/>
      <c r="E525" s="2"/>
      <c r="F525" s="2"/>
      <c r="G525" s="2"/>
      <c r="H525" s="2"/>
      <c r="I525" s="2"/>
      <c r="J525" s="2"/>
      <c r="K525" s="2"/>
      <c r="L525" s="663"/>
      <c r="M525" s="663"/>
      <c r="N525" s="161"/>
    </row>
    <row r="526" spans="2:14" ht="20.100000000000001" customHeight="1">
      <c r="B526" s="134" t="s">
        <v>585</v>
      </c>
      <c r="C526" s="49">
        <f>'Budget Detail FY 2020-27'!M865</f>
        <v>0</v>
      </c>
      <c r="D526" s="49">
        <f>'Budget Detail FY 2020-27'!N865</f>
        <v>0</v>
      </c>
      <c r="E526" s="49">
        <f>'Budget Detail FY 2020-27'!O865</f>
        <v>334250</v>
      </c>
      <c r="F526" s="49">
        <f>'Budget Detail FY 2020-27'!P865</f>
        <v>0</v>
      </c>
      <c r="G526" s="49">
        <f>'Budget Detail FY 2020-27'!Q865</f>
        <v>0</v>
      </c>
      <c r="H526" s="49">
        <f>'Budget Detail FY 2020-27'!R865</f>
        <v>0</v>
      </c>
      <c r="I526" s="49">
        <f>'Budget Detail FY 2020-27'!S865</f>
        <v>0</v>
      </c>
      <c r="J526" s="49">
        <f>'Budget Detail FY 2020-27'!T865</f>
        <v>0</v>
      </c>
      <c r="K526" s="49">
        <f>'Budget Detail FY 2020-27'!U865</f>
        <v>0</v>
      </c>
      <c r="L526" s="666"/>
      <c r="M526" s="666"/>
      <c r="N526" s="660"/>
    </row>
    <row r="527" spans="2:14" ht="20.100000000000001" customHeight="1">
      <c r="B527" s="134" t="s">
        <v>588</v>
      </c>
      <c r="C527" s="2">
        <f>SUM('Budget Detail FY 2020-27'!M866:M869)</f>
        <v>527941</v>
      </c>
      <c r="D527" s="2">
        <f>SUM('Budget Detail FY 2020-27'!N866:N869)</f>
        <v>357208</v>
      </c>
      <c r="E527" s="2">
        <f>SUM('Budget Detail FY 2020-27'!O866:O869)</f>
        <v>650000</v>
      </c>
      <c r="F527" s="2">
        <f>SUM('Budget Detail FY 2020-27'!P866:P869)</f>
        <v>488287</v>
      </c>
      <c r="G527" s="2">
        <f>SUM('Budget Detail FY 2020-27'!Q866:Q869)</f>
        <v>650000</v>
      </c>
      <c r="H527" s="2">
        <f>SUM('Budget Detail FY 2020-27'!R866:R869)</f>
        <v>650000</v>
      </c>
      <c r="I527" s="2">
        <f>SUM('Budget Detail FY 2020-27'!S866:S869)</f>
        <v>650000</v>
      </c>
      <c r="J527" s="2">
        <f>SUM('Budget Detail FY 2020-27'!T866:T869)</f>
        <v>650000</v>
      </c>
      <c r="K527" s="2">
        <f>SUM('Budget Detail FY 2020-27'!U866:U869)</f>
        <v>650000</v>
      </c>
      <c r="L527" s="663"/>
      <c r="M527" s="663"/>
      <c r="N527" s="660"/>
    </row>
    <row r="528" spans="2:14" ht="20.100000000000001" customHeight="1">
      <c r="B528" s="134" t="s">
        <v>589</v>
      </c>
      <c r="C528" s="2">
        <f>'Budget Detail FY 2020-27'!M870</f>
        <v>1333</v>
      </c>
      <c r="D528" s="2">
        <f>'Budget Detail FY 2020-27'!N870</f>
        <v>235</v>
      </c>
      <c r="E528" s="2">
        <f>'Budget Detail FY 2020-27'!O870</f>
        <v>250</v>
      </c>
      <c r="F528" s="2">
        <f>'Budget Detail FY 2020-27'!P870</f>
        <v>90</v>
      </c>
      <c r="G528" s="2">
        <f>'Budget Detail FY 2020-27'!Q870</f>
        <v>150</v>
      </c>
      <c r="H528" s="2">
        <f>'Budget Detail FY 2020-27'!R870</f>
        <v>250</v>
      </c>
      <c r="I528" s="2">
        <f>'Budget Detail FY 2020-27'!S870</f>
        <v>500</v>
      </c>
      <c r="J528" s="2">
        <f>'Budget Detail FY 2020-27'!T870</f>
        <v>1000</v>
      </c>
      <c r="K528" s="2">
        <f>'Budget Detail FY 2020-27'!U870</f>
        <v>1000</v>
      </c>
      <c r="L528" s="663"/>
      <c r="M528" s="663"/>
      <c r="N528" s="660"/>
    </row>
    <row r="529" spans="2:14" ht="20.100000000000001" customHeight="1">
      <c r="B529" s="134" t="s">
        <v>590</v>
      </c>
      <c r="C529" s="2">
        <f>SUM('Budget Detail FY 2020-27'!M871:M871)</f>
        <v>14147</v>
      </c>
      <c r="D529" s="2">
        <f>SUM('Budget Detail FY 2020-27'!N871:N871)</f>
        <v>5607</v>
      </c>
      <c r="E529" s="2">
        <f>SUM('Budget Detail FY 2020-27'!O871:O871)</f>
        <v>0</v>
      </c>
      <c r="F529" s="2">
        <f>SUM('Budget Detail FY 2020-27'!P871:P871)</f>
        <v>3991</v>
      </c>
      <c r="G529" s="2">
        <f>SUM('Budget Detail FY 2020-27'!Q871:Q871)</f>
        <v>0</v>
      </c>
      <c r="H529" s="2">
        <f>SUM('Budget Detail FY 2020-27'!R871:R871)</f>
        <v>0</v>
      </c>
      <c r="I529" s="2">
        <f>SUM('Budget Detail FY 2020-27'!S871:S871)</f>
        <v>0</v>
      </c>
      <c r="J529" s="2">
        <f>SUM('Budget Detail FY 2020-27'!T871:T871)</f>
        <v>0</v>
      </c>
      <c r="K529" s="2">
        <f>SUM('Budget Detail FY 2020-27'!U871:U871)</f>
        <v>0</v>
      </c>
      <c r="L529" s="663"/>
      <c r="M529" s="663"/>
      <c r="N529" s="660"/>
    </row>
    <row r="530" spans="2:14" ht="20.100000000000001" customHeight="1">
      <c r="B530" s="134" t="s">
        <v>591</v>
      </c>
      <c r="C530" s="2">
        <f>SUM('Budget Detail FY 2020-27'!M872:M876)</f>
        <v>223430</v>
      </c>
      <c r="D530" s="2">
        <f>SUM('Budget Detail FY 2020-27'!N872:N876)</f>
        <v>68018</v>
      </c>
      <c r="E530" s="2">
        <f>SUM('Budget Detail FY 2020-27'!O872:O876)</f>
        <v>223709</v>
      </c>
      <c r="F530" s="2">
        <f>SUM('Budget Detail FY 2020-27'!P872:P876)</f>
        <v>235985</v>
      </c>
      <c r="G530" s="2">
        <f>SUM('Budget Detail FY 2020-27'!Q872:Q876)</f>
        <v>225781</v>
      </c>
      <c r="H530" s="2">
        <f>SUM('Budget Detail FY 2020-27'!R872:R876)</f>
        <v>227936</v>
      </c>
      <c r="I530" s="2">
        <f>SUM('Budget Detail FY 2020-27'!S872:S876)</f>
        <v>230178</v>
      </c>
      <c r="J530" s="2">
        <f>SUM('Budget Detail FY 2020-27'!T872:T876)</f>
        <v>232509</v>
      </c>
      <c r="K530" s="2">
        <f>SUM('Budget Detail FY 2020-27'!U872:U876)</f>
        <v>234909</v>
      </c>
      <c r="L530" s="663"/>
      <c r="M530" s="663"/>
      <c r="N530" s="660"/>
    </row>
    <row r="531" spans="2:14" s="470" customFormat="1" ht="20.100000000000001" customHeight="1">
      <c r="B531" s="515" t="s">
        <v>1241</v>
      </c>
      <c r="C531" s="514">
        <f t="shared" ref="C531:K531" si="57">SUM(C526:C530)</f>
        <v>766851</v>
      </c>
      <c r="D531" s="514">
        <f t="shared" si="57"/>
        <v>431068</v>
      </c>
      <c r="E531" s="514">
        <f t="shared" si="57"/>
        <v>1208209</v>
      </c>
      <c r="F531" s="514">
        <f t="shared" si="57"/>
        <v>728353</v>
      </c>
      <c r="G531" s="514">
        <f t="shared" si="57"/>
        <v>875931</v>
      </c>
      <c r="H531" s="514">
        <f t="shared" si="57"/>
        <v>878186</v>
      </c>
      <c r="I531" s="514">
        <f t="shared" si="57"/>
        <v>880678</v>
      </c>
      <c r="J531" s="514">
        <f t="shared" si="57"/>
        <v>883509</v>
      </c>
      <c r="K531" s="514">
        <f t="shared" si="57"/>
        <v>885909</v>
      </c>
      <c r="L531" s="406"/>
      <c r="M531" s="406"/>
      <c r="N531" s="660"/>
    </row>
    <row r="532" spans="2:14" s="470" customFormat="1" ht="6.9" customHeight="1">
      <c r="B532" s="134"/>
      <c r="C532" s="2"/>
      <c r="D532" s="2"/>
      <c r="E532" s="2"/>
      <c r="F532" s="2"/>
      <c r="G532" s="2"/>
      <c r="H532" s="2"/>
      <c r="I532" s="2"/>
      <c r="J532" s="2"/>
      <c r="K532" s="2"/>
      <c r="L532" s="663"/>
      <c r="M532" s="663"/>
      <c r="N532" s="660"/>
    </row>
    <row r="533" spans="2:14" ht="20.100000000000001" customHeight="1">
      <c r="B533" s="134" t="s">
        <v>592</v>
      </c>
      <c r="C533" s="2">
        <f>'Budget Detail FY 2020-27'!M879</f>
        <v>1410988</v>
      </c>
      <c r="D533" s="2">
        <f>'Budget Detail FY 2020-27'!N879</f>
        <v>1473433</v>
      </c>
      <c r="E533" s="2">
        <f>'Budget Detail FY 2020-27'!O879</f>
        <v>1434849</v>
      </c>
      <c r="F533" s="2">
        <f>'Budget Detail FY 2020-27'!P879</f>
        <v>1755955</v>
      </c>
      <c r="G533" s="2">
        <f>'Budget Detail FY 2020-27'!Q879</f>
        <v>2179541</v>
      </c>
      <c r="H533" s="2">
        <f>'Budget Detail FY 2020-27'!R879</f>
        <v>2236242</v>
      </c>
      <c r="I533" s="2">
        <f>'Budget Detail FY 2020-27'!S879</f>
        <v>2367924</v>
      </c>
      <c r="J533" s="2">
        <f>'Budget Detail FY 2020-27'!T879</f>
        <v>2445661</v>
      </c>
      <c r="K533" s="2">
        <f>'Budget Detail FY 2020-27'!U879</f>
        <v>2512504</v>
      </c>
      <c r="L533" s="663"/>
      <c r="M533" s="663"/>
      <c r="N533" s="161"/>
    </row>
    <row r="534" spans="2:14" ht="20.100000000000001" customHeight="1" thickBot="1">
      <c r="B534" s="79" t="s">
        <v>1256</v>
      </c>
      <c r="C534" s="433">
        <f t="shared" ref="C534:K534" si="58">C531+C533</f>
        <v>2177839</v>
      </c>
      <c r="D534" s="433">
        <f t="shared" si="58"/>
        <v>1904501</v>
      </c>
      <c r="E534" s="433">
        <f t="shared" si="58"/>
        <v>2643058</v>
      </c>
      <c r="F534" s="433">
        <f t="shared" si="58"/>
        <v>2484308</v>
      </c>
      <c r="G534" s="433">
        <f t="shared" si="58"/>
        <v>3055472</v>
      </c>
      <c r="H534" s="433">
        <f t="shared" si="58"/>
        <v>3114428</v>
      </c>
      <c r="I534" s="433">
        <f t="shared" si="58"/>
        <v>3248602</v>
      </c>
      <c r="J534" s="433">
        <f t="shared" si="58"/>
        <v>3329170</v>
      </c>
      <c r="K534" s="433">
        <f t="shared" si="58"/>
        <v>3398413</v>
      </c>
      <c r="L534" s="406"/>
      <c r="M534" s="406"/>
      <c r="N534" s="161"/>
    </row>
    <row r="535" spans="2:14" ht="7.5" customHeight="1">
      <c r="B535" s="1"/>
      <c r="C535" s="2"/>
      <c r="D535" s="2"/>
      <c r="E535" s="2"/>
      <c r="F535" s="2"/>
      <c r="G535" s="2"/>
      <c r="H535" s="2"/>
      <c r="I535" s="2"/>
      <c r="J535" s="2"/>
      <c r="K535" s="2"/>
      <c r="L535" s="663"/>
      <c r="M535" s="663"/>
      <c r="N535" s="161"/>
    </row>
    <row r="536" spans="2:14">
      <c r="B536" s="80" t="s">
        <v>424</v>
      </c>
      <c r="C536" s="2"/>
      <c r="D536" s="2"/>
      <c r="E536" s="2"/>
      <c r="F536" s="2"/>
      <c r="G536" s="2"/>
      <c r="H536" s="2"/>
      <c r="I536" s="2"/>
      <c r="J536" s="2"/>
      <c r="K536" s="2"/>
      <c r="L536" s="663"/>
      <c r="M536" s="663"/>
      <c r="N536" s="161"/>
    </row>
    <row r="537" spans="2:14" ht="20.100000000000001" customHeight="1">
      <c r="B537" s="134" t="s">
        <v>594</v>
      </c>
      <c r="C537" s="49">
        <f>SUM('Budget Detail FY 2020-27'!M885:M887)+SUM('Budget Detail FY 2020-27'!M913:M917)</f>
        <v>1043046</v>
      </c>
      <c r="D537" s="49">
        <f>SUM('Budget Detail FY 2020-27'!N885:N887)+SUM('Budget Detail FY 2020-27'!N913:N917)</f>
        <v>1007587</v>
      </c>
      <c r="E537" s="49">
        <f>SUM('Budget Detail FY 2020-27'!O885:O887)+SUM('Budget Detail FY 2020-27'!O913:O917)</f>
        <v>1232462</v>
      </c>
      <c r="F537" s="49">
        <f>SUM('Budget Detail FY 2020-27'!P885:P887)+SUM('Budget Detail FY 2020-27'!P913:P917)</f>
        <v>1181500</v>
      </c>
      <c r="G537" s="49">
        <f>SUM('Budget Detail FY 2020-27'!Q885:Q887)+SUM('Budget Detail FY 2020-27'!Q913:Q917)</f>
        <v>1330068</v>
      </c>
      <c r="H537" s="49">
        <f>SUM('Budget Detail FY 2020-27'!R885:R887)+SUM('Budget Detail FY 2020-27'!R913:R917)</f>
        <v>1339486</v>
      </c>
      <c r="I537" s="49">
        <f>SUM('Budget Detail FY 2020-27'!S885:S887)+SUM('Budget Detail FY 2020-27'!S913:S917)</f>
        <v>1375168</v>
      </c>
      <c r="J537" s="49">
        <f>SUM('Budget Detail FY 2020-27'!T885:T887)+SUM('Budget Detail FY 2020-27'!T913:T917)</f>
        <v>1411861</v>
      </c>
      <c r="K537" s="49">
        <f>SUM('Budget Detail FY 2020-27'!U885:U887)+SUM('Budget Detail FY 2020-27'!U913:U917)</f>
        <v>1449595</v>
      </c>
      <c r="L537" s="666"/>
      <c r="M537" s="666"/>
      <c r="N537" s="660"/>
    </row>
    <row r="538" spans="2:14" ht="20.100000000000001" customHeight="1">
      <c r="B538" s="134" t="s">
        <v>595</v>
      </c>
      <c r="C538" s="2">
        <f>SUM('Budget Detail FY 2020-27'!M888:M893)+SUM('Budget Detail FY 2020-27'!M918:M923)</f>
        <v>438889</v>
      </c>
      <c r="D538" s="2">
        <f>SUM('Budget Detail FY 2020-27'!N888:N893)+SUM('Budget Detail FY 2020-27'!N918:N923)</f>
        <v>424491</v>
      </c>
      <c r="E538" s="2">
        <f>SUM('Budget Detail FY 2020-27'!O888:O893)+SUM('Budget Detail FY 2020-27'!O918:O923)</f>
        <v>511964</v>
      </c>
      <c r="F538" s="2">
        <f>SUM('Budget Detail FY 2020-27'!P888:P893)+SUM('Budget Detail FY 2020-27'!P918:P923)</f>
        <v>441064</v>
      </c>
      <c r="G538" s="2">
        <f>SUM('Budget Detail FY 2020-27'!Q888:Q893)+SUM('Budget Detail FY 2020-27'!Q918:Q923)</f>
        <v>510664</v>
      </c>
      <c r="H538" s="2">
        <f>SUM('Budget Detail FY 2020-27'!R888:R893)+SUM('Budget Detail FY 2020-27'!R918:R923)</f>
        <v>529038</v>
      </c>
      <c r="I538" s="2">
        <f>SUM('Budget Detail FY 2020-27'!S888:S893)+SUM('Budget Detail FY 2020-27'!S918:S923)</f>
        <v>563599</v>
      </c>
      <c r="J538" s="2">
        <f>SUM('Budget Detail FY 2020-27'!T888:T893)+SUM('Budget Detail FY 2020-27'!T918:T923)</f>
        <v>600521</v>
      </c>
      <c r="K538" s="2">
        <f>SUM('Budget Detail FY 2020-27'!U888:U893)+SUM('Budget Detail FY 2020-27'!U918:U923)</f>
        <v>640222</v>
      </c>
      <c r="L538" s="663"/>
      <c r="M538" s="663"/>
      <c r="N538" s="660"/>
    </row>
    <row r="539" spans="2:14" ht="20.100000000000001" customHeight="1">
      <c r="B539" s="134" t="s">
        <v>596</v>
      </c>
      <c r="C539" s="2">
        <f>SUM('Budget Detail FY 2020-27'!M894:M903)+SUM('Budget Detail FY 2020-27'!M924:M936)</f>
        <v>269209</v>
      </c>
      <c r="D539" s="2">
        <f>SUM('Budget Detail FY 2020-27'!N894:N903)+SUM('Budget Detail FY 2020-27'!N924:N936)</f>
        <v>521370</v>
      </c>
      <c r="E539" s="2">
        <f>SUM('Budget Detail FY 2020-27'!O894:O903)+SUM('Budget Detail FY 2020-27'!O924:O936)</f>
        <v>423588</v>
      </c>
      <c r="F539" s="2">
        <f>SUM('Budget Detail FY 2020-27'!P894:P903)+SUM('Budget Detail FY 2020-27'!P924:P936)</f>
        <v>343149</v>
      </c>
      <c r="G539" s="2">
        <f>SUM('Budget Detail FY 2020-27'!Q894:Q903)+SUM('Budget Detail FY 2020-27'!Q924:Q936)</f>
        <v>590720</v>
      </c>
      <c r="H539" s="2">
        <f>SUM('Budget Detail FY 2020-27'!R894:R903)+SUM('Budget Detail FY 2020-27'!R924:R936)</f>
        <v>623888</v>
      </c>
      <c r="I539" s="2">
        <f>SUM('Budget Detail FY 2020-27'!S894:S903)+SUM('Budget Detail FY 2020-27'!S924:S936)</f>
        <v>684613</v>
      </c>
      <c r="J539" s="2">
        <f>SUM('Budget Detail FY 2020-27'!T894:T903)+SUM('Budget Detail FY 2020-27'!T924:T936)</f>
        <v>688136</v>
      </c>
      <c r="K539" s="2">
        <f>SUM('Budget Detail FY 2020-27'!U894:U903)+SUM('Budget Detail FY 2020-27'!U924:U936)</f>
        <v>676274</v>
      </c>
      <c r="L539" s="663"/>
      <c r="M539" s="663"/>
      <c r="N539" s="660"/>
    </row>
    <row r="540" spans="2:14" ht="20.100000000000001" customHeight="1">
      <c r="B540" s="134" t="s">
        <v>597</v>
      </c>
      <c r="C540" s="2">
        <f>SUM('Budget Detail FY 2020-27'!M904:M909)+SUM('Budget Detail FY 2020-27'!M937:M942)</f>
        <v>468126</v>
      </c>
      <c r="D540" s="2">
        <f>SUM('Budget Detail FY 2020-27'!N904:N909)+SUM('Budget Detail FY 2020-27'!N937:N942)</f>
        <v>289536</v>
      </c>
      <c r="E540" s="2">
        <f>SUM('Budget Detail FY 2020-27'!O904:O909)+SUM('Budget Detail FY 2020-27'!O937:O942)</f>
        <v>633044</v>
      </c>
      <c r="F540" s="2">
        <f>SUM('Budget Detail FY 2020-27'!P904:P909)+SUM('Budget Detail FY 2020-27'!P937:P942)</f>
        <v>591595</v>
      </c>
      <c r="G540" s="2">
        <f>SUM('Budget Detail FY 2020-27'!Q904:Q909)+SUM('Budget Detail FY 2020-27'!Q937:Q942)</f>
        <v>624020</v>
      </c>
      <c r="H540" s="2">
        <f>SUM('Budget Detail FY 2020-27'!R904:R909)+SUM('Budget Detail FY 2020-27'!R937:R942)</f>
        <v>622016</v>
      </c>
      <c r="I540" s="2">
        <f>SUM('Budget Detail FY 2020-27'!S904:S909)+SUM('Budget Detail FY 2020-27'!S937:S942)</f>
        <v>625222</v>
      </c>
      <c r="J540" s="2">
        <f>SUM('Budget Detail FY 2020-27'!T904:T909)+SUM('Budget Detail FY 2020-27'!T937:T942)</f>
        <v>628652</v>
      </c>
      <c r="K540" s="2">
        <f>SUM('Budget Detail FY 2020-27'!U904:U909)+SUM('Budget Detail FY 2020-27'!U937:U942)</f>
        <v>632322</v>
      </c>
      <c r="L540" s="663"/>
      <c r="M540" s="663"/>
      <c r="N540" s="660"/>
    </row>
    <row r="541" spans="2:14" ht="20.100000000000001" customHeight="1" thickBot="1">
      <c r="B541" s="79" t="s">
        <v>600</v>
      </c>
      <c r="C541" s="433">
        <f t="shared" ref="C541:K541" si="59">SUM(C537:C540)</f>
        <v>2219270</v>
      </c>
      <c r="D541" s="433">
        <f t="shared" si="59"/>
        <v>2242984</v>
      </c>
      <c r="E541" s="433">
        <f t="shared" si="59"/>
        <v>2801058</v>
      </c>
      <c r="F541" s="433">
        <f t="shared" si="59"/>
        <v>2557308</v>
      </c>
      <c r="G541" s="433">
        <f t="shared" si="59"/>
        <v>3055472</v>
      </c>
      <c r="H541" s="433">
        <f t="shared" si="59"/>
        <v>3114428</v>
      </c>
      <c r="I541" s="433">
        <f t="shared" si="59"/>
        <v>3248602</v>
      </c>
      <c r="J541" s="433">
        <f t="shared" si="59"/>
        <v>3329170</v>
      </c>
      <c r="K541" s="433">
        <f t="shared" si="59"/>
        <v>3398413</v>
      </c>
      <c r="L541" s="406"/>
      <c r="M541" s="406"/>
      <c r="N541" s="661"/>
    </row>
    <row r="542" spans="2:14">
      <c r="B542" s="80"/>
      <c r="C542" s="2"/>
      <c r="D542" s="2"/>
      <c r="E542" s="2"/>
      <c r="F542" s="2"/>
      <c r="G542" s="2"/>
      <c r="H542" s="2"/>
      <c r="I542" s="2"/>
      <c r="J542" s="2"/>
      <c r="K542" s="2"/>
      <c r="L542" s="663"/>
      <c r="M542" s="663"/>
      <c r="N542" s="161"/>
    </row>
    <row r="543" spans="2:14" ht="20.100000000000001" customHeight="1">
      <c r="B543" s="133" t="s">
        <v>601</v>
      </c>
      <c r="C543" s="49">
        <f t="shared" ref="C543:K543" si="60">+C534-C541</f>
        <v>-41431</v>
      </c>
      <c r="D543" s="49">
        <f t="shared" si="60"/>
        <v>-338483</v>
      </c>
      <c r="E543" s="49">
        <f t="shared" si="60"/>
        <v>-158000</v>
      </c>
      <c r="F543" s="49">
        <f t="shared" si="60"/>
        <v>-73000</v>
      </c>
      <c r="G543" s="49">
        <f t="shared" si="60"/>
        <v>0</v>
      </c>
      <c r="H543" s="49">
        <f t="shared" si="60"/>
        <v>0</v>
      </c>
      <c r="I543" s="49">
        <f t="shared" si="60"/>
        <v>0</v>
      </c>
      <c r="J543" s="49">
        <f t="shared" si="60"/>
        <v>0</v>
      </c>
      <c r="K543" s="49">
        <f t="shared" si="60"/>
        <v>0</v>
      </c>
      <c r="L543" s="666"/>
      <c r="M543" s="666"/>
      <c r="N543" s="161"/>
    </row>
    <row r="544" spans="2:14">
      <c r="B544" s="81"/>
      <c r="C544" s="2"/>
      <c r="D544" s="2"/>
      <c r="E544" s="2"/>
      <c r="F544" s="2"/>
      <c r="G544" s="2"/>
      <c r="H544" s="2"/>
      <c r="I544" s="2"/>
      <c r="J544" s="2"/>
      <c r="K544" s="2"/>
      <c r="L544" s="663"/>
      <c r="M544" s="663"/>
      <c r="N544" s="161"/>
    </row>
    <row r="545" spans="2:14" ht="20.100000000000001" customHeight="1" thickBot="1">
      <c r="B545" s="78" t="s">
        <v>602</v>
      </c>
      <c r="C545" s="431">
        <v>411485</v>
      </c>
      <c r="D545" s="431">
        <v>73000</v>
      </c>
      <c r="E545" s="431">
        <v>0</v>
      </c>
      <c r="F545" s="431">
        <f>D545+F543</f>
        <v>0</v>
      </c>
      <c r="G545" s="431">
        <f>F545+G543</f>
        <v>0</v>
      </c>
      <c r="H545" s="431">
        <f>G545+H543</f>
        <v>0</v>
      </c>
      <c r="I545" s="431">
        <f>H545+I543</f>
        <v>0</v>
      </c>
      <c r="J545" s="431">
        <f>I545+J543</f>
        <v>0</v>
      </c>
      <c r="K545" s="431">
        <f>J545+K543</f>
        <v>0</v>
      </c>
      <c r="L545" s="406"/>
      <c r="M545" s="406"/>
      <c r="N545" s="161"/>
    </row>
    <row r="546" spans="2:14" ht="14.4" thickTop="1">
      <c r="B546" s="4"/>
      <c r="C546" s="82">
        <f t="shared" ref="C546:K546" si="61">+C545/C541</f>
        <v>0.18541457326057667</v>
      </c>
      <c r="D546" s="82">
        <f t="shared" si="61"/>
        <v>3.2545929886258665E-2</v>
      </c>
      <c r="E546" s="82">
        <f t="shared" si="61"/>
        <v>0</v>
      </c>
      <c r="F546" s="82">
        <f t="shared" si="61"/>
        <v>0</v>
      </c>
      <c r="G546" s="82">
        <f t="shared" si="61"/>
        <v>0</v>
      </c>
      <c r="H546" s="82">
        <f t="shared" si="61"/>
        <v>0</v>
      </c>
      <c r="I546" s="82">
        <f t="shared" si="61"/>
        <v>0</v>
      </c>
      <c r="J546" s="82">
        <f t="shared" si="61"/>
        <v>0</v>
      </c>
      <c r="K546" s="82">
        <f t="shared" si="61"/>
        <v>0</v>
      </c>
      <c r="L546" s="670"/>
      <c r="M546" s="670"/>
      <c r="N546" s="161"/>
    </row>
    <row r="547" spans="2:14">
      <c r="N547" s="161"/>
    </row>
    <row r="548" spans="2:14">
      <c r="B548" s="1"/>
      <c r="C548" s="2"/>
      <c r="D548" s="2"/>
      <c r="E548" s="2"/>
      <c r="F548" s="2"/>
      <c r="G548" s="2"/>
      <c r="H548" s="2"/>
      <c r="I548" s="2"/>
      <c r="J548" s="2"/>
      <c r="K548" s="2"/>
      <c r="L548" s="663"/>
      <c r="M548" s="663"/>
      <c r="N548" s="161"/>
    </row>
    <row r="549" spans="2:14">
      <c r="B549" s="1"/>
      <c r="C549" s="2"/>
      <c r="D549" s="2"/>
      <c r="E549" s="2"/>
      <c r="F549" s="2"/>
      <c r="G549" s="2"/>
      <c r="H549" s="2"/>
      <c r="I549" s="2"/>
      <c r="J549" s="2"/>
      <c r="K549" s="2"/>
      <c r="L549" s="663"/>
      <c r="M549" s="663"/>
      <c r="N549" s="161"/>
    </row>
    <row r="550" spans="2:14">
      <c r="B550" s="1"/>
      <c r="C550" s="2"/>
      <c r="D550" s="2"/>
      <c r="E550" s="2"/>
      <c r="F550" s="2"/>
      <c r="G550" s="2"/>
      <c r="H550" s="2"/>
      <c r="I550" s="2"/>
      <c r="J550" s="2"/>
      <c r="K550" s="2"/>
      <c r="L550" s="663"/>
      <c r="M550" s="663"/>
      <c r="N550" s="161"/>
    </row>
    <row r="551" spans="2:14">
      <c r="B551" s="1"/>
      <c r="C551" s="2"/>
      <c r="D551" s="2"/>
      <c r="E551" s="2"/>
      <c r="F551" s="2"/>
      <c r="G551" s="2"/>
      <c r="H551" s="2"/>
      <c r="I551" s="2"/>
      <c r="J551" s="2"/>
      <c r="K551" s="2"/>
      <c r="L551" s="663"/>
      <c r="M551" s="663"/>
      <c r="N551" s="161"/>
    </row>
    <row r="552" spans="2:14">
      <c r="B552" s="1"/>
      <c r="C552" s="2"/>
      <c r="D552" s="2"/>
      <c r="E552" s="2"/>
      <c r="F552" s="2"/>
      <c r="G552" s="2"/>
      <c r="H552" s="2"/>
      <c r="I552" s="2"/>
      <c r="J552" s="2"/>
      <c r="K552" s="2"/>
      <c r="L552" s="663"/>
      <c r="M552" s="663"/>
      <c r="N552" s="161"/>
    </row>
    <row r="553" spans="2:14">
      <c r="B553" s="1"/>
      <c r="C553" s="2"/>
      <c r="D553" s="2"/>
      <c r="E553" s="2"/>
      <c r="F553" s="2"/>
      <c r="G553" s="2"/>
      <c r="H553" s="2"/>
      <c r="I553" s="2"/>
      <c r="J553" s="2"/>
      <c r="K553" s="2"/>
      <c r="L553" s="663"/>
      <c r="M553" s="663"/>
      <c r="N553" s="161"/>
    </row>
    <row r="554" spans="2:14">
      <c r="B554" s="1"/>
      <c r="C554" s="2"/>
      <c r="D554" s="2"/>
      <c r="E554" s="2"/>
      <c r="F554" s="2"/>
      <c r="G554" s="2"/>
      <c r="H554" s="2"/>
      <c r="I554" s="2"/>
      <c r="J554" s="2"/>
      <c r="K554" s="2"/>
      <c r="L554" s="663"/>
      <c r="M554" s="663"/>
      <c r="N554" s="161"/>
    </row>
    <row r="555" spans="2:14">
      <c r="B555" s="1"/>
      <c r="C555" s="2"/>
      <c r="D555" s="2"/>
      <c r="E555" s="2"/>
      <c r="F555" s="2"/>
      <c r="G555" s="2"/>
      <c r="H555" s="2"/>
      <c r="I555" s="2"/>
      <c r="J555" s="2"/>
      <c r="K555" s="2"/>
      <c r="L555" s="663"/>
      <c r="M555" s="663"/>
      <c r="N555" s="161"/>
    </row>
    <row r="556" spans="2:14">
      <c r="B556" s="1"/>
      <c r="C556" s="2"/>
      <c r="D556" s="2"/>
      <c r="E556" s="2"/>
      <c r="F556" s="2"/>
      <c r="G556" s="2"/>
      <c r="H556" s="2"/>
      <c r="I556" s="2"/>
      <c r="J556" s="2"/>
      <c r="K556" s="2"/>
      <c r="L556" s="663"/>
      <c r="M556" s="663"/>
      <c r="N556" s="161"/>
    </row>
    <row r="557" spans="2:14">
      <c r="B557" s="1"/>
      <c r="C557" s="2"/>
      <c r="D557" s="2"/>
      <c r="E557" s="2"/>
      <c r="F557" s="2"/>
      <c r="G557" s="2"/>
      <c r="H557" s="2"/>
      <c r="I557" s="2"/>
      <c r="J557" s="2"/>
      <c r="K557" s="2"/>
      <c r="L557" s="663"/>
      <c r="M557" s="663"/>
      <c r="N557" s="161"/>
    </row>
    <row r="558" spans="2:14">
      <c r="N558" s="161"/>
    </row>
    <row r="559" spans="2:14">
      <c r="N559" s="161"/>
    </row>
    <row r="560" spans="2:14" ht="18.75" customHeight="1">
      <c r="B560" s="682" t="s">
        <v>622</v>
      </c>
      <c r="C560" s="682"/>
      <c r="D560" s="682"/>
      <c r="E560" s="682"/>
      <c r="F560" s="682"/>
      <c r="G560" s="682"/>
      <c r="H560" s="682"/>
      <c r="I560" s="682"/>
      <c r="J560" s="682"/>
      <c r="K560" s="682"/>
      <c r="L560" s="662"/>
      <c r="M560" s="662"/>
      <c r="N560" s="161"/>
    </row>
    <row r="561" spans="2:14" ht="7.5" customHeight="1">
      <c r="B561" s="43"/>
      <c r="C561" s="2"/>
      <c r="D561" s="2"/>
      <c r="E561" s="2"/>
      <c r="F561" s="2"/>
      <c r="G561" s="2"/>
      <c r="H561" s="2"/>
      <c r="I561" s="2"/>
      <c r="J561" s="2"/>
      <c r="K561" s="2"/>
      <c r="L561" s="663"/>
      <c r="M561" s="663"/>
      <c r="N561" s="161"/>
    </row>
    <row r="562" spans="2:14" ht="12.75" customHeight="1">
      <c r="B562" s="683" t="s">
        <v>623</v>
      </c>
      <c r="C562" s="683"/>
      <c r="D562" s="683"/>
      <c r="E562" s="683"/>
      <c r="F562" s="683"/>
      <c r="G562" s="683"/>
      <c r="H562" s="683"/>
      <c r="I562" s="683"/>
      <c r="J562" s="683"/>
      <c r="K562" s="683"/>
      <c r="L562" s="664"/>
      <c r="M562" s="664"/>
      <c r="N562" s="161"/>
    </row>
    <row r="563" spans="2:14" ht="12.75" customHeight="1">
      <c r="B563" s="683"/>
      <c r="C563" s="683"/>
      <c r="D563" s="683"/>
      <c r="E563" s="683"/>
      <c r="F563" s="683"/>
      <c r="G563" s="683"/>
      <c r="H563" s="683"/>
      <c r="I563" s="683"/>
      <c r="J563" s="683"/>
      <c r="K563" s="683"/>
      <c r="L563" s="664"/>
      <c r="M563" s="664"/>
      <c r="N563" s="161"/>
    </row>
    <row r="564" spans="2:14" ht="12.75" customHeight="1">
      <c r="B564" s="683"/>
      <c r="C564" s="683"/>
      <c r="D564" s="683"/>
      <c r="E564" s="683"/>
      <c r="F564" s="683"/>
      <c r="G564" s="683"/>
      <c r="H564" s="683"/>
      <c r="I564" s="683"/>
      <c r="J564" s="683"/>
      <c r="K564" s="683"/>
      <c r="L564" s="664"/>
      <c r="M564" s="664"/>
      <c r="N564" s="161"/>
    </row>
    <row r="565" spans="2:14">
      <c r="B565" s="4"/>
      <c r="C565" s="43"/>
      <c r="D565" s="573"/>
      <c r="E565" s="43" t="s">
        <v>815</v>
      </c>
      <c r="F565" s="573"/>
      <c r="G565" s="43" t="s">
        <v>816</v>
      </c>
      <c r="H565" s="573"/>
      <c r="I565" s="573"/>
      <c r="J565" s="573"/>
      <c r="K565" s="573"/>
      <c r="L565" s="304"/>
      <c r="M565" s="304"/>
      <c r="N565" s="161"/>
    </row>
    <row r="566" spans="2:14">
      <c r="B566" s="43"/>
      <c r="C566" s="43" t="s">
        <v>813</v>
      </c>
      <c r="D566" s="43" t="s">
        <v>814</v>
      </c>
      <c r="E566" s="43" t="s">
        <v>583</v>
      </c>
      <c r="F566" s="43" t="s">
        <v>815</v>
      </c>
      <c r="G566" s="156" t="str">
        <f>'Fund Cover Sheets'!$N$1</f>
        <v>Adopted</v>
      </c>
      <c r="H566" s="43" t="s">
        <v>817</v>
      </c>
      <c r="I566" s="43" t="s">
        <v>818</v>
      </c>
      <c r="J566" s="43" t="s">
        <v>819</v>
      </c>
      <c r="K566" s="43" t="s">
        <v>820</v>
      </c>
      <c r="L566" s="665"/>
      <c r="M566" s="665"/>
      <c r="N566" s="161"/>
    </row>
    <row r="567" spans="2:14" ht="14.4" thickBot="1">
      <c r="B567" s="44"/>
      <c r="C567" s="45" t="s">
        <v>1</v>
      </c>
      <c r="D567" s="45" t="s">
        <v>1</v>
      </c>
      <c r="E567" s="45" t="s">
        <v>553</v>
      </c>
      <c r="F567" s="45" t="s">
        <v>19</v>
      </c>
      <c r="G567" s="45" t="s">
        <v>553</v>
      </c>
      <c r="H567" s="45" t="s">
        <v>19</v>
      </c>
      <c r="I567" s="45" t="s">
        <v>19</v>
      </c>
      <c r="J567" s="45" t="s">
        <v>19</v>
      </c>
      <c r="K567" s="45" t="s">
        <v>19</v>
      </c>
      <c r="L567" s="566"/>
      <c r="M567" s="566"/>
      <c r="N567" s="161"/>
    </row>
    <row r="568" spans="2:14">
      <c r="B568" s="1"/>
      <c r="C568" s="52"/>
      <c r="D568" s="2"/>
      <c r="E568" s="2"/>
      <c r="F568" s="2"/>
      <c r="G568" s="2"/>
      <c r="H568" s="2"/>
      <c r="I568" s="2"/>
      <c r="J568" s="2"/>
      <c r="K568" s="2"/>
      <c r="L568" s="663"/>
      <c r="M568" s="663"/>
      <c r="N568" s="161"/>
    </row>
    <row r="569" spans="2:14">
      <c r="B569" s="80" t="s">
        <v>1273</v>
      </c>
      <c r="C569" s="2"/>
      <c r="D569" s="2"/>
      <c r="E569" s="2"/>
      <c r="F569" s="2"/>
      <c r="G569" s="2"/>
      <c r="H569" s="2"/>
      <c r="I569" s="2"/>
      <c r="J569" s="2"/>
      <c r="K569" s="2"/>
      <c r="L569" s="663"/>
      <c r="M569" s="663"/>
      <c r="N569" s="659"/>
    </row>
    <row r="570" spans="2:14" ht="20.100000000000001" customHeight="1">
      <c r="B570" s="133" t="s">
        <v>584</v>
      </c>
      <c r="C570" s="49">
        <f>SUM('Budget Detail FY 2020-27'!M958:M959)</f>
        <v>1497431</v>
      </c>
      <c r="D570" s="49">
        <f>SUM('Budget Detail FY 2020-27'!N958:N959)</f>
        <v>1561523</v>
      </c>
      <c r="E570" s="49">
        <f>SUM('Budget Detail FY 2020-27'!O958:O959)</f>
        <v>1612758</v>
      </c>
      <c r="F570" s="49">
        <f>SUM('Budget Detail FY 2020-27'!P958:P959)</f>
        <v>1611808</v>
      </c>
      <c r="G570" s="49">
        <f>SUM('Budget Detail FY 2020-27'!Q958:Q959)</f>
        <v>1667234</v>
      </c>
      <c r="H570" s="49">
        <f>SUM('Budget Detail FY 2020-27'!R958:R959)</f>
        <v>1727736</v>
      </c>
      <c r="I570" s="49">
        <f>SUM('Budget Detail FY 2020-27'!S958:S959)</f>
        <v>1750902</v>
      </c>
      <c r="J570" s="49">
        <f>SUM('Budget Detail FY 2020-27'!T958:T959)</f>
        <v>916179</v>
      </c>
      <c r="K570" s="49">
        <f>SUM('Budget Detail FY 2020-27'!U958:U959)</f>
        <v>943664</v>
      </c>
      <c r="L570" s="666"/>
      <c r="M570" s="666"/>
      <c r="N570" s="659"/>
    </row>
    <row r="571" spans="2:14" ht="20.100000000000001" customHeight="1">
      <c r="B571" s="133" t="s">
        <v>585</v>
      </c>
      <c r="C571" s="2">
        <f>SUM('Budget Detail FY 2020-27'!M960:M962)</f>
        <v>27011</v>
      </c>
      <c r="D571" s="2">
        <f>SUM('Budget Detail FY 2020-27'!N960:N962)</f>
        <v>29083</v>
      </c>
      <c r="E571" s="2">
        <f>SUM('Budget Detail FY 2020-27'!O960:O962)</f>
        <v>26401</v>
      </c>
      <c r="F571" s="2">
        <f>SUM('Budget Detail FY 2020-27'!P960:P962)</f>
        <v>42546</v>
      </c>
      <c r="G571" s="2">
        <f>SUM('Budget Detail FY 2020-27'!Q960:Q962)</f>
        <v>29151</v>
      </c>
      <c r="H571" s="2">
        <f>SUM('Budget Detail FY 2020-27'!R960:R962)</f>
        <v>29151</v>
      </c>
      <c r="I571" s="2">
        <f>SUM('Budget Detail FY 2020-27'!S960:S962)</f>
        <v>29151</v>
      </c>
      <c r="J571" s="2">
        <f>SUM('Budget Detail FY 2020-27'!T960:T962)</f>
        <v>29151</v>
      </c>
      <c r="K571" s="2">
        <f>SUM('Budget Detail FY 2020-27'!U960:U962)</f>
        <v>29151</v>
      </c>
      <c r="L571" s="663"/>
      <c r="M571" s="663"/>
      <c r="N571" s="660"/>
    </row>
    <row r="572" spans="2:14" ht="20.100000000000001" customHeight="1">
      <c r="B572" s="134" t="s">
        <v>587</v>
      </c>
      <c r="C572" s="2">
        <f>'Budget Detail FY 2020-27'!M963</f>
        <v>7552</v>
      </c>
      <c r="D572" s="2">
        <f>'Budget Detail FY 2020-27'!N963</f>
        <v>3249</v>
      </c>
      <c r="E572" s="2">
        <f>'Budget Detail FY 2020-27'!O963</f>
        <v>8500</v>
      </c>
      <c r="F572" s="2">
        <f>'Budget Detail FY 2020-27'!P963</f>
        <v>6700</v>
      </c>
      <c r="G572" s="2">
        <f>'Budget Detail FY 2020-27'!Q963</f>
        <v>1000</v>
      </c>
      <c r="H572" s="2">
        <f>'Budget Detail FY 2020-27'!R963</f>
        <v>1000</v>
      </c>
      <c r="I572" s="2">
        <f>'Budget Detail FY 2020-27'!S963</f>
        <v>1000</v>
      </c>
      <c r="J572" s="2">
        <f>'Budget Detail FY 2020-27'!T963</f>
        <v>1000</v>
      </c>
      <c r="K572" s="2">
        <f>'Budget Detail FY 2020-27'!U963</f>
        <v>1000</v>
      </c>
      <c r="L572" s="663"/>
      <c r="M572" s="663"/>
      <c r="N572" s="660"/>
    </row>
    <row r="573" spans="2:14" ht="20.100000000000001" customHeight="1">
      <c r="B573" s="134" t="s">
        <v>588</v>
      </c>
      <c r="C573" s="2">
        <f>SUM('Budget Detail FY 2020-27'!M964:M966)</f>
        <v>11204</v>
      </c>
      <c r="D573" s="2">
        <f>SUM('Budget Detail FY 2020-27'!N964:N966)</f>
        <v>6081</v>
      </c>
      <c r="E573" s="2">
        <f>SUM('Budget Detail FY 2020-27'!O964:O966)</f>
        <v>12300</v>
      </c>
      <c r="F573" s="2">
        <f>SUM('Budget Detail FY 2020-27'!P964:P966)</f>
        <v>11276</v>
      </c>
      <c r="G573" s="2">
        <f>SUM('Budget Detail FY 2020-27'!Q964:Q966)</f>
        <v>11500</v>
      </c>
      <c r="H573" s="2">
        <f>SUM('Budget Detail FY 2020-27'!R964:R966)</f>
        <v>12000</v>
      </c>
      <c r="I573" s="2">
        <f>SUM('Budget Detail FY 2020-27'!S964:S966)</f>
        <v>12000</v>
      </c>
      <c r="J573" s="2">
        <f>SUM('Budget Detail FY 2020-27'!T964:T966)</f>
        <v>12000</v>
      </c>
      <c r="K573" s="2">
        <f>SUM('Budget Detail FY 2020-27'!U964:U966)</f>
        <v>12000</v>
      </c>
      <c r="L573" s="663"/>
      <c r="M573" s="663"/>
      <c r="N573" s="660"/>
    </row>
    <row r="574" spans="2:14" ht="20.100000000000001" customHeight="1">
      <c r="B574" s="134" t="s">
        <v>589</v>
      </c>
      <c r="C574" s="2">
        <f>'Budget Detail FY 2020-27'!M967+'Budget Detail FY 2020-27'!M968</f>
        <v>16471</v>
      </c>
      <c r="D574" s="2">
        <f>'Budget Detail FY 2020-27'!N967+'Budget Detail FY 2020-27'!N968</f>
        <v>1268</v>
      </c>
      <c r="E574" s="2">
        <f>'Budget Detail FY 2020-27'!O967+'Budget Detail FY 2020-27'!O968</f>
        <v>2000</v>
      </c>
      <c r="F574" s="2">
        <f>'Budget Detail FY 2020-27'!P967+'Budget Detail FY 2020-27'!P968</f>
        <v>1105</v>
      </c>
      <c r="G574" s="2">
        <f>'Budget Detail FY 2020-27'!Q967+'Budget Detail FY 2020-27'!Q968</f>
        <v>1000</v>
      </c>
      <c r="H574" s="2">
        <f>'Budget Detail FY 2020-27'!R967+'Budget Detail FY 2020-27'!R968</f>
        <v>1500</v>
      </c>
      <c r="I574" s="2">
        <f>'Budget Detail FY 2020-27'!S967+'Budget Detail FY 2020-27'!S968</f>
        <v>2000</v>
      </c>
      <c r="J574" s="2">
        <f>'Budget Detail FY 2020-27'!T967+'Budget Detail FY 2020-27'!T968</f>
        <v>2500</v>
      </c>
      <c r="K574" s="2">
        <f>'Budget Detail FY 2020-27'!U967+'Budget Detail FY 2020-27'!U968</f>
        <v>3000</v>
      </c>
      <c r="L574" s="663"/>
      <c r="M574" s="663"/>
      <c r="N574" s="660"/>
    </row>
    <row r="575" spans="2:14" ht="20.100000000000001" customHeight="1">
      <c r="B575" s="134" t="s">
        <v>591</v>
      </c>
      <c r="C575" s="2">
        <f>SUM('Budget Detail FY 2020-27'!M969:M970)</f>
        <v>4374</v>
      </c>
      <c r="D575" s="2">
        <f>SUM('Budget Detail FY 2020-27'!N969:N970)</f>
        <v>1204</v>
      </c>
      <c r="E575" s="2">
        <f>SUM('Budget Detail FY 2020-27'!O969:O970)</f>
        <v>3750</v>
      </c>
      <c r="F575" s="2">
        <f>SUM('Budget Detail FY 2020-27'!P969:P970)</f>
        <v>2600</v>
      </c>
      <c r="G575" s="2">
        <f>SUM('Budget Detail FY 2020-27'!Q969:Q970)</f>
        <v>3250</v>
      </c>
      <c r="H575" s="2">
        <f>SUM('Budget Detail FY 2020-27'!R969:R970)</f>
        <v>4000</v>
      </c>
      <c r="I575" s="2">
        <f>SUM('Budget Detail FY 2020-27'!S969:S970)</f>
        <v>4500</v>
      </c>
      <c r="J575" s="2">
        <f>SUM('Budget Detail FY 2020-27'!T969:T970)</f>
        <v>4500</v>
      </c>
      <c r="K575" s="2">
        <f>SUM('Budget Detail FY 2020-27'!U969:U970)</f>
        <v>4500</v>
      </c>
      <c r="L575" s="663"/>
      <c r="M575" s="663"/>
      <c r="N575" s="660"/>
    </row>
    <row r="576" spans="2:14" s="520" customFormat="1" ht="20.100000000000001" customHeight="1">
      <c r="B576" s="515" t="s">
        <v>1241</v>
      </c>
      <c r="C576" s="514">
        <f t="shared" ref="C576:K576" si="62">SUM(C570:C575)</f>
        <v>1564043</v>
      </c>
      <c r="D576" s="514">
        <f t="shared" si="62"/>
        <v>1602408</v>
      </c>
      <c r="E576" s="514">
        <f t="shared" si="62"/>
        <v>1665709</v>
      </c>
      <c r="F576" s="514">
        <f t="shared" si="62"/>
        <v>1676035</v>
      </c>
      <c r="G576" s="514">
        <f t="shared" si="62"/>
        <v>1713135</v>
      </c>
      <c r="H576" s="514">
        <f t="shared" si="62"/>
        <v>1775387</v>
      </c>
      <c r="I576" s="514">
        <f t="shared" si="62"/>
        <v>1799553</v>
      </c>
      <c r="J576" s="514">
        <f t="shared" si="62"/>
        <v>965330</v>
      </c>
      <c r="K576" s="514">
        <f t="shared" si="62"/>
        <v>993315</v>
      </c>
      <c r="L576" s="406"/>
      <c r="M576" s="406"/>
      <c r="N576" s="660"/>
    </row>
    <row r="577" spans="2:14" s="520" customFormat="1" ht="6.9" customHeight="1">
      <c r="B577" s="134"/>
      <c r="C577" s="2"/>
      <c r="D577" s="2"/>
      <c r="E577" s="2"/>
      <c r="F577" s="2"/>
      <c r="G577" s="2"/>
      <c r="H577" s="2"/>
      <c r="I577" s="2"/>
      <c r="J577" s="2"/>
      <c r="K577" s="2"/>
      <c r="L577" s="663"/>
      <c r="M577" s="663"/>
      <c r="N577" s="660"/>
    </row>
    <row r="578" spans="2:14" ht="20.100000000000001" customHeight="1">
      <c r="B578" s="134" t="s">
        <v>592</v>
      </c>
      <c r="C578" s="2">
        <f>SUM('Budget Detail FY 2020-27'!M973:M973)</f>
        <v>24388</v>
      </c>
      <c r="D578" s="2">
        <f>SUM('Budget Detail FY 2020-27'!N973:N973)</f>
        <v>25885</v>
      </c>
      <c r="E578" s="2">
        <f>SUM('Budget Detail FY 2020-27'!O973:O973)</f>
        <v>26993</v>
      </c>
      <c r="F578" s="2">
        <f>SUM('Budget Detail FY 2020-27'!P973:P973)</f>
        <v>21580</v>
      </c>
      <c r="G578" s="2">
        <f>SUM('Budget Detail FY 2020-27'!Q973:Q973)</f>
        <v>23638</v>
      </c>
      <c r="H578" s="2">
        <f>SUM('Budget Detail FY 2020-27'!R973:R973)</f>
        <v>24996</v>
      </c>
      <c r="I578" s="2">
        <f>SUM('Budget Detail FY 2020-27'!S973:S973)</f>
        <v>26436</v>
      </c>
      <c r="J578" s="2">
        <f>SUM('Budget Detail FY 2020-27'!T973:T973)</f>
        <v>27962</v>
      </c>
      <c r="K578" s="2">
        <f>SUM('Budget Detail FY 2020-27'!U973:U973)</f>
        <v>29580</v>
      </c>
      <c r="L578" s="663"/>
      <c r="M578" s="663"/>
      <c r="N578" s="161"/>
    </row>
    <row r="579" spans="2:14" ht="20.100000000000001" customHeight="1" thickBot="1">
      <c r="B579" s="79" t="s">
        <v>1243</v>
      </c>
      <c r="C579" s="433">
        <f t="shared" ref="C579:K579" si="63">C576+C578</f>
        <v>1588431</v>
      </c>
      <c r="D579" s="433">
        <f t="shared" si="63"/>
        <v>1628293</v>
      </c>
      <c r="E579" s="433">
        <f t="shared" si="63"/>
        <v>1692702</v>
      </c>
      <c r="F579" s="433">
        <f t="shared" si="63"/>
        <v>1697615</v>
      </c>
      <c r="G579" s="433">
        <f t="shared" si="63"/>
        <v>1736773</v>
      </c>
      <c r="H579" s="433">
        <f t="shared" si="63"/>
        <v>1800383</v>
      </c>
      <c r="I579" s="433">
        <f t="shared" si="63"/>
        <v>1825989</v>
      </c>
      <c r="J579" s="433">
        <f t="shared" si="63"/>
        <v>993292</v>
      </c>
      <c r="K579" s="433">
        <f t="shared" si="63"/>
        <v>1022895</v>
      </c>
      <c r="L579" s="406"/>
      <c r="M579" s="406"/>
      <c r="N579" s="161"/>
    </row>
    <row r="580" spans="2:14" ht="7.5" customHeight="1">
      <c r="B580" s="1"/>
      <c r="C580" s="2"/>
      <c r="D580" s="2"/>
      <c r="E580" s="2"/>
      <c r="F580" s="2"/>
      <c r="G580" s="2"/>
      <c r="H580" s="2"/>
      <c r="I580" s="2"/>
      <c r="J580" s="2"/>
      <c r="K580" s="2"/>
      <c r="L580" s="663"/>
      <c r="M580" s="663"/>
      <c r="N580" s="161"/>
    </row>
    <row r="581" spans="2:14">
      <c r="B581" s="80" t="s">
        <v>424</v>
      </c>
      <c r="C581" s="2"/>
      <c r="D581" s="2"/>
      <c r="E581" s="2"/>
      <c r="F581" s="2"/>
      <c r="G581" s="2"/>
      <c r="H581" s="2"/>
      <c r="I581" s="2"/>
      <c r="J581" s="2"/>
      <c r="K581" s="2"/>
      <c r="L581" s="663"/>
      <c r="M581" s="663"/>
      <c r="N581" s="161"/>
    </row>
    <row r="582" spans="2:14" ht="20.100000000000001" customHeight="1">
      <c r="B582" s="134" t="s">
        <v>594</v>
      </c>
      <c r="C582" s="49">
        <f>SUM('Budget Detail FY 2020-27'!M979:M980)</f>
        <v>442119</v>
      </c>
      <c r="D582" s="49">
        <f>SUM('Budget Detail FY 2020-27'!N979:N980)</f>
        <v>425775</v>
      </c>
      <c r="E582" s="49">
        <f>SUM('Budget Detail FY 2020-27'!O979:O980)</f>
        <v>482014</v>
      </c>
      <c r="F582" s="49">
        <f>SUM('Budget Detail FY 2020-27'!P979:P980)</f>
        <v>447000</v>
      </c>
      <c r="G582" s="49">
        <f>SUM('Budget Detail FY 2020-27'!Q979:Q980)</f>
        <v>504111</v>
      </c>
      <c r="H582" s="49">
        <f>SUM('Budget Detail FY 2020-27'!R979:R980)</f>
        <v>522844</v>
      </c>
      <c r="I582" s="49">
        <f>SUM('Budget Detail FY 2020-27'!S979:S980)</f>
        <v>542839</v>
      </c>
      <c r="J582" s="49">
        <f>SUM('Budget Detail FY 2020-27'!T979:T980)</f>
        <v>562104</v>
      </c>
      <c r="K582" s="49">
        <f>SUM('Budget Detail FY 2020-27'!U979:U980)</f>
        <v>578647</v>
      </c>
      <c r="L582" s="666"/>
      <c r="M582" s="666"/>
      <c r="N582" s="660"/>
    </row>
    <row r="583" spans="2:14" ht="20.100000000000001" customHeight="1">
      <c r="B583" s="134" t="s">
        <v>595</v>
      </c>
      <c r="C583" s="2">
        <f>SUM('Budget Detail FY 2020-27'!M981:M988)</f>
        <v>164310</v>
      </c>
      <c r="D583" s="2">
        <f>SUM('Budget Detail FY 2020-27'!N981:N988)</f>
        <v>169709</v>
      </c>
      <c r="E583" s="2">
        <f>SUM('Budget Detail FY 2020-27'!O981:O988)</f>
        <v>208903</v>
      </c>
      <c r="F583" s="2">
        <f>SUM('Budget Detail FY 2020-27'!P981:P988)</f>
        <v>185903</v>
      </c>
      <c r="G583" s="2">
        <f>SUM('Budget Detail FY 2020-27'!Q981:Q988)</f>
        <v>198898</v>
      </c>
      <c r="H583" s="2">
        <f>SUM('Budget Detail FY 2020-27'!R981:R988)</f>
        <v>222200</v>
      </c>
      <c r="I583" s="2">
        <f>SUM('Budget Detail FY 2020-27'!S981:S988)</f>
        <v>236856</v>
      </c>
      <c r="J583" s="2">
        <f>SUM('Budget Detail FY 2020-27'!T981:T988)</f>
        <v>252400</v>
      </c>
      <c r="K583" s="2">
        <f>SUM('Budget Detail FY 2020-27'!U981:U988)</f>
        <v>268820</v>
      </c>
      <c r="L583" s="663"/>
      <c r="M583" s="663"/>
      <c r="N583" s="660"/>
    </row>
    <row r="584" spans="2:14" ht="20.100000000000001" customHeight="1">
      <c r="B584" s="134" t="s">
        <v>596</v>
      </c>
      <c r="C584" s="2">
        <f>SUM('Budget Detail FY 2020-27'!M989:M1001)</f>
        <v>137300</v>
      </c>
      <c r="D584" s="2">
        <f>SUM('Budget Detail FY 2020-27'!N989:N1001)</f>
        <v>127366</v>
      </c>
      <c r="E584" s="2">
        <f>SUM('Budget Detail FY 2020-27'!O989:O1001)</f>
        <v>153001</v>
      </c>
      <c r="F584" s="2">
        <f>SUM('Budget Detail FY 2020-27'!P989:P1001)</f>
        <v>160389</v>
      </c>
      <c r="G584" s="2">
        <f>SUM('Budget Detail FY 2020-27'!Q989:Q1001)</f>
        <v>172198</v>
      </c>
      <c r="H584" s="2">
        <f>SUM('Budget Detail FY 2020-27'!R989:R1001)</f>
        <v>173790</v>
      </c>
      <c r="I584" s="2">
        <f>SUM('Budget Detail FY 2020-27'!S989:S1001)</f>
        <v>175472</v>
      </c>
      <c r="J584" s="2">
        <f>SUM('Budget Detail FY 2020-27'!T989:T1001)</f>
        <v>175549</v>
      </c>
      <c r="K584" s="2">
        <f>SUM('Budget Detail FY 2020-27'!U989:U1001)</f>
        <v>177426</v>
      </c>
      <c r="L584" s="663"/>
      <c r="M584" s="663"/>
      <c r="N584" s="660"/>
    </row>
    <row r="585" spans="2:14" ht="20.100000000000001" customHeight="1">
      <c r="B585" s="134" t="s">
        <v>597</v>
      </c>
      <c r="C585" s="2">
        <f>SUM('Budget Detail FY 2020-27'!M1002:M1009)</f>
        <v>23354</v>
      </c>
      <c r="D585" s="2">
        <f>SUM('Budget Detail FY 2020-27'!N1002:N1009)</f>
        <v>18929</v>
      </c>
      <c r="E585" s="2">
        <f>SUM('Budget Detail FY 2020-27'!O1002:O1009)</f>
        <v>25300</v>
      </c>
      <c r="F585" s="2">
        <f>SUM('Budget Detail FY 2020-27'!P1002:P1009)</f>
        <v>26300</v>
      </c>
      <c r="G585" s="2">
        <f>SUM('Budget Detail FY 2020-27'!Q1002:Q1009)</f>
        <v>26300</v>
      </c>
      <c r="H585" s="2">
        <f>SUM('Budget Detail FY 2020-27'!R1002:R1009)</f>
        <v>26300</v>
      </c>
      <c r="I585" s="2">
        <f>SUM('Budget Detail FY 2020-27'!S1002:S1009)</f>
        <v>26300</v>
      </c>
      <c r="J585" s="2">
        <f>SUM('Budget Detail FY 2020-27'!T1002:T1009)</f>
        <v>26300</v>
      </c>
      <c r="K585" s="2">
        <f>SUM('Budget Detail FY 2020-27'!U1002:U1009)</f>
        <v>26300</v>
      </c>
      <c r="L585" s="663"/>
      <c r="M585" s="663"/>
      <c r="N585" s="660"/>
    </row>
    <row r="586" spans="2:14" ht="20.100000000000001" customHeight="1">
      <c r="B586" s="134" t="s">
        <v>543</v>
      </c>
      <c r="C586" s="2">
        <f>SUM('Budget Detail FY 2020-27'!M1011:M1015)</f>
        <v>797013</v>
      </c>
      <c r="D586" s="2">
        <f>SUM('Budget Detail FY 2020-27'!N1011:N1015)</f>
        <v>827088</v>
      </c>
      <c r="E586" s="2">
        <f>SUM('Budget Detail FY 2020-27'!O1011:O1015)</f>
        <v>840225</v>
      </c>
      <c r="F586" s="2">
        <f>SUM('Budget Detail FY 2020-27'!P1011:P1015)</f>
        <v>840225</v>
      </c>
      <c r="G586" s="2">
        <f>SUM('Budget Detail FY 2020-27'!Q1011:Q1015)</f>
        <v>847313</v>
      </c>
      <c r="H586" s="2">
        <f>SUM('Budget Detail FY 2020-27'!R1011:R1015)</f>
        <v>866750</v>
      </c>
      <c r="I586" s="2">
        <f>SUM('Budget Detail FY 2020-27'!S1011:S1015)</f>
        <v>864000</v>
      </c>
      <c r="J586" s="2">
        <f>SUM('Budget Detail FY 2020-27'!T1011:T1015)</f>
        <v>0</v>
      </c>
      <c r="K586" s="2">
        <f>SUM('Budget Detail FY 2020-27'!U1011:U1015)</f>
        <v>0</v>
      </c>
      <c r="L586" s="663"/>
      <c r="M586" s="663"/>
      <c r="N586" s="660"/>
    </row>
    <row r="587" spans="2:14" ht="20.100000000000001" customHeight="1" thickBot="1">
      <c r="B587" s="79" t="s">
        <v>600</v>
      </c>
      <c r="C587" s="433">
        <f>SUM(C582:C586)</f>
        <v>1564096</v>
      </c>
      <c r="D587" s="433">
        <f t="shared" ref="D587:K587" si="64">SUM(D582:D586)</f>
        <v>1568867</v>
      </c>
      <c r="E587" s="433">
        <f t="shared" si="64"/>
        <v>1709443</v>
      </c>
      <c r="F587" s="433">
        <f t="shared" si="64"/>
        <v>1659817</v>
      </c>
      <c r="G587" s="433">
        <f t="shared" si="64"/>
        <v>1748820</v>
      </c>
      <c r="H587" s="433">
        <f t="shared" si="64"/>
        <v>1811884</v>
      </c>
      <c r="I587" s="433">
        <f t="shared" si="64"/>
        <v>1845467</v>
      </c>
      <c r="J587" s="433">
        <f t="shared" si="64"/>
        <v>1016353</v>
      </c>
      <c r="K587" s="433">
        <f t="shared" si="64"/>
        <v>1051193</v>
      </c>
      <c r="L587" s="406"/>
      <c r="M587" s="406"/>
      <c r="N587" s="661"/>
    </row>
    <row r="588" spans="2:14" ht="7.5" customHeight="1">
      <c r="B588" s="80"/>
      <c r="C588" s="2"/>
      <c r="D588" s="2"/>
      <c r="E588" s="2"/>
      <c r="F588" s="2"/>
      <c r="G588" s="2"/>
      <c r="H588" s="2"/>
      <c r="I588" s="2"/>
      <c r="J588" s="2"/>
      <c r="K588" s="2"/>
      <c r="L588" s="663"/>
      <c r="M588" s="663"/>
      <c r="N588" s="161"/>
    </row>
    <row r="589" spans="2:14" ht="20.100000000000001" customHeight="1">
      <c r="B589" s="133" t="s">
        <v>601</v>
      </c>
      <c r="C589" s="49">
        <f t="shared" ref="C589:K589" si="65">+C579-C587</f>
        <v>24335</v>
      </c>
      <c r="D589" s="49">
        <f t="shared" si="65"/>
        <v>59426</v>
      </c>
      <c r="E589" s="49">
        <f t="shared" si="65"/>
        <v>-16741</v>
      </c>
      <c r="F589" s="49">
        <f t="shared" si="65"/>
        <v>37798</v>
      </c>
      <c r="G589" s="49">
        <f t="shared" si="65"/>
        <v>-12047</v>
      </c>
      <c r="H589" s="49">
        <f t="shared" si="65"/>
        <v>-11501</v>
      </c>
      <c r="I589" s="49">
        <f t="shared" si="65"/>
        <v>-19478</v>
      </c>
      <c r="J589" s="49">
        <f t="shared" si="65"/>
        <v>-23061</v>
      </c>
      <c r="K589" s="49">
        <f t="shared" si="65"/>
        <v>-28298</v>
      </c>
      <c r="L589" s="666"/>
      <c r="M589" s="666"/>
      <c r="N589" s="161"/>
    </row>
    <row r="590" spans="2:14" ht="7.5" customHeight="1">
      <c r="B590" s="81"/>
      <c r="C590" s="2"/>
      <c r="D590" s="2"/>
      <c r="E590" s="2"/>
      <c r="F590" s="2"/>
      <c r="G590" s="2"/>
      <c r="H590" s="2"/>
      <c r="I590" s="2"/>
      <c r="J590" s="2"/>
      <c r="K590" s="2"/>
      <c r="L590" s="663"/>
      <c r="M590" s="663"/>
      <c r="N590" s="161"/>
    </row>
    <row r="591" spans="2:14" ht="20.100000000000001" customHeight="1" thickBot="1">
      <c r="B591" s="78" t="s">
        <v>602</v>
      </c>
      <c r="C591" s="431">
        <v>578607</v>
      </c>
      <c r="D591" s="431">
        <v>638033</v>
      </c>
      <c r="E591" s="431">
        <v>578676</v>
      </c>
      <c r="F591" s="431">
        <f>D591+F589</f>
        <v>675831</v>
      </c>
      <c r="G591" s="431">
        <f>F591+G589</f>
        <v>663784</v>
      </c>
      <c r="H591" s="431">
        <f>G591+H589</f>
        <v>652283</v>
      </c>
      <c r="I591" s="431">
        <f>H591+I589</f>
        <v>632805</v>
      </c>
      <c r="J591" s="431">
        <f>I591+J589</f>
        <v>609744</v>
      </c>
      <c r="K591" s="431">
        <f>J591+K589</f>
        <v>581446</v>
      </c>
      <c r="L591" s="406"/>
      <c r="M591" s="406"/>
      <c r="N591" s="161"/>
    </row>
    <row r="592" spans="2:14" ht="14.4" thickTop="1">
      <c r="B592" s="4"/>
      <c r="C592" s="82">
        <f t="shared" ref="C592:K592" si="66">+C591/C587</f>
        <v>0.36993061806947913</v>
      </c>
      <c r="D592" s="82">
        <f t="shared" si="66"/>
        <v>0.40668393178006801</v>
      </c>
      <c r="E592" s="82">
        <f t="shared" si="66"/>
        <v>0.33851728311502638</v>
      </c>
      <c r="F592" s="82">
        <f t="shared" si="66"/>
        <v>0.40717199546697014</v>
      </c>
      <c r="G592" s="82">
        <f t="shared" si="66"/>
        <v>0.37956107546802986</v>
      </c>
      <c r="H592" s="82">
        <f t="shared" si="66"/>
        <v>0.36000262709974812</v>
      </c>
      <c r="I592" s="82">
        <f t="shared" si="66"/>
        <v>0.3428969469516388</v>
      </c>
      <c r="J592" s="82">
        <f t="shared" si="66"/>
        <v>0.59993329089401026</v>
      </c>
      <c r="K592" s="82">
        <f t="shared" si="66"/>
        <v>0.55312963461514675</v>
      </c>
      <c r="L592" s="670"/>
      <c r="M592" s="670"/>
      <c r="N592" s="161"/>
    </row>
    <row r="593" spans="2:14" ht="14.4">
      <c r="B593" s="150" t="s">
        <v>1076</v>
      </c>
      <c r="C593" s="149">
        <f t="shared" ref="C593:K593" si="67">C591/(C587-C586)</f>
        <v>0.75429516753728088</v>
      </c>
      <c r="D593" s="149">
        <f t="shared" si="67"/>
        <v>0.86013893625999116</v>
      </c>
      <c r="E593" s="149">
        <f t="shared" si="67"/>
        <v>0.66574323127224699</v>
      </c>
      <c r="F593" s="149">
        <f t="shared" si="67"/>
        <v>0.82459443235170671</v>
      </c>
      <c r="G593" s="149">
        <f t="shared" si="67"/>
        <v>0.73630487616846019</v>
      </c>
      <c r="H593" s="149">
        <f t="shared" si="67"/>
        <v>0.69014869849143079</v>
      </c>
      <c r="I593" s="149">
        <f t="shared" si="67"/>
        <v>0.64475423014732025</v>
      </c>
      <c r="J593" s="149">
        <f t="shared" si="67"/>
        <v>0.59993329089401026</v>
      </c>
      <c r="K593" s="149">
        <f t="shared" si="67"/>
        <v>0.55312963461514675</v>
      </c>
      <c r="L593" s="670"/>
      <c r="M593" s="670"/>
      <c r="N593" s="161"/>
    </row>
    <row r="594" spans="2:14" ht="7.5" customHeight="1">
      <c r="B594" s="4"/>
      <c r="C594" s="85"/>
      <c r="D594" s="85"/>
      <c r="E594" s="85"/>
      <c r="F594" s="85"/>
      <c r="G594" s="85"/>
      <c r="H594" s="85"/>
      <c r="I594" s="85"/>
      <c r="J594" s="85"/>
      <c r="K594" s="85"/>
      <c r="L594" s="678"/>
      <c r="M594" s="678"/>
      <c r="N594" s="161"/>
    </row>
    <row r="595" spans="2:14">
      <c r="B595" s="4"/>
      <c r="C595" s="2"/>
      <c r="D595" s="2"/>
      <c r="E595" s="2"/>
      <c r="F595" s="2"/>
      <c r="G595" s="2"/>
      <c r="H595" s="2"/>
      <c r="I595" s="2"/>
      <c r="J595" s="2"/>
      <c r="K595" s="2"/>
      <c r="L595" s="663"/>
      <c r="M595" s="663"/>
      <c r="N595" s="161"/>
    </row>
    <row r="596" spans="2:14">
      <c r="B596" s="1"/>
      <c r="C596" s="2"/>
      <c r="D596" s="2"/>
      <c r="E596" s="2"/>
      <c r="F596" s="2"/>
      <c r="G596" s="2"/>
      <c r="H596" s="2"/>
      <c r="I596" s="2"/>
      <c r="J596" s="2"/>
      <c r="K596" s="2"/>
      <c r="L596" s="663"/>
      <c r="M596" s="663"/>
      <c r="N596" s="161"/>
    </row>
    <row r="597" spans="2:14">
      <c r="B597" s="1"/>
      <c r="C597" s="2"/>
      <c r="D597" s="2"/>
      <c r="E597" s="2"/>
      <c r="F597" s="2"/>
      <c r="G597" s="2"/>
      <c r="H597" s="2"/>
      <c r="I597" s="2"/>
      <c r="J597" s="2"/>
      <c r="K597" s="2"/>
      <c r="L597" s="663"/>
      <c r="M597" s="663"/>
      <c r="N597" s="161"/>
    </row>
    <row r="598" spans="2:14">
      <c r="B598" s="1"/>
      <c r="C598" s="2"/>
      <c r="D598" s="2"/>
      <c r="E598" s="2"/>
      <c r="F598" s="2"/>
      <c r="G598" s="2"/>
      <c r="H598" s="2"/>
      <c r="I598" s="2"/>
      <c r="J598" s="2"/>
      <c r="K598" s="2"/>
      <c r="L598" s="663"/>
      <c r="M598" s="663"/>
      <c r="N598" s="161"/>
    </row>
    <row r="599" spans="2:14">
      <c r="B599" s="1"/>
      <c r="C599" s="2"/>
      <c r="D599" s="2"/>
      <c r="E599" s="2"/>
      <c r="F599" s="2"/>
      <c r="G599" s="2"/>
      <c r="H599" s="2"/>
      <c r="I599" s="2"/>
      <c r="J599" s="2"/>
      <c r="K599" s="2"/>
      <c r="L599" s="663"/>
      <c r="M599" s="663"/>
      <c r="N599" s="161"/>
    </row>
    <row r="600" spans="2:14">
      <c r="B600" s="1"/>
      <c r="C600" s="2"/>
      <c r="D600" s="2"/>
      <c r="E600" s="2"/>
      <c r="F600" s="2"/>
      <c r="G600" s="2"/>
      <c r="H600" s="2"/>
      <c r="I600" s="2"/>
      <c r="J600" s="2"/>
      <c r="K600" s="2"/>
      <c r="L600" s="663"/>
      <c r="M600" s="663"/>
      <c r="N600" s="161"/>
    </row>
    <row r="601" spans="2:14">
      <c r="B601" s="1"/>
      <c r="C601" s="2"/>
      <c r="D601" s="2"/>
      <c r="E601" s="2"/>
      <c r="F601" s="2"/>
      <c r="G601" s="2"/>
      <c r="H601" s="2"/>
      <c r="I601" s="2"/>
      <c r="J601" s="2"/>
      <c r="K601" s="2"/>
      <c r="L601" s="663"/>
      <c r="M601" s="663"/>
      <c r="N601" s="161"/>
    </row>
    <row r="602" spans="2:14">
      <c r="B602" s="1"/>
      <c r="C602" s="2"/>
      <c r="D602" s="2"/>
      <c r="E602" s="2"/>
      <c r="F602" s="2"/>
      <c r="G602" s="2"/>
      <c r="H602" s="2"/>
      <c r="I602" s="2"/>
      <c r="J602" s="2"/>
      <c r="K602" s="2"/>
      <c r="L602" s="663"/>
      <c r="M602" s="663"/>
      <c r="N602" s="161"/>
    </row>
    <row r="603" spans="2:14">
      <c r="B603" s="1"/>
      <c r="C603" s="2"/>
      <c r="D603" s="2"/>
      <c r="E603" s="2"/>
      <c r="F603" s="2"/>
      <c r="G603" s="2"/>
      <c r="H603" s="2"/>
      <c r="I603" s="2"/>
      <c r="J603" s="2"/>
      <c r="K603" s="2"/>
      <c r="L603" s="663"/>
      <c r="M603" s="663"/>
      <c r="N603" s="161"/>
    </row>
    <row r="604" spans="2:14">
      <c r="B604" s="1"/>
      <c r="C604" s="2"/>
      <c r="D604" s="2"/>
      <c r="E604" s="2"/>
      <c r="F604" s="2"/>
      <c r="G604" s="2"/>
      <c r="H604" s="2"/>
      <c r="I604" s="2"/>
      <c r="J604" s="2"/>
      <c r="K604" s="2"/>
      <c r="L604" s="663"/>
      <c r="M604" s="663"/>
      <c r="N604" s="161"/>
    </row>
    <row r="605" spans="2:14">
      <c r="B605" s="1"/>
      <c r="C605" s="2"/>
      <c r="D605" s="2"/>
      <c r="E605" s="2"/>
      <c r="F605" s="2"/>
      <c r="G605" s="2"/>
      <c r="H605" s="2"/>
      <c r="I605" s="2"/>
      <c r="J605" s="2"/>
      <c r="K605" s="2"/>
      <c r="L605" s="663"/>
      <c r="M605" s="663"/>
      <c r="N605" s="161"/>
    </row>
    <row r="606" spans="2:14">
      <c r="B606" s="1"/>
      <c r="C606" s="2"/>
      <c r="D606" s="2"/>
      <c r="E606" s="2"/>
      <c r="F606" s="2"/>
      <c r="G606" s="2"/>
      <c r="H606" s="2"/>
      <c r="I606" s="2"/>
      <c r="J606" s="2"/>
      <c r="K606" s="2"/>
      <c r="L606" s="663"/>
      <c r="M606" s="663"/>
      <c r="N606" s="161"/>
    </row>
    <row r="607" spans="2:14">
      <c r="B607" s="1"/>
      <c r="C607" s="2"/>
      <c r="D607" s="2"/>
      <c r="E607" s="2"/>
      <c r="F607" s="2"/>
      <c r="G607" s="2"/>
      <c r="H607" s="2"/>
      <c r="I607" s="2"/>
      <c r="J607" s="2"/>
      <c r="K607" s="2"/>
      <c r="L607" s="663"/>
      <c r="M607" s="663"/>
      <c r="N607" s="161"/>
    </row>
    <row r="608" spans="2:14">
      <c r="B608" s="1"/>
      <c r="C608" s="2"/>
      <c r="D608" s="2"/>
      <c r="E608" s="2"/>
      <c r="F608" s="2"/>
      <c r="G608" s="2"/>
      <c r="H608" s="2"/>
      <c r="I608" s="2"/>
      <c r="J608" s="2"/>
      <c r="K608" s="2"/>
      <c r="L608" s="663"/>
      <c r="M608" s="663"/>
      <c r="N608" s="161"/>
    </row>
    <row r="609" spans="2:14" ht="17.399999999999999">
      <c r="B609" s="682" t="s">
        <v>624</v>
      </c>
      <c r="C609" s="682"/>
      <c r="D609" s="682"/>
      <c r="E609" s="682"/>
      <c r="F609" s="682"/>
      <c r="G609" s="682"/>
      <c r="H609" s="682"/>
      <c r="I609" s="682"/>
      <c r="J609" s="682"/>
      <c r="K609" s="682"/>
      <c r="L609" s="662"/>
      <c r="M609" s="662"/>
      <c r="N609" s="161"/>
    </row>
    <row r="610" spans="2:14">
      <c r="B610" s="43" t="s">
        <v>566</v>
      </c>
      <c r="C610" s="2"/>
      <c r="D610" s="2"/>
      <c r="E610" s="2"/>
      <c r="F610" s="2"/>
      <c r="G610" s="2"/>
      <c r="H610" s="2"/>
      <c r="I610" s="2"/>
      <c r="J610" s="2"/>
      <c r="K610" s="2"/>
      <c r="L610" s="663"/>
      <c r="M610" s="663"/>
      <c r="N610" s="161"/>
    </row>
    <row r="611" spans="2:14" ht="12.75" customHeight="1">
      <c r="B611" s="683" t="s">
        <v>821</v>
      </c>
      <c r="C611" s="683"/>
      <c r="D611" s="683"/>
      <c r="E611" s="683"/>
      <c r="F611" s="683"/>
      <c r="G611" s="683"/>
      <c r="H611" s="683"/>
      <c r="I611" s="683"/>
      <c r="J611" s="683"/>
      <c r="K611" s="683"/>
      <c r="L611" s="664"/>
      <c r="M611" s="664"/>
      <c r="N611" s="161"/>
    </row>
    <row r="612" spans="2:14" ht="18" customHeight="1">
      <c r="B612" s="683"/>
      <c r="C612" s="683"/>
      <c r="D612" s="683"/>
      <c r="E612" s="683"/>
      <c r="F612" s="683"/>
      <c r="G612" s="683"/>
      <c r="H612" s="683"/>
      <c r="I612" s="683"/>
      <c r="J612" s="683"/>
      <c r="K612" s="683"/>
      <c r="L612" s="664"/>
      <c r="M612" s="664"/>
      <c r="N612" s="161"/>
    </row>
    <row r="613" spans="2:14">
      <c r="B613" s="19"/>
      <c r="C613" s="16"/>
      <c r="D613" s="16"/>
      <c r="E613" s="16"/>
      <c r="F613" s="16"/>
      <c r="G613" s="16"/>
      <c r="H613" s="2"/>
      <c r="I613" s="2"/>
      <c r="J613" s="2"/>
      <c r="K613" s="2"/>
      <c r="L613" s="663"/>
      <c r="M613" s="663"/>
      <c r="N613" s="161"/>
    </row>
    <row r="614" spans="2:14">
      <c r="B614" s="4"/>
      <c r="C614" s="43"/>
      <c r="D614" s="573"/>
      <c r="E614" s="43" t="s">
        <v>815</v>
      </c>
      <c r="F614" s="573"/>
      <c r="G614" s="43" t="s">
        <v>816</v>
      </c>
      <c r="H614" s="573"/>
      <c r="I614" s="573"/>
      <c r="J614" s="573"/>
      <c r="K614" s="573"/>
      <c r="L614" s="304"/>
      <c r="M614" s="304"/>
      <c r="N614" s="161"/>
    </row>
    <row r="615" spans="2:14">
      <c r="B615" s="43"/>
      <c r="C615" s="43" t="s">
        <v>813</v>
      </c>
      <c r="D615" s="43" t="s">
        <v>814</v>
      </c>
      <c r="E615" s="43" t="s">
        <v>583</v>
      </c>
      <c r="F615" s="43" t="s">
        <v>815</v>
      </c>
      <c r="G615" s="156" t="str">
        <f>'Fund Cover Sheets'!$N$1</f>
        <v>Adopted</v>
      </c>
      <c r="H615" s="43" t="s">
        <v>817</v>
      </c>
      <c r="I615" s="43" t="s">
        <v>818</v>
      </c>
      <c r="J615" s="43" t="s">
        <v>819</v>
      </c>
      <c r="K615" s="43" t="s">
        <v>820</v>
      </c>
      <c r="L615" s="665"/>
      <c r="M615" s="665"/>
      <c r="N615" s="161"/>
    </row>
    <row r="616" spans="2:14" ht="14.4" thickBot="1">
      <c r="B616" s="44"/>
      <c r="C616" s="45" t="s">
        <v>1</v>
      </c>
      <c r="D616" s="45" t="s">
        <v>1</v>
      </c>
      <c r="E616" s="45" t="s">
        <v>553</v>
      </c>
      <c r="F616" s="45" t="s">
        <v>19</v>
      </c>
      <c r="G616" s="45" t="s">
        <v>553</v>
      </c>
      <c r="H616" s="45" t="s">
        <v>19</v>
      </c>
      <c r="I616" s="45" t="s">
        <v>19</v>
      </c>
      <c r="J616" s="45" t="s">
        <v>19</v>
      </c>
      <c r="K616" s="45" t="s">
        <v>19</v>
      </c>
      <c r="L616" s="566"/>
      <c r="M616" s="566"/>
      <c r="N616" s="161"/>
    </row>
    <row r="617" spans="2:14">
      <c r="B617" s="1"/>
      <c r="C617" s="52"/>
      <c r="D617" s="2"/>
      <c r="E617" s="2"/>
      <c r="F617" s="2"/>
      <c r="G617" s="2"/>
      <c r="H617" s="2"/>
      <c r="I617" s="2"/>
      <c r="J617" s="2"/>
      <c r="K617" s="2"/>
      <c r="L617" s="663"/>
      <c r="M617" s="663"/>
      <c r="N617" s="161"/>
    </row>
    <row r="618" spans="2:14">
      <c r="B618" s="80" t="s">
        <v>1273</v>
      </c>
      <c r="C618" s="2"/>
      <c r="D618" s="2"/>
      <c r="E618" s="2"/>
      <c r="F618" s="2"/>
      <c r="G618" s="2"/>
      <c r="H618" s="2"/>
      <c r="I618" s="2"/>
      <c r="J618" s="2"/>
      <c r="K618" s="2"/>
      <c r="L618" s="663"/>
      <c r="M618" s="663"/>
      <c r="N618" s="161"/>
    </row>
    <row r="619" spans="2:14" ht="20.100000000000001" customHeight="1">
      <c r="B619" s="134" t="s">
        <v>586</v>
      </c>
      <c r="C619" s="49">
        <f>'Budget Detail FY 2020-27'!M1033</f>
        <v>110775</v>
      </c>
      <c r="D619" s="49">
        <f>'Budget Detail FY 2020-27'!N1033</f>
        <v>104600</v>
      </c>
      <c r="E619" s="49">
        <f>'Budget Detail FY 2020-27'!O1033</f>
        <v>50000</v>
      </c>
      <c r="F619" s="49">
        <f>'Budget Detail FY 2020-27'!P1033</f>
        <v>110000</v>
      </c>
      <c r="G619" s="49">
        <f>'Budget Detail FY 2020-27'!Q1033</f>
        <v>50000</v>
      </c>
      <c r="H619" s="49">
        <f>'Budget Detail FY 2020-27'!R1033</f>
        <v>50000</v>
      </c>
      <c r="I619" s="49">
        <f>'Budget Detail FY 2020-27'!S1033</f>
        <v>50000</v>
      </c>
      <c r="J619" s="49">
        <f>'Budget Detail FY 2020-27'!T1033</f>
        <v>50000</v>
      </c>
      <c r="K619" s="49">
        <f>'Budget Detail FY 2020-27'!U1033</f>
        <v>50000</v>
      </c>
      <c r="L619" s="666"/>
      <c r="M619" s="666"/>
      <c r="N619" s="161"/>
    </row>
    <row r="620" spans="2:14" ht="20.100000000000001" customHeight="1">
      <c r="B620" s="134" t="s">
        <v>589</v>
      </c>
      <c r="C620" s="2">
        <f>'Budget Detail FY 2020-27'!M1034</f>
        <v>658</v>
      </c>
      <c r="D620" s="2">
        <f>'Budget Detail FY 2020-27'!N1034</f>
        <v>182</v>
      </c>
      <c r="E620" s="2">
        <f>'Budget Detail FY 2020-27'!O1034</f>
        <v>200</v>
      </c>
      <c r="F620" s="2">
        <f>'Budget Detail FY 2020-27'!P1034</f>
        <v>190</v>
      </c>
      <c r="G620" s="2">
        <f>'Budget Detail FY 2020-27'!Q1034</f>
        <v>350</v>
      </c>
      <c r="H620" s="2">
        <f>'Budget Detail FY 2020-27'!R1034</f>
        <v>500</v>
      </c>
      <c r="I620" s="2">
        <f>'Budget Detail FY 2020-27'!S1034</f>
        <v>750</v>
      </c>
      <c r="J620" s="2">
        <f>'Budget Detail FY 2020-27'!T1034</f>
        <v>1000</v>
      </c>
      <c r="K620" s="2">
        <f>'Budget Detail FY 2020-27'!U1034</f>
        <v>1500</v>
      </c>
      <c r="L620" s="663"/>
      <c r="M620" s="663"/>
      <c r="N620" s="161"/>
    </row>
    <row r="621" spans="2:14" ht="20.100000000000001" customHeight="1">
      <c r="B621" s="134" t="s">
        <v>591</v>
      </c>
      <c r="C621" s="2">
        <f>'Budget Detail FY 2020-27'!M1035</f>
        <v>-1780</v>
      </c>
      <c r="D621" s="2">
        <f>'Budget Detail FY 2020-27'!N1035</f>
        <v>31</v>
      </c>
      <c r="E621" s="2">
        <f>'Budget Detail FY 2020-27'!O1035</f>
        <v>0</v>
      </c>
      <c r="F621" s="2">
        <f>'Budget Detail FY 2020-27'!P1035</f>
        <v>0</v>
      </c>
      <c r="G621" s="2">
        <f>'Budget Detail FY 2020-27'!Q1035</f>
        <v>0</v>
      </c>
      <c r="H621" s="2">
        <f>'Budget Detail FY 2020-27'!R1035</f>
        <v>0</v>
      </c>
      <c r="I621" s="2">
        <f>'Budget Detail FY 2020-27'!S1035</f>
        <v>0</v>
      </c>
      <c r="J621" s="2">
        <f>'Budget Detail FY 2020-27'!T1035</f>
        <v>0</v>
      </c>
      <c r="K621" s="2">
        <f>'Budget Detail FY 2020-27'!U1035</f>
        <v>0</v>
      </c>
      <c r="L621" s="663"/>
      <c r="M621" s="663"/>
      <c r="N621" s="161"/>
    </row>
    <row r="622" spans="2:14" ht="20.100000000000001" customHeight="1" thickBot="1">
      <c r="B622" s="79" t="s">
        <v>1241</v>
      </c>
      <c r="C622" s="433">
        <f>SUM(C619:C621)</f>
        <v>109653</v>
      </c>
      <c r="D622" s="433">
        <f t="shared" ref="D622:K622" si="68">SUM(D619:D621)</f>
        <v>104813</v>
      </c>
      <c r="E622" s="433">
        <f t="shared" si="68"/>
        <v>50200</v>
      </c>
      <c r="F622" s="433">
        <f t="shared" si="68"/>
        <v>110190</v>
      </c>
      <c r="G622" s="433">
        <f t="shared" si="68"/>
        <v>50350</v>
      </c>
      <c r="H622" s="433">
        <f t="shared" si="68"/>
        <v>50500</v>
      </c>
      <c r="I622" s="433">
        <f t="shared" si="68"/>
        <v>50750</v>
      </c>
      <c r="J622" s="433">
        <f t="shared" si="68"/>
        <v>51000</v>
      </c>
      <c r="K622" s="433">
        <f t="shared" si="68"/>
        <v>51500</v>
      </c>
      <c r="L622" s="406"/>
      <c r="M622" s="406"/>
      <c r="N622" s="161"/>
    </row>
    <row r="623" spans="2:14">
      <c r="B623" s="1"/>
      <c r="C623" s="2"/>
      <c r="D623" s="2"/>
      <c r="E623" s="2"/>
      <c r="F623" s="2"/>
      <c r="G623" s="2"/>
      <c r="H623" s="2"/>
      <c r="I623" s="2"/>
      <c r="J623" s="2"/>
      <c r="K623" s="2"/>
      <c r="L623" s="663"/>
      <c r="M623" s="663"/>
      <c r="N623" s="161"/>
    </row>
    <row r="624" spans="2:14">
      <c r="B624" s="80" t="s">
        <v>424</v>
      </c>
      <c r="C624" s="2"/>
      <c r="D624" s="2"/>
      <c r="E624" s="2"/>
      <c r="F624" s="2"/>
      <c r="G624" s="2"/>
      <c r="H624" s="2"/>
      <c r="I624" s="2"/>
      <c r="J624" s="2"/>
      <c r="K624" s="2"/>
      <c r="L624" s="663"/>
      <c r="M624" s="663"/>
      <c r="N624" s="161"/>
    </row>
    <row r="625" spans="2:14" ht="20.100000000000001" customHeight="1">
      <c r="B625" s="134" t="s">
        <v>596</v>
      </c>
      <c r="C625" s="49">
        <f>'Budget Detail FY 2020-27'!M1039</f>
        <v>3000</v>
      </c>
      <c r="D625" s="49">
        <f>'Budget Detail FY 2020-27'!N1039</f>
        <v>3347</v>
      </c>
      <c r="E625" s="49">
        <f>'Budget Detail FY 2020-27'!O1039</f>
        <v>3500</v>
      </c>
      <c r="F625" s="49">
        <f>'Budget Detail FY 2020-27'!P1039</f>
        <v>3500</v>
      </c>
      <c r="G625" s="49">
        <f>'Budget Detail FY 2020-27'!Q1039</f>
        <v>3500</v>
      </c>
      <c r="H625" s="49">
        <f>'Budget Detail FY 2020-27'!R1039</f>
        <v>3500</v>
      </c>
      <c r="I625" s="49">
        <f>'Budget Detail FY 2020-27'!S1039</f>
        <v>3500</v>
      </c>
      <c r="J625" s="49">
        <f>'Budget Detail FY 2020-27'!T1039</f>
        <v>3500</v>
      </c>
      <c r="K625" s="49">
        <f>'Budget Detail FY 2020-27'!U1039</f>
        <v>3500</v>
      </c>
      <c r="L625" s="666"/>
      <c r="M625" s="666"/>
      <c r="N625" s="161"/>
    </row>
    <row r="626" spans="2:14" ht="20.100000000000001" customHeight="1">
      <c r="B626" s="134" t="s">
        <v>597</v>
      </c>
      <c r="C626" s="2">
        <f>SUM('Budget Detail FY 2020-27'!M1040:M1044)</f>
        <v>66330</v>
      </c>
      <c r="D626" s="2">
        <f>SUM('Budget Detail FY 2020-27'!N1040:N1044)</f>
        <v>55862</v>
      </c>
      <c r="E626" s="2">
        <f>SUM('Budget Detail FY 2020-27'!O1040:O1044)</f>
        <v>72000</v>
      </c>
      <c r="F626" s="2">
        <f>SUM('Budget Detail FY 2020-27'!P1040:P1044)</f>
        <v>76100</v>
      </c>
      <c r="G626" s="2">
        <f>SUM('Budget Detail FY 2020-27'!Q1040:Q1044)</f>
        <v>82000</v>
      </c>
      <c r="H626" s="2">
        <f>SUM('Budget Detail FY 2020-27'!R1040:R1044)</f>
        <v>82000</v>
      </c>
      <c r="I626" s="2">
        <f>SUM('Budget Detail FY 2020-27'!S1040:S1044)</f>
        <v>82000</v>
      </c>
      <c r="J626" s="2">
        <f>SUM('Budget Detail FY 2020-27'!T1040:T1044)</f>
        <v>82000</v>
      </c>
      <c r="K626" s="2">
        <f>SUM('Budget Detail FY 2020-27'!U1040:U1044)</f>
        <v>57910</v>
      </c>
      <c r="L626" s="663"/>
      <c r="M626" s="663"/>
      <c r="N626" s="161"/>
    </row>
    <row r="627" spans="2:14" s="568" customFormat="1" ht="20.100000000000001" customHeight="1">
      <c r="B627" s="134" t="s">
        <v>598</v>
      </c>
      <c r="C627" s="2">
        <f>'Budget Detail FY 2020-27'!M1045</f>
        <v>0</v>
      </c>
      <c r="D627" s="2">
        <f>'Budget Detail FY 2020-27'!N1045</f>
        <v>0</v>
      </c>
      <c r="E627" s="2">
        <f>'Budget Detail FY 2020-27'!O1045</f>
        <v>20000</v>
      </c>
      <c r="F627" s="2">
        <f>'Budget Detail FY 2020-27'!P1045</f>
        <v>18916</v>
      </c>
      <c r="G627" s="2">
        <f>'Budget Detail FY 2020-27'!Q1045</f>
        <v>0</v>
      </c>
      <c r="H627" s="2">
        <f>'Budget Detail FY 2020-27'!R1045</f>
        <v>0</v>
      </c>
      <c r="I627" s="2">
        <f>'Budget Detail FY 2020-27'!S1045</f>
        <v>0</v>
      </c>
      <c r="J627" s="2">
        <f>'Budget Detail FY 2020-27'!T1045</f>
        <v>0</v>
      </c>
      <c r="K627" s="2">
        <f>'Budget Detail FY 2020-27'!U1045</f>
        <v>0</v>
      </c>
      <c r="L627" s="663"/>
      <c r="M627" s="663"/>
      <c r="N627" s="161"/>
    </row>
    <row r="628" spans="2:14" ht="20.100000000000001" customHeight="1" thickBot="1">
      <c r="B628" s="79" t="s">
        <v>600</v>
      </c>
      <c r="C628" s="433">
        <f t="shared" ref="C628:K628" si="69">SUM(C625:C627)</f>
        <v>69330</v>
      </c>
      <c r="D628" s="433">
        <f t="shared" si="69"/>
        <v>59209</v>
      </c>
      <c r="E628" s="433">
        <f t="shared" si="69"/>
        <v>95500</v>
      </c>
      <c r="F628" s="433">
        <f t="shared" si="69"/>
        <v>98516</v>
      </c>
      <c r="G628" s="433">
        <f t="shared" si="69"/>
        <v>85500</v>
      </c>
      <c r="H628" s="433">
        <f t="shared" si="69"/>
        <v>85500</v>
      </c>
      <c r="I628" s="433">
        <f t="shared" si="69"/>
        <v>85500</v>
      </c>
      <c r="J628" s="433">
        <f t="shared" si="69"/>
        <v>85500</v>
      </c>
      <c r="K628" s="433">
        <f t="shared" si="69"/>
        <v>61410</v>
      </c>
      <c r="L628" s="406"/>
      <c r="M628" s="406"/>
      <c r="N628" s="661"/>
    </row>
    <row r="629" spans="2:14">
      <c r="B629" s="80"/>
      <c r="C629" s="2"/>
      <c r="D629" s="2"/>
      <c r="E629" s="2"/>
      <c r="F629" s="2"/>
      <c r="G629" s="2"/>
      <c r="H629" s="2"/>
      <c r="I629" s="2"/>
      <c r="J629" s="2"/>
      <c r="K629" s="2"/>
      <c r="L629" s="663"/>
      <c r="M629" s="663"/>
      <c r="N629" s="161"/>
    </row>
    <row r="630" spans="2:14" ht="20.100000000000001" customHeight="1">
      <c r="B630" s="133" t="s">
        <v>601</v>
      </c>
      <c r="C630" s="49">
        <f t="shared" ref="C630:K630" si="70">C622-C628</f>
        <v>40323</v>
      </c>
      <c r="D630" s="49">
        <f t="shared" si="70"/>
        <v>45604</v>
      </c>
      <c r="E630" s="49">
        <f t="shared" si="70"/>
        <v>-45300</v>
      </c>
      <c r="F630" s="49">
        <f t="shared" si="70"/>
        <v>11674</v>
      </c>
      <c r="G630" s="49">
        <f t="shared" si="70"/>
        <v>-35150</v>
      </c>
      <c r="H630" s="49">
        <f t="shared" si="70"/>
        <v>-35000</v>
      </c>
      <c r="I630" s="49">
        <f t="shared" si="70"/>
        <v>-34750</v>
      </c>
      <c r="J630" s="49">
        <f t="shared" si="70"/>
        <v>-34500</v>
      </c>
      <c r="K630" s="49">
        <f t="shared" si="70"/>
        <v>-9910</v>
      </c>
      <c r="L630" s="666"/>
      <c r="M630" s="666"/>
      <c r="N630" s="161"/>
    </row>
    <row r="631" spans="2:14">
      <c r="B631" s="81"/>
      <c r="C631" s="2"/>
      <c r="D631" s="2"/>
      <c r="E631" s="2"/>
      <c r="F631" s="2"/>
      <c r="G631" s="2"/>
      <c r="H631" s="2"/>
      <c r="I631" s="2"/>
      <c r="J631" s="2"/>
      <c r="K631" s="2"/>
      <c r="L631" s="663"/>
      <c r="M631" s="663"/>
      <c r="N631" s="161"/>
    </row>
    <row r="632" spans="2:14" ht="20.100000000000001" customHeight="1" thickBot="1">
      <c r="B632" s="78" t="s">
        <v>602</v>
      </c>
      <c r="C632" s="431">
        <v>123583</v>
      </c>
      <c r="D632" s="431">
        <v>169188</v>
      </c>
      <c r="E632" s="431">
        <v>107933</v>
      </c>
      <c r="F632" s="431">
        <f>D632+F630</f>
        <v>180862</v>
      </c>
      <c r="G632" s="431">
        <f>F632+G630</f>
        <v>145712</v>
      </c>
      <c r="H632" s="431">
        <f>G632+H630</f>
        <v>110712</v>
      </c>
      <c r="I632" s="431">
        <f>H632+I630</f>
        <v>75962</v>
      </c>
      <c r="J632" s="431">
        <f>I632+J630</f>
        <v>41462</v>
      </c>
      <c r="K632" s="431">
        <f>J632+K630</f>
        <v>31552</v>
      </c>
      <c r="L632" s="406"/>
      <c r="M632" s="406"/>
      <c r="N632" s="161"/>
    </row>
    <row r="633" spans="2:14" ht="14.4" thickTop="1">
      <c r="B633" s="4"/>
      <c r="C633" s="2"/>
      <c r="D633" s="2"/>
      <c r="E633" s="2"/>
      <c r="F633" s="2"/>
      <c r="G633" s="2"/>
      <c r="H633" s="2"/>
      <c r="I633" s="2"/>
      <c r="J633" s="2"/>
      <c r="K633" s="2"/>
      <c r="L633" s="663"/>
      <c r="M633" s="663"/>
      <c r="N633" s="161"/>
    </row>
    <row r="634" spans="2:14">
      <c r="B634" s="4"/>
      <c r="C634" s="2"/>
      <c r="D634" s="2"/>
      <c r="E634" s="2"/>
      <c r="F634" s="2"/>
      <c r="G634" s="2"/>
      <c r="H634" s="2"/>
      <c r="I634" s="2"/>
      <c r="J634" s="2"/>
      <c r="K634" s="2"/>
      <c r="L634" s="663"/>
      <c r="M634" s="663"/>
      <c r="N634" s="161"/>
    </row>
    <row r="635" spans="2:14">
      <c r="B635" s="1"/>
      <c r="C635" s="2"/>
      <c r="D635" s="2"/>
      <c r="E635" s="2"/>
      <c r="F635" s="2"/>
      <c r="G635" s="2"/>
      <c r="H635" s="2"/>
      <c r="I635" s="2"/>
      <c r="J635" s="2"/>
      <c r="K635" s="2"/>
      <c r="L635" s="663"/>
      <c r="M635" s="663"/>
      <c r="N635" s="161"/>
    </row>
    <row r="636" spans="2:14">
      <c r="B636" s="1"/>
      <c r="C636" s="2"/>
      <c r="D636" s="2"/>
      <c r="E636" s="2"/>
      <c r="F636" s="2"/>
      <c r="G636" s="2"/>
      <c r="H636" s="2"/>
      <c r="I636" s="2"/>
      <c r="J636" s="2"/>
      <c r="K636" s="2"/>
      <c r="L636" s="663"/>
      <c r="M636" s="663"/>
      <c r="N636" s="161"/>
    </row>
    <row r="637" spans="2:14">
      <c r="B637" s="1"/>
      <c r="C637" s="2"/>
      <c r="D637" s="2"/>
      <c r="E637" s="2"/>
      <c r="F637" s="2"/>
      <c r="G637" s="2"/>
      <c r="H637" s="2"/>
      <c r="I637" s="2"/>
      <c r="J637" s="2"/>
      <c r="K637" s="2"/>
      <c r="L637" s="663"/>
      <c r="M637" s="663"/>
      <c r="N637" s="161"/>
    </row>
    <row r="638" spans="2:14">
      <c r="B638" s="1"/>
      <c r="C638" s="2"/>
      <c r="D638" s="2"/>
      <c r="E638" s="2"/>
      <c r="F638" s="2"/>
      <c r="G638" s="2"/>
      <c r="H638" s="2"/>
      <c r="I638" s="2"/>
      <c r="J638" s="2"/>
      <c r="K638" s="2"/>
      <c r="L638" s="663"/>
      <c r="M638" s="663"/>
      <c r="N638" s="161"/>
    </row>
    <row r="639" spans="2:14">
      <c r="B639" s="1"/>
      <c r="C639" s="2"/>
      <c r="D639" s="2"/>
      <c r="E639" s="2"/>
      <c r="F639" s="2"/>
      <c r="G639" s="2"/>
      <c r="H639" s="2"/>
      <c r="I639" s="2"/>
      <c r="J639" s="2"/>
      <c r="K639" s="2"/>
      <c r="L639" s="663"/>
      <c r="M639" s="663"/>
      <c r="N639" s="161"/>
    </row>
    <row r="640" spans="2:14">
      <c r="B640" s="1"/>
      <c r="C640" s="2"/>
      <c r="D640" s="2"/>
      <c r="E640" s="2"/>
      <c r="F640" s="2"/>
      <c r="G640" s="2"/>
      <c r="H640" s="2"/>
      <c r="I640" s="2"/>
      <c r="J640" s="2"/>
      <c r="K640" s="2"/>
      <c r="L640" s="663"/>
      <c r="M640" s="663"/>
      <c r="N640" s="161"/>
    </row>
    <row r="641" spans="2:14">
      <c r="B641" s="1"/>
      <c r="C641" s="2"/>
      <c r="D641" s="2"/>
      <c r="E641" s="2"/>
      <c r="F641" s="2"/>
      <c r="G641" s="2"/>
      <c r="H641" s="2"/>
      <c r="I641" s="2"/>
      <c r="J641" s="2"/>
      <c r="K641" s="2"/>
      <c r="L641" s="663"/>
      <c r="M641" s="663"/>
      <c r="N641" s="161"/>
    </row>
    <row r="642" spans="2:14">
      <c r="B642" s="1"/>
      <c r="C642" s="2"/>
      <c r="D642" s="2"/>
      <c r="E642" s="2"/>
      <c r="F642" s="2"/>
      <c r="G642" s="2"/>
      <c r="H642" s="2"/>
      <c r="I642" s="2"/>
      <c r="J642" s="2"/>
      <c r="K642" s="2"/>
      <c r="L642" s="663"/>
      <c r="M642" s="663"/>
      <c r="N642" s="161"/>
    </row>
    <row r="643" spans="2:14">
      <c r="B643" s="1"/>
      <c r="C643" s="2"/>
      <c r="D643" s="2"/>
      <c r="E643" s="2"/>
      <c r="F643" s="2"/>
      <c r="G643" s="2"/>
      <c r="H643" s="2"/>
      <c r="I643" s="2"/>
      <c r="J643" s="2"/>
      <c r="K643" s="2"/>
      <c r="L643" s="663"/>
      <c r="M643" s="663"/>
      <c r="N643" s="161"/>
    </row>
    <row r="644" spans="2:14">
      <c r="B644" s="1"/>
      <c r="C644" s="2"/>
      <c r="D644" s="2"/>
      <c r="E644" s="2"/>
      <c r="F644" s="2"/>
      <c r="G644" s="2"/>
      <c r="H644" s="2"/>
      <c r="I644" s="2"/>
      <c r="J644" s="2"/>
      <c r="K644" s="2"/>
      <c r="L644" s="663"/>
      <c r="M644" s="663"/>
      <c r="N644" s="161"/>
    </row>
    <row r="645" spans="2:14">
      <c r="B645" s="1"/>
      <c r="C645" s="2"/>
      <c r="D645" s="2"/>
      <c r="E645" s="2"/>
      <c r="F645" s="2"/>
      <c r="G645" s="2"/>
      <c r="H645" s="2"/>
      <c r="I645" s="2"/>
      <c r="J645" s="2"/>
      <c r="K645" s="2"/>
      <c r="L645" s="663"/>
      <c r="M645" s="663"/>
      <c r="N645" s="161"/>
    </row>
    <row r="646" spans="2:14">
      <c r="B646" s="1"/>
      <c r="C646" s="2"/>
      <c r="D646" s="2"/>
      <c r="E646" s="2"/>
      <c r="F646" s="2"/>
      <c r="G646" s="2"/>
      <c r="H646" s="2"/>
      <c r="I646" s="2"/>
      <c r="J646" s="2"/>
      <c r="K646" s="2"/>
      <c r="L646" s="663"/>
      <c r="M646" s="663"/>
      <c r="N646" s="161"/>
    </row>
    <row r="647" spans="2:14">
      <c r="B647" s="1"/>
      <c r="C647" s="2"/>
      <c r="D647" s="2"/>
      <c r="E647" s="2"/>
      <c r="F647" s="2"/>
      <c r="G647" s="2"/>
      <c r="H647" s="2"/>
      <c r="I647" s="2"/>
      <c r="J647" s="2"/>
      <c r="K647" s="2"/>
      <c r="L647" s="663"/>
      <c r="M647" s="663"/>
      <c r="N647" s="161"/>
    </row>
    <row r="648" spans="2:14">
      <c r="N648" s="161"/>
    </row>
    <row r="649" spans="2:14" ht="18.75" customHeight="1">
      <c r="B649" s="682" t="s">
        <v>625</v>
      </c>
      <c r="C649" s="682"/>
      <c r="D649" s="682"/>
      <c r="E649" s="682"/>
      <c r="F649" s="682"/>
      <c r="G649" s="682"/>
      <c r="H649" s="682"/>
      <c r="I649" s="682"/>
      <c r="J649" s="682"/>
      <c r="K649" s="682"/>
      <c r="L649" s="662"/>
      <c r="M649" s="662"/>
      <c r="N649" s="161"/>
    </row>
    <row r="650" spans="2:14">
      <c r="B650" s="43"/>
      <c r="C650" s="2"/>
      <c r="D650" s="2"/>
      <c r="E650" s="2"/>
      <c r="F650" s="2"/>
      <c r="G650" s="2"/>
      <c r="H650" s="2"/>
      <c r="I650" s="2"/>
      <c r="J650" s="2"/>
      <c r="K650" s="2"/>
      <c r="L650" s="663"/>
      <c r="M650" s="663"/>
      <c r="N650" s="161"/>
    </row>
    <row r="651" spans="2:14" ht="12.75" customHeight="1">
      <c r="B651" s="683" t="s">
        <v>626</v>
      </c>
      <c r="C651" s="683"/>
      <c r="D651" s="683"/>
      <c r="E651" s="683"/>
      <c r="F651" s="683"/>
      <c r="G651" s="683"/>
      <c r="H651" s="683"/>
      <c r="I651" s="683"/>
      <c r="J651" s="683"/>
      <c r="K651" s="683"/>
      <c r="L651" s="664"/>
      <c r="M651" s="664"/>
      <c r="N651" s="161"/>
    </row>
    <row r="652" spans="2:14" ht="18.75" customHeight="1">
      <c r="B652" s="683"/>
      <c r="C652" s="683"/>
      <c r="D652" s="683"/>
      <c r="E652" s="683"/>
      <c r="F652" s="683"/>
      <c r="G652" s="683"/>
      <c r="H652" s="683"/>
      <c r="I652" s="683"/>
      <c r="J652" s="683"/>
      <c r="K652" s="683"/>
      <c r="L652" s="664"/>
      <c r="M652" s="664"/>
      <c r="N652" s="161"/>
    </row>
    <row r="653" spans="2:14">
      <c r="B653" s="19"/>
      <c r="C653" s="16"/>
      <c r="D653" s="16"/>
      <c r="E653" s="16"/>
      <c r="F653" s="16"/>
      <c r="G653" s="16"/>
      <c r="H653" s="16"/>
      <c r="I653" s="2"/>
      <c r="J653" s="2"/>
      <c r="K653" s="2"/>
      <c r="L653" s="663"/>
      <c r="M653" s="663"/>
      <c r="N653" s="161"/>
    </row>
    <row r="654" spans="2:14">
      <c r="B654" s="4"/>
      <c r="C654" s="43"/>
      <c r="D654" s="573"/>
      <c r="E654" s="43" t="s">
        <v>815</v>
      </c>
      <c r="F654" s="573"/>
      <c r="G654" s="43" t="s">
        <v>816</v>
      </c>
      <c r="H654" s="573"/>
      <c r="I654" s="573"/>
      <c r="J654" s="573"/>
      <c r="K654" s="573"/>
      <c r="L654" s="304"/>
      <c r="M654" s="304"/>
      <c r="N654" s="161"/>
    </row>
    <row r="655" spans="2:14">
      <c r="B655" s="43"/>
      <c r="C655" s="43" t="s">
        <v>813</v>
      </c>
      <c r="D655" s="43" t="s">
        <v>814</v>
      </c>
      <c r="E655" s="43" t="s">
        <v>583</v>
      </c>
      <c r="F655" s="43" t="s">
        <v>815</v>
      </c>
      <c r="G655" s="156" t="str">
        <f>'Fund Cover Sheets'!$N$1</f>
        <v>Adopted</v>
      </c>
      <c r="H655" s="43" t="s">
        <v>817</v>
      </c>
      <c r="I655" s="43" t="s">
        <v>818</v>
      </c>
      <c r="J655" s="43" t="s">
        <v>819</v>
      </c>
      <c r="K655" s="43" t="s">
        <v>820</v>
      </c>
      <c r="L655" s="665"/>
      <c r="M655" s="665"/>
      <c r="N655" s="161"/>
    </row>
    <row r="656" spans="2:14" ht="14.4" thickBot="1">
      <c r="B656" s="44"/>
      <c r="C656" s="45" t="s">
        <v>1</v>
      </c>
      <c r="D656" s="45" t="s">
        <v>1</v>
      </c>
      <c r="E656" s="45" t="s">
        <v>553</v>
      </c>
      <c r="F656" s="45" t="s">
        <v>19</v>
      </c>
      <c r="G656" s="45" t="s">
        <v>553</v>
      </c>
      <c r="H656" s="45" t="s">
        <v>19</v>
      </c>
      <c r="I656" s="45" t="s">
        <v>19</v>
      </c>
      <c r="J656" s="45" t="s">
        <v>19</v>
      </c>
      <c r="K656" s="45" t="s">
        <v>19</v>
      </c>
      <c r="L656" s="566"/>
      <c r="M656" s="566"/>
      <c r="N656" s="161"/>
    </row>
    <row r="657" spans="2:14">
      <c r="B657" s="1"/>
      <c r="C657" s="52"/>
      <c r="D657" s="2"/>
      <c r="E657" s="2"/>
      <c r="F657" s="2"/>
      <c r="G657" s="2"/>
      <c r="H657" s="2"/>
      <c r="I657" s="2"/>
      <c r="J657" s="2"/>
      <c r="K657" s="2"/>
      <c r="L657" s="663"/>
      <c r="M657" s="663"/>
      <c r="N657" s="161"/>
    </row>
    <row r="658" spans="2:14">
      <c r="B658" s="80" t="s">
        <v>1273</v>
      </c>
      <c r="C658" s="2"/>
      <c r="D658" s="2"/>
      <c r="E658" s="2"/>
      <c r="F658" s="2"/>
      <c r="G658" s="2"/>
      <c r="H658" s="2"/>
      <c r="I658" s="2"/>
      <c r="J658" s="2"/>
      <c r="K658" s="2"/>
      <c r="L658" s="663"/>
      <c r="M658" s="663"/>
      <c r="N658" s="161"/>
    </row>
    <row r="659" spans="2:14" ht="20.100000000000001" customHeight="1">
      <c r="B659" s="133" t="s">
        <v>584</v>
      </c>
      <c r="C659" s="49">
        <f>'Budget Detail FY 2020-27'!M1055</f>
        <v>203884</v>
      </c>
      <c r="D659" s="49">
        <f>'Budget Detail FY 2020-27'!N1055</f>
        <v>151422</v>
      </c>
      <c r="E659" s="49">
        <f>'Budget Detail FY 2020-27'!O1055</f>
        <v>260727</v>
      </c>
      <c r="F659" s="49">
        <f>'Budget Detail FY 2020-27'!P1055</f>
        <v>250366</v>
      </c>
      <c r="G659" s="49">
        <f>'Budget Detail FY 2020-27'!Q1055</f>
        <v>232133</v>
      </c>
      <c r="H659" s="49">
        <f>'Budget Detail FY 2020-27'!R1055</f>
        <v>237936</v>
      </c>
      <c r="I659" s="49">
        <f>'Budget Detail FY 2020-27'!S1055</f>
        <v>243884</v>
      </c>
      <c r="J659" s="49">
        <f>'Budget Detail FY 2020-27'!T1055</f>
        <v>249981</v>
      </c>
      <c r="K659" s="49">
        <f>'Budget Detail FY 2020-27'!U1055</f>
        <v>256231</v>
      </c>
      <c r="L659" s="666"/>
      <c r="M659" s="666"/>
      <c r="N659" s="161"/>
    </row>
    <row r="660" spans="2:14" ht="20.100000000000001" customHeight="1" thickBot="1">
      <c r="B660" s="79" t="s">
        <v>1241</v>
      </c>
      <c r="C660" s="433">
        <f t="shared" ref="C660:K660" si="71">SUM(C659:C659)</f>
        <v>203884</v>
      </c>
      <c r="D660" s="433">
        <f t="shared" si="71"/>
        <v>151422</v>
      </c>
      <c r="E660" s="433">
        <f t="shared" si="71"/>
        <v>260727</v>
      </c>
      <c r="F660" s="433">
        <f t="shared" si="71"/>
        <v>250366</v>
      </c>
      <c r="G660" s="433">
        <f t="shared" si="71"/>
        <v>232133</v>
      </c>
      <c r="H660" s="433">
        <f t="shared" si="71"/>
        <v>237936</v>
      </c>
      <c r="I660" s="433">
        <f t="shared" si="71"/>
        <v>243884</v>
      </c>
      <c r="J660" s="433">
        <f t="shared" si="71"/>
        <v>249981</v>
      </c>
      <c r="K660" s="433">
        <f t="shared" si="71"/>
        <v>256231</v>
      </c>
      <c r="L660" s="406"/>
      <c r="M660" s="406"/>
      <c r="N660" s="161"/>
    </row>
    <row r="661" spans="2:14">
      <c r="B661" s="1"/>
      <c r="C661" s="2"/>
      <c r="D661" s="2"/>
      <c r="E661" s="2"/>
      <c r="F661" s="2"/>
      <c r="G661" s="2"/>
      <c r="H661" s="2"/>
      <c r="I661" s="2"/>
      <c r="J661" s="2"/>
      <c r="K661" s="2"/>
      <c r="L661" s="663"/>
      <c r="M661" s="663"/>
      <c r="N661" s="161"/>
    </row>
    <row r="662" spans="2:14">
      <c r="B662" s="80" t="s">
        <v>424</v>
      </c>
      <c r="C662" s="2"/>
      <c r="D662" s="2"/>
      <c r="E662" s="2"/>
      <c r="F662" s="2"/>
      <c r="G662" s="2"/>
      <c r="H662" s="2"/>
      <c r="I662" s="2"/>
      <c r="J662" s="2"/>
      <c r="K662" s="2"/>
      <c r="L662" s="663"/>
      <c r="M662" s="663"/>
      <c r="N662" s="161"/>
    </row>
    <row r="663" spans="2:14" ht="20.100000000000001" customHeight="1">
      <c r="B663" s="134" t="s">
        <v>596</v>
      </c>
      <c r="C663" s="49">
        <f>SUM('Budget Detail FY 2020-27'!M1059:M1062)</f>
        <v>713364</v>
      </c>
      <c r="D663" s="49">
        <f>SUM('Budget Detail FY 2020-27'!N1059:N1062)</f>
        <v>12550</v>
      </c>
      <c r="E663" s="49">
        <f>SUM('Budget Detail FY 2020-27'!O1059:O1062)</f>
        <v>14081</v>
      </c>
      <c r="F663" s="49">
        <f>SUM('Budget Detail FY 2020-27'!P1059:P1062)</f>
        <v>12542</v>
      </c>
      <c r="G663" s="49">
        <f>SUM('Budget Detail FY 2020-27'!Q1059:Q1062)</f>
        <v>18504</v>
      </c>
      <c r="H663" s="49">
        <f>SUM('Budget Detail FY 2020-27'!R1059:R1062)</f>
        <v>18978</v>
      </c>
      <c r="I663" s="49">
        <f>SUM('Budget Detail FY 2020-27'!S1059:S1062)</f>
        <v>19466</v>
      </c>
      <c r="J663" s="49">
        <f>SUM('Budget Detail FY 2020-27'!T1059:T1062)</f>
        <v>19969</v>
      </c>
      <c r="K663" s="49">
        <f>SUM('Budget Detail FY 2020-27'!U1059:U1062)</f>
        <v>20487</v>
      </c>
      <c r="L663" s="666"/>
      <c r="M663" s="666"/>
      <c r="N663" s="161"/>
    </row>
    <row r="664" spans="2:14" ht="20.100000000000001" customHeight="1">
      <c r="B664" s="134" t="s">
        <v>543</v>
      </c>
      <c r="C664" s="2">
        <f>'Budget Detail FY 2020-27'!M1064+'Budget Detail FY 2020-27'!M1065+'Budget Detail FY 2020-27'!M1067+'Budget Detail FY 2020-27'!M1068</f>
        <v>209845</v>
      </c>
      <c r="D664" s="2">
        <f>'Budget Detail FY 2020-27'!N1064+'Budget Detail FY 2020-27'!N1065+'Budget Detail FY 2020-27'!N1067+'Budget Detail FY 2020-27'!N1068</f>
        <v>208311</v>
      </c>
      <c r="E664" s="2">
        <f>'Budget Detail FY 2020-27'!O1064+'Budget Detail FY 2020-27'!O1065+'Budget Detail FY 2020-27'!O1067+'Budget Detail FY 2020-27'!O1068</f>
        <v>209316</v>
      </c>
      <c r="F664" s="2">
        <f>'Budget Detail FY 2020-27'!P1064+'Budget Detail FY 2020-27'!P1065+'Budget Detail FY 2020-27'!P1067+'Budget Detail FY 2020-27'!P1068</f>
        <v>209316</v>
      </c>
      <c r="G664" s="2">
        <f>'Budget Detail FY 2020-27'!Q1064+'Budget Detail FY 2020-27'!Q1065+'Budget Detail FY 2020-27'!Q1067+'Budget Detail FY 2020-27'!Q1068</f>
        <v>208787</v>
      </c>
      <c r="H664" s="2">
        <f>'Budget Detail FY 2020-27'!R1064+'Budget Detail FY 2020-27'!R1065+'Budget Detail FY 2020-27'!R1067+'Budget Detail FY 2020-27'!R1068</f>
        <v>209422</v>
      </c>
      <c r="I664" s="2">
        <f>'Budget Detail FY 2020-27'!S1064+'Budget Detail FY 2020-27'!S1065+'Budget Detail FY 2020-27'!S1067+'Budget Detail FY 2020-27'!S1068</f>
        <v>208522</v>
      </c>
      <c r="J664" s="2">
        <f>'Budget Detail FY 2020-27'!T1064+'Budget Detail FY 2020-27'!T1065+'Budget Detail FY 2020-27'!T1067+'Budget Detail FY 2020-27'!T1068</f>
        <v>364699</v>
      </c>
      <c r="K664" s="2">
        <f>'Budget Detail FY 2020-27'!U1064+'Budget Detail FY 2020-27'!U1065+'Budget Detail FY 2020-27'!U1067+'Budget Detail FY 2020-27'!U1068</f>
        <v>359546</v>
      </c>
      <c r="L664" s="663"/>
      <c r="M664" s="663"/>
      <c r="N664" s="161"/>
    </row>
    <row r="665" spans="2:14" ht="20.100000000000001" customHeight="1" thickBot="1">
      <c r="B665" s="79" t="s">
        <v>600</v>
      </c>
      <c r="C665" s="433">
        <f t="shared" ref="C665:K665" si="72">SUM(C663:C664)</f>
        <v>923209</v>
      </c>
      <c r="D665" s="433">
        <f t="shared" si="72"/>
        <v>220861</v>
      </c>
      <c r="E665" s="433">
        <f t="shared" si="72"/>
        <v>223397</v>
      </c>
      <c r="F665" s="433">
        <f t="shared" si="72"/>
        <v>221858</v>
      </c>
      <c r="G665" s="433">
        <f t="shared" si="72"/>
        <v>227291</v>
      </c>
      <c r="H665" s="433">
        <f t="shared" si="72"/>
        <v>228400</v>
      </c>
      <c r="I665" s="433">
        <f t="shared" si="72"/>
        <v>227988</v>
      </c>
      <c r="J665" s="433">
        <f t="shared" si="72"/>
        <v>384668</v>
      </c>
      <c r="K665" s="433">
        <f t="shared" si="72"/>
        <v>380033</v>
      </c>
      <c r="L665" s="406"/>
      <c r="M665" s="406"/>
      <c r="N665" s="661"/>
    </row>
    <row r="666" spans="2:14">
      <c r="B666" s="80"/>
      <c r="C666" s="2"/>
      <c r="D666" s="2"/>
      <c r="E666" s="2"/>
      <c r="F666" s="2"/>
      <c r="G666" s="2"/>
      <c r="H666" s="2"/>
      <c r="I666" s="2"/>
      <c r="J666" s="2"/>
      <c r="K666" s="2"/>
      <c r="L666" s="663"/>
      <c r="M666" s="663"/>
      <c r="N666" s="161"/>
    </row>
    <row r="667" spans="2:14" ht="20.100000000000001" customHeight="1">
      <c r="B667" s="133" t="s">
        <v>601</v>
      </c>
      <c r="C667" s="49">
        <f t="shared" ref="C667:K667" si="73">+C660-C665</f>
        <v>-719325</v>
      </c>
      <c r="D667" s="49">
        <f t="shared" si="73"/>
        <v>-69439</v>
      </c>
      <c r="E667" s="49">
        <f t="shared" si="73"/>
        <v>37330</v>
      </c>
      <c r="F667" s="49">
        <f t="shared" si="73"/>
        <v>28508</v>
      </c>
      <c r="G667" s="49">
        <f t="shared" si="73"/>
        <v>4842</v>
      </c>
      <c r="H667" s="49">
        <f t="shared" si="73"/>
        <v>9536</v>
      </c>
      <c r="I667" s="49">
        <f t="shared" si="73"/>
        <v>15896</v>
      </c>
      <c r="J667" s="49">
        <f t="shared" si="73"/>
        <v>-134687</v>
      </c>
      <c r="K667" s="49">
        <f t="shared" si="73"/>
        <v>-123802</v>
      </c>
      <c r="L667" s="666"/>
      <c r="M667" s="666"/>
      <c r="N667" s="161"/>
    </row>
    <row r="668" spans="2:14">
      <c r="B668" s="81"/>
      <c r="C668" s="2"/>
      <c r="D668" s="2"/>
      <c r="E668" s="2"/>
      <c r="F668" s="2"/>
      <c r="G668" s="2"/>
      <c r="H668" s="2"/>
      <c r="I668" s="2"/>
      <c r="J668" s="2"/>
      <c r="K668" s="2"/>
      <c r="L668" s="663"/>
      <c r="M668" s="663"/>
      <c r="N668" s="161"/>
    </row>
    <row r="669" spans="2:14" ht="20.100000000000001" customHeight="1" thickBot="1">
      <c r="B669" s="78" t="s">
        <v>602</v>
      </c>
      <c r="C669" s="431">
        <v>-1141784</v>
      </c>
      <c r="D669" s="431">
        <v>-1211222</v>
      </c>
      <c r="E669" s="431">
        <v>-1175479</v>
      </c>
      <c r="F669" s="431">
        <f>D669+F667</f>
        <v>-1182714</v>
      </c>
      <c r="G669" s="431">
        <f>F669+G667</f>
        <v>-1177872</v>
      </c>
      <c r="H669" s="431">
        <f>G669+H667</f>
        <v>-1168336</v>
      </c>
      <c r="I669" s="431">
        <f>H669+I667</f>
        <v>-1152440</v>
      </c>
      <c r="J669" s="431">
        <f>I669+J667</f>
        <v>-1287127</v>
      </c>
      <c r="K669" s="431">
        <f>J669+K667</f>
        <v>-1410929</v>
      </c>
      <c r="L669" s="406"/>
      <c r="M669" s="406"/>
      <c r="N669" s="161"/>
    </row>
    <row r="670" spans="2:14" ht="14.4" thickTop="1">
      <c r="B670" s="4"/>
      <c r="C670" s="2"/>
      <c r="D670" s="2"/>
      <c r="E670" s="2"/>
      <c r="F670" s="2"/>
      <c r="G670" s="2"/>
      <c r="H670" s="2"/>
      <c r="I670" s="2"/>
      <c r="J670" s="2"/>
      <c r="K670" s="2"/>
      <c r="L670" s="663"/>
      <c r="M670" s="663"/>
      <c r="N670" s="161"/>
    </row>
    <row r="671" spans="2:14">
      <c r="B671" s="4"/>
      <c r="C671" s="2"/>
      <c r="D671" s="2"/>
      <c r="E671" s="2"/>
      <c r="F671" s="2"/>
      <c r="G671" s="2"/>
      <c r="H671" s="2"/>
      <c r="I671" s="2"/>
      <c r="J671" s="2"/>
      <c r="K671" s="2"/>
      <c r="L671" s="663"/>
      <c r="M671" s="663"/>
      <c r="N671" s="161"/>
    </row>
    <row r="672" spans="2:14">
      <c r="B672" s="4"/>
      <c r="C672" s="2"/>
      <c r="D672" s="2"/>
      <c r="E672" s="2"/>
      <c r="F672" s="2"/>
      <c r="G672" s="2"/>
      <c r="H672" s="2"/>
      <c r="I672" s="2"/>
      <c r="J672" s="2"/>
      <c r="K672" s="2"/>
      <c r="L672" s="663"/>
      <c r="M672" s="663"/>
      <c r="N672" s="161"/>
    </row>
    <row r="673" spans="2:14">
      <c r="B673" s="1"/>
      <c r="C673" s="2"/>
      <c r="D673" s="2"/>
      <c r="E673" s="2"/>
      <c r="F673" s="2"/>
      <c r="G673" s="2"/>
      <c r="H673" s="2"/>
      <c r="I673" s="2"/>
      <c r="J673" s="2"/>
      <c r="K673" s="2"/>
      <c r="L673" s="663"/>
      <c r="M673" s="663"/>
      <c r="N673" s="161"/>
    </row>
    <row r="674" spans="2:14">
      <c r="B674" s="1"/>
      <c r="C674" s="2"/>
      <c r="D674" s="2"/>
      <c r="E674" s="2"/>
      <c r="F674" s="2"/>
      <c r="G674" s="2"/>
      <c r="H674" s="2"/>
      <c r="I674" s="2"/>
      <c r="J674" s="2"/>
      <c r="K674" s="2"/>
      <c r="L674" s="663"/>
      <c r="M674" s="663"/>
      <c r="N674" s="161"/>
    </row>
    <row r="675" spans="2:14">
      <c r="B675" s="1"/>
      <c r="C675" s="2"/>
      <c r="D675" s="2"/>
      <c r="E675" s="2"/>
      <c r="F675" s="2"/>
      <c r="G675" s="2"/>
      <c r="H675" s="2"/>
      <c r="I675" s="2"/>
      <c r="J675" s="2"/>
      <c r="K675" s="2"/>
      <c r="L675" s="663"/>
      <c r="M675" s="663"/>
      <c r="N675" s="161"/>
    </row>
    <row r="676" spans="2:14">
      <c r="B676" s="1"/>
      <c r="C676" s="2"/>
      <c r="D676" s="2"/>
      <c r="E676" s="2"/>
      <c r="F676" s="2"/>
      <c r="G676" s="2"/>
      <c r="H676" s="2"/>
      <c r="I676" s="2"/>
      <c r="J676" s="2"/>
      <c r="K676" s="2"/>
      <c r="L676" s="663"/>
      <c r="M676" s="663"/>
      <c r="N676" s="161"/>
    </row>
    <row r="677" spans="2:14">
      <c r="B677" s="1"/>
      <c r="C677" s="2"/>
      <c r="D677" s="2"/>
      <c r="E677" s="2"/>
      <c r="F677" s="2"/>
      <c r="G677" s="2"/>
      <c r="H677" s="2"/>
      <c r="I677" s="2"/>
      <c r="J677" s="2"/>
      <c r="K677" s="2"/>
      <c r="L677" s="663"/>
      <c r="M677" s="663"/>
      <c r="N677" s="161"/>
    </row>
    <row r="678" spans="2:14">
      <c r="B678" s="1"/>
      <c r="C678" s="2"/>
      <c r="D678" s="2"/>
      <c r="E678" s="2"/>
      <c r="F678" s="2"/>
      <c r="G678" s="2"/>
      <c r="H678" s="2"/>
      <c r="I678" s="2"/>
      <c r="J678" s="2"/>
      <c r="K678" s="2"/>
      <c r="L678" s="663"/>
      <c r="M678" s="663"/>
      <c r="N678" s="161"/>
    </row>
    <row r="679" spans="2:14">
      <c r="B679" s="1"/>
      <c r="C679" s="2"/>
      <c r="D679" s="2"/>
      <c r="E679" s="2"/>
      <c r="F679" s="2"/>
      <c r="G679" s="2"/>
      <c r="H679" s="2"/>
      <c r="I679" s="2"/>
      <c r="J679" s="2"/>
      <c r="K679" s="2"/>
      <c r="L679" s="663"/>
      <c r="M679" s="663"/>
      <c r="N679" s="161"/>
    </row>
    <row r="680" spans="2:14">
      <c r="B680" s="1"/>
      <c r="C680" s="2"/>
      <c r="D680" s="2"/>
      <c r="E680" s="2"/>
      <c r="F680" s="2"/>
      <c r="G680" s="2"/>
      <c r="H680" s="2"/>
      <c r="I680" s="2"/>
      <c r="J680" s="2"/>
      <c r="K680" s="2"/>
      <c r="L680" s="663"/>
      <c r="M680" s="663"/>
      <c r="N680" s="161"/>
    </row>
    <row r="681" spans="2:14">
      <c r="B681" s="1"/>
      <c r="C681" s="2"/>
      <c r="D681" s="2"/>
      <c r="E681" s="2"/>
      <c r="F681" s="2"/>
      <c r="G681" s="2"/>
      <c r="H681" s="2"/>
      <c r="I681" s="2"/>
      <c r="J681" s="2"/>
      <c r="K681" s="2"/>
      <c r="L681" s="663"/>
      <c r="M681" s="663"/>
      <c r="N681" s="161"/>
    </row>
    <row r="682" spans="2:14">
      <c r="B682" s="1"/>
      <c r="C682" s="2"/>
      <c r="D682" s="2"/>
      <c r="E682" s="2"/>
      <c r="F682" s="2"/>
      <c r="G682" s="2"/>
      <c r="H682" s="2"/>
      <c r="I682" s="2"/>
      <c r="J682" s="2"/>
      <c r="K682" s="2"/>
      <c r="L682" s="663"/>
      <c r="M682" s="663"/>
      <c r="N682" s="161"/>
    </row>
    <row r="683" spans="2:14">
      <c r="B683" s="1"/>
      <c r="C683" s="2"/>
      <c r="D683" s="2"/>
      <c r="E683" s="2"/>
      <c r="F683" s="2"/>
      <c r="G683" s="2"/>
      <c r="H683" s="2"/>
      <c r="I683" s="2"/>
      <c r="J683" s="2"/>
      <c r="K683" s="2"/>
      <c r="L683" s="663"/>
      <c r="M683" s="663"/>
      <c r="N683" s="161"/>
    </row>
    <row r="684" spans="2:14">
      <c r="B684" s="1"/>
      <c r="C684" s="2"/>
      <c r="D684" s="2"/>
      <c r="E684" s="2"/>
      <c r="F684" s="2"/>
      <c r="G684" s="2"/>
      <c r="H684" s="2"/>
      <c r="I684" s="2"/>
      <c r="J684" s="2"/>
      <c r="K684" s="2"/>
      <c r="L684" s="663"/>
      <c r="M684" s="663"/>
      <c r="N684" s="161"/>
    </row>
    <row r="685" spans="2:14" ht="17.399999999999999">
      <c r="B685" s="682" t="s">
        <v>627</v>
      </c>
      <c r="C685" s="682"/>
      <c r="D685" s="682"/>
      <c r="E685" s="682"/>
      <c r="F685" s="682"/>
      <c r="G685" s="682"/>
      <c r="H685" s="682"/>
      <c r="I685" s="682"/>
      <c r="J685" s="682"/>
      <c r="K685" s="682"/>
      <c r="L685" s="662"/>
      <c r="M685" s="662"/>
      <c r="N685" s="161"/>
    </row>
    <row r="686" spans="2:14">
      <c r="B686" s="43"/>
      <c r="C686" s="2"/>
      <c r="D686" s="2"/>
      <c r="E686" s="2"/>
      <c r="F686" s="2"/>
      <c r="G686" s="2"/>
      <c r="H686" s="2"/>
      <c r="I686" s="2"/>
      <c r="J686" s="2"/>
      <c r="K686" s="2"/>
      <c r="L686" s="663"/>
      <c r="M686" s="663"/>
      <c r="N686" s="161"/>
    </row>
    <row r="687" spans="2:14" ht="15" customHeight="1">
      <c r="B687" s="683" t="s">
        <v>628</v>
      </c>
      <c r="C687" s="683"/>
      <c r="D687" s="683"/>
      <c r="E687" s="683"/>
      <c r="F687" s="683"/>
      <c r="G687" s="683"/>
      <c r="H687" s="683"/>
      <c r="I687" s="683"/>
      <c r="J687" s="683"/>
      <c r="K687" s="683"/>
      <c r="L687" s="664"/>
      <c r="M687" s="664"/>
      <c r="N687" s="161"/>
    </row>
    <row r="688" spans="2:14">
      <c r="B688" s="19"/>
      <c r="C688" s="16"/>
      <c r="D688" s="16"/>
      <c r="E688" s="16"/>
      <c r="F688" s="16"/>
      <c r="G688" s="16"/>
      <c r="H688" s="16"/>
      <c r="I688" s="2"/>
      <c r="J688" s="2"/>
      <c r="K688" s="2"/>
      <c r="L688" s="663"/>
      <c r="M688" s="663"/>
      <c r="N688" s="161"/>
    </row>
    <row r="689" spans="2:14">
      <c r="B689" s="4"/>
      <c r="C689" s="43"/>
      <c r="D689" s="573"/>
      <c r="E689" s="43" t="s">
        <v>815</v>
      </c>
      <c r="F689" s="573"/>
      <c r="G689" s="43" t="s">
        <v>816</v>
      </c>
      <c r="H689" s="573"/>
      <c r="I689" s="573"/>
      <c r="J689" s="573"/>
      <c r="K689" s="573"/>
      <c r="L689" s="304"/>
      <c r="M689" s="304"/>
      <c r="N689" s="161"/>
    </row>
    <row r="690" spans="2:14">
      <c r="B690" s="43"/>
      <c r="C690" s="43" t="s">
        <v>813</v>
      </c>
      <c r="D690" s="43" t="s">
        <v>814</v>
      </c>
      <c r="E690" s="43" t="s">
        <v>583</v>
      </c>
      <c r="F690" s="43" t="s">
        <v>815</v>
      </c>
      <c r="G690" s="156" t="str">
        <f>'Fund Cover Sheets'!$N$1</f>
        <v>Adopted</v>
      </c>
      <c r="H690" s="43" t="s">
        <v>817</v>
      </c>
      <c r="I690" s="43" t="s">
        <v>818</v>
      </c>
      <c r="J690" s="43" t="s">
        <v>819</v>
      </c>
      <c r="K690" s="43" t="s">
        <v>820</v>
      </c>
      <c r="L690" s="665"/>
      <c r="M690" s="665"/>
      <c r="N690" s="161"/>
    </row>
    <row r="691" spans="2:14" ht="14.4" thickBot="1">
      <c r="B691" s="44"/>
      <c r="C691" s="45" t="s">
        <v>1</v>
      </c>
      <c r="D691" s="45" t="s">
        <v>1</v>
      </c>
      <c r="E691" s="45" t="s">
        <v>553</v>
      </c>
      <c r="F691" s="45" t="s">
        <v>19</v>
      </c>
      <c r="G691" s="45" t="s">
        <v>553</v>
      </c>
      <c r="H691" s="45" t="s">
        <v>19</v>
      </c>
      <c r="I691" s="45" t="s">
        <v>19</v>
      </c>
      <c r="J691" s="45" t="s">
        <v>19</v>
      </c>
      <c r="K691" s="45" t="s">
        <v>19</v>
      </c>
      <c r="L691" s="566"/>
      <c r="M691" s="566"/>
      <c r="N691" s="161"/>
    </row>
    <row r="692" spans="2:14">
      <c r="B692" s="1"/>
      <c r="C692" s="52"/>
      <c r="D692" s="2"/>
      <c r="E692" s="2"/>
      <c r="F692" s="2"/>
      <c r="G692" s="2"/>
      <c r="H692" s="2"/>
      <c r="I692" s="2"/>
      <c r="J692" s="2"/>
      <c r="K692" s="2"/>
      <c r="L692" s="663"/>
      <c r="M692" s="663"/>
      <c r="N692" s="161"/>
    </row>
    <row r="693" spans="2:14">
      <c r="B693" s="80" t="s">
        <v>1273</v>
      </c>
      <c r="C693" s="49"/>
      <c r="D693" s="49"/>
      <c r="E693" s="49"/>
      <c r="F693" s="49"/>
      <c r="G693" s="49"/>
      <c r="H693" s="49"/>
      <c r="I693" s="49"/>
      <c r="J693" s="49"/>
      <c r="K693" s="49"/>
      <c r="L693" s="666"/>
      <c r="M693" s="666"/>
      <c r="N693" s="161"/>
    </row>
    <row r="694" spans="2:14" ht="20.100000000000001" customHeight="1">
      <c r="B694" s="133" t="s">
        <v>584</v>
      </c>
      <c r="C694" s="49">
        <f>SUM('Budget Detail FY 2020-27'!M1078:M1078)</f>
        <v>75759</v>
      </c>
      <c r="D694" s="49">
        <f>SUM('Budget Detail FY 2020-27'!N1078:N1078)</f>
        <v>70677</v>
      </c>
      <c r="E694" s="49">
        <f>SUM('Budget Detail FY 2020-27'!O1078:O1078)</f>
        <v>70000</v>
      </c>
      <c r="F694" s="49">
        <f>SUM('Budget Detail FY 2020-27'!P1078:P1078)</f>
        <v>96795</v>
      </c>
      <c r="G694" s="49">
        <f>SUM('Budget Detail FY 2020-27'!Q1078:Q1078)</f>
        <v>96000</v>
      </c>
      <c r="H694" s="49">
        <f>SUM('Budget Detail FY 2020-27'!R1078:R1078)</f>
        <v>98400</v>
      </c>
      <c r="I694" s="49">
        <f>SUM('Budget Detail FY 2020-27'!S1078:S1078)</f>
        <v>100860</v>
      </c>
      <c r="J694" s="49">
        <f>SUM('Budget Detail FY 2020-27'!T1078:T1078)</f>
        <v>103382</v>
      </c>
      <c r="K694" s="49">
        <f>SUM('Budget Detail FY 2020-27'!U1078:U1078)</f>
        <v>105967</v>
      </c>
      <c r="L694" s="666"/>
      <c r="M694" s="666"/>
      <c r="N694" s="161"/>
    </row>
    <row r="695" spans="2:14" ht="20.100000000000001" customHeight="1" thickBot="1">
      <c r="B695" s="79" t="s">
        <v>1241</v>
      </c>
      <c r="C695" s="433">
        <f t="shared" ref="C695:K695" si="74">SUM(C694:C694)</f>
        <v>75759</v>
      </c>
      <c r="D695" s="433">
        <f t="shared" si="74"/>
        <v>70677</v>
      </c>
      <c r="E695" s="433">
        <f t="shared" si="74"/>
        <v>70000</v>
      </c>
      <c r="F695" s="433">
        <f t="shared" si="74"/>
        <v>96795</v>
      </c>
      <c r="G695" s="433">
        <f t="shared" si="74"/>
        <v>96000</v>
      </c>
      <c r="H695" s="433">
        <f t="shared" si="74"/>
        <v>98400</v>
      </c>
      <c r="I695" s="433">
        <f t="shared" si="74"/>
        <v>100860</v>
      </c>
      <c r="J695" s="433">
        <f t="shared" si="74"/>
        <v>103382</v>
      </c>
      <c r="K695" s="433">
        <f t="shared" si="74"/>
        <v>105967</v>
      </c>
      <c r="L695" s="406"/>
      <c r="M695" s="406"/>
      <c r="N695" s="161"/>
    </row>
    <row r="696" spans="2:14">
      <c r="B696" s="1"/>
      <c r="C696" s="2"/>
      <c r="D696" s="2"/>
      <c r="E696" s="2"/>
      <c r="F696" s="2"/>
      <c r="G696" s="2"/>
      <c r="H696" s="2"/>
      <c r="I696" s="2"/>
      <c r="J696" s="2"/>
      <c r="K696" s="2"/>
      <c r="L696" s="663"/>
      <c r="M696" s="663"/>
      <c r="N696" s="161"/>
    </row>
    <row r="697" spans="2:14" ht="15" customHeight="1">
      <c r="B697" s="80" t="s">
        <v>424</v>
      </c>
      <c r="C697" s="2"/>
      <c r="D697" s="2"/>
      <c r="E697" s="2"/>
      <c r="F697" s="2"/>
      <c r="G697" s="2"/>
      <c r="H697" s="2"/>
      <c r="I697" s="2"/>
      <c r="J697" s="2"/>
      <c r="K697" s="2"/>
      <c r="L697" s="663"/>
      <c r="M697" s="663"/>
      <c r="N697" s="161"/>
    </row>
    <row r="698" spans="2:14" ht="20.100000000000001" customHeight="1">
      <c r="B698" s="134" t="s">
        <v>596</v>
      </c>
      <c r="C698" s="49">
        <f>SUM('Budget Detail FY 2020-27'!M1082:M1084)</f>
        <v>59864</v>
      </c>
      <c r="D698" s="49">
        <f>SUM('Budget Detail FY 2020-27'!N1082:N1084)</f>
        <v>61357</v>
      </c>
      <c r="E698" s="49">
        <f>SUM('Budget Detail FY 2020-27'!O1082:O1084)</f>
        <v>67840</v>
      </c>
      <c r="F698" s="49">
        <f>SUM('Budget Detail FY 2020-27'!P1082:P1084)</f>
        <v>72332</v>
      </c>
      <c r="G698" s="49">
        <f>SUM('Budget Detail FY 2020-27'!Q1082:Q1084)</f>
        <v>74492</v>
      </c>
      <c r="H698" s="49">
        <f>SUM('Budget Detail FY 2020-27'!R1082:R1084)</f>
        <v>77345</v>
      </c>
      <c r="I698" s="49">
        <f>SUM('Budget Detail FY 2020-27'!S1082:S1084)</f>
        <v>80322</v>
      </c>
      <c r="J698" s="49">
        <f>SUM('Budget Detail FY 2020-27'!T1082:T1084)</f>
        <v>83428</v>
      </c>
      <c r="K698" s="49">
        <f>SUM('Budget Detail FY 2020-27'!U1082:U1084)</f>
        <v>86670</v>
      </c>
      <c r="L698" s="666"/>
      <c r="M698" s="666"/>
      <c r="N698" s="161"/>
    </row>
    <row r="699" spans="2:14" ht="20.100000000000001" customHeight="1">
      <c r="B699" s="134" t="s">
        <v>598</v>
      </c>
      <c r="C699" s="2">
        <f>SUM('Budget Detail FY 2020-27'!M1085:M1086)</f>
        <v>10677</v>
      </c>
      <c r="D699" s="2">
        <f>SUM('Budget Detail FY 2020-27'!N1085:N1086)</f>
        <v>8467</v>
      </c>
      <c r="E699" s="2">
        <f>SUM('Budget Detail FY 2020-27'!O1085:O1086)</f>
        <v>17488</v>
      </c>
      <c r="F699" s="2">
        <f>SUM('Budget Detail FY 2020-27'!P1085:P1086)</f>
        <v>7488</v>
      </c>
      <c r="G699" s="2">
        <f>SUM('Budget Detail FY 2020-27'!Q1085:Q1086)</f>
        <v>13120</v>
      </c>
      <c r="H699" s="2">
        <f>SUM('Budget Detail FY 2020-27'!R1085:R1086)</f>
        <v>10000</v>
      </c>
      <c r="I699" s="2">
        <f>SUM('Budget Detail FY 2020-27'!S1085:S1086)</f>
        <v>10000</v>
      </c>
      <c r="J699" s="2">
        <f>SUM('Budget Detail FY 2020-27'!T1085:T1086)</f>
        <v>10000</v>
      </c>
      <c r="K699" s="2">
        <f>SUM('Budget Detail FY 2020-27'!U1085:U1086)</f>
        <v>10000</v>
      </c>
      <c r="L699" s="663"/>
      <c r="M699" s="663"/>
      <c r="N699" s="161"/>
    </row>
    <row r="700" spans="2:14" ht="20.100000000000001" customHeight="1">
      <c r="B700" s="134" t="s">
        <v>543</v>
      </c>
      <c r="C700" s="2">
        <f>'Budget Detail FY 2020-27'!M1088+'Budget Detail FY 2020-27'!M1089</f>
        <v>218250</v>
      </c>
      <c r="D700" s="2">
        <f>'Budget Detail FY 2020-27'!N1088+'Budget Detail FY 2020-27'!N1089</f>
        <v>212233</v>
      </c>
      <c r="E700" s="2">
        <f>'Budget Detail FY 2020-27'!O1088+'Budget Detail FY 2020-27'!O1089</f>
        <v>206084</v>
      </c>
      <c r="F700" s="2">
        <f>'Budget Detail FY 2020-27'!P1088+'Budget Detail FY 2020-27'!P1089</f>
        <v>206084</v>
      </c>
      <c r="G700" s="2">
        <f>'Budget Detail FY 2020-27'!Q1088+'Budget Detail FY 2020-27'!Q1089</f>
        <v>0</v>
      </c>
      <c r="H700" s="2">
        <f>'Budget Detail FY 2020-27'!R1088+'Budget Detail FY 2020-27'!R1089</f>
        <v>0</v>
      </c>
      <c r="I700" s="2">
        <f>'Budget Detail FY 2020-27'!S1088+'Budget Detail FY 2020-27'!S1089</f>
        <v>0</v>
      </c>
      <c r="J700" s="2">
        <f>'Budget Detail FY 2020-27'!T1088+'Budget Detail FY 2020-27'!T1089</f>
        <v>0</v>
      </c>
      <c r="K700" s="2">
        <f>'Budget Detail FY 2020-27'!U1088+'Budget Detail FY 2020-27'!U1089</f>
        <v>0</v>
      </c>
      <c r="L700" s="663"/>
      <c r="M700" s="663"/>
      <c r="N700" s="161"/>
    </row>
    <row r="701" spans="2:14" ht="20.100000000000001" customHeight="1" thickBot="1">
      <c r="B701" s="79" t="s">
        <v>600</v>
      </c>
      <c r="C701" s="433">
        <f t="shared" ref="C701:K701" si="75">SUM(C698:C700)</f>
        <v>288791</v>
      </c>
      <c r="D701" s="433">
        <f t="shared" si="75"/>
        <v>282057</v>
      </c>
      <c r="E701" s="433">
        <f t="shared" si="75"/>
        <v>291412</v>
      </c>
      <c r="F701" s="433">
        <f t="shared" si="75"/>
        <v>285904</v>
      </c>
      <c r="G701" s="433">
        <f t="shared" si="75"/>
        <v>87612</v>
      </c>
      <c r="H701" s="433">
        <f t="shared" si="75"/>
        <v>87345</v>
      </c>
      <c r="I701" s="433">
        <f t="shared" si="75"/>
        <v>90322</v>
      </c>
      <c r="J701" s="433">
        <f t="shared" si="75"/>
        <v>93428</v>
      </c>
      <c r="K701" s="433">
        <f t="shared" si="75"/>
        <v>96670</v>
      </c>
      <c r="L701" s="406"/>
      <c r="M701" s="406"/>
      <c r="N701" s="661"/>
    </row>
    <row r="702" spans="2:14">
      <c r="B702" s="80"/>
      <c r="C702" s="2"/>
      <c r="D702" s="2"/>
      <c r="E702" s="2"/>
      <c r="F702" s="2"/>
      <c r="G702" s="2"/>
      <c r="H702" s="2"/>
      <c r="I702" s="2"/>
      <c r="J702" s="2"/>
      <c r="K702" s="2"/>
      <c r="L702" s="663"/>
      <c r="M702" s="663"/>
      <c r="N702" s="161"/>
    </row>
    <row r="703" spans="2:14" ht="20.100000000000001" customHeight="1">
      <c r="B703" s="133" t="s">
        <v>601</v>
      </c>
      <c r="C703" s="49">
        <f t="shared" ref="C703:K703" si="76">+C695-C701</f>
        <v>-213032</v>
      </c>
      <c r="D703" s="49">
        <f t="shared" si="76"/>
        <v>-211380</v>
      </c>
      <c r="E703" s="49">
        <f t="shared" si="76"/>
        <v>-221412</v>
      </c>
      <c r="F703" s="49">
        <f t="shared" si="76"/>
        <v>-189109</v>
      </c>
      <c r="G703" s="49">
        <f t="shared" si="76"/>
        <v>8388</v>
      </c>
      <c r="H703" s="49">
        <f t="shared" si="76"/>
        <v>11055</v>
      </c>
      <c r="I703" s="49">
        <f t="shared" si="76"/>
        <v>10538</v>
      </c>
      <c r="J703" s="49">
        <f t="shared" si="76"/>
        <v>9954</v>
      </c>
      <c r="K703" s="49">
        <f t="shared" si="76"/>
        <v>9297</v>
      </c>
      <c r="L703" s="666"/>
      <c r="M703" s="666"/>
      <c r="N703" s="161"/>
    </row>
    <row r="704" spans="2:14">
      <c r="B704" s="81"/>
      <c r="C704" s="2"/>
      <c r="D704" s="2"/>
      <c r="E704" s="2"/>
      <c r="F704" s="2"/>
      <c r="G704" s="2"/>
      <c r="H704" s="2"/>
      <c r="I704" s="2"/>
      <c r="J704" s="2"/>
      <c r="K704" s="2"/>
      <c r="L704" s="663"/>
      <c r="M704" s="663"/>
      <c r="N704" s="161"/>
    </row>
    <row r="705" spans="2:14" ht="20.100000000000001" customHeight="1" thickBot="1">
      <c r="B705" s="78" t="s">
        <v>602</v>
      </c>
      <c r="C705" s="431">
        <v>-1237549</v>
      </c>
      <c r="D705" s="431">
        <v>-1448929</v>
      </c>
      <c r="E705" s="431">
        <v>-1682954</v>
      </c>
      <c r="F705" s="431">
        <f>D705+F703</f>
        <v>-1638038</v>
      </c>
      <c r="G705" s="431">
        <f>F705+G703</f>
        <v>-1629650</v>
      </c>
      <c r="H705" s="431">
        <f>G705+H703</f>
        <v>-1618595</v>
      </c>
      <c r="I705" s="431">
        <f>H705+I703</f>
        <v>-1608057</v>
      </c>
      <c r="J705" s="431">
        <f>I705+J703</f>
        <v>-1598103</v>
      </c>
      <c r="K705" s="431">
        <f>J705+K703</f>
        <v>-1588806</v>
      </c>
      <c r="L705" s="406"/>
      <c r="M705" s="406"/>
      <c r="N705" s="161"/>
    </row>
    <row r="706" spans="2:14" ht="14.4" thickTop="1">
      <c r="B706" s="4"/>
      <c r="C706" s="2"/>
      <c r="D706" s="2"/>
      <c r="E706" s="2"/>
      <c r="F706" s="2"/>
      <c r="G706" s="2"/>
      <c r="H706" s="2"/>
      <c r="I706" s="2"/>
      <c r="J706" s="2"/>
      <c r="K706" s="2"/>
      <c r="L706" s="663"/>
      <c r="M706" s="663"/>
      <c r="N706" s="161"/>
    </row>
    <row r="707" spans="2:14">
      <c r="B707" s="4"/>
      <c r="C707" s="2"/>
      <c r="D707" s="2"/>
      <c r="E707" s="2"/>
      <c r="F707" s="2"/>
      <c r="G707" s="2"/>
      <c r="H707" s="2"/>
      <c r="I707" s="2"/>
      <c r="J707" s="2"/>
      <c r="K707" s="2"/>
      <c r="L707" s="663"/>
      <c r="M707" s="663"/>
      <c r="N707" s="161"/>
    </row>
    <row r="708" spans="2:14">
      <c r="B708" s="4"/>
      <c r="C708" s="2"/>
      <c r="D708" s="2"/>
      <c r="E708" s="2"/>
      <c r="F708" s="2"/>
      <c r="G708" s="2"/>
      <c r="H708" s="2"/>
      <c r="I708" s="2"/>
      <c r="J708" s="2"/>
      <c r="K708" s="2"/>
      <c r="L708" s="663"/>
      <c r="M708" s="663"/>
      <c r="N708" s="161"/>
    </row>
    <row r="709" spans="2:14">
      <c r="B709" s="1"/>
      <c r="C709" s="2"/>
      <c r="D709" s="2"/>
      <c r="E709" s="2"/>
      <c r="F709" s="2"/>
      <c r="G709" s="2"/>
      <c r="H709" s="2"/>
      <c r="I709" s="2"/>
      <c r="J709" s="2"/>
      <c r="K709" s="2"/>
      <c r="L709" s="663"/>
      <c r="M709" s="663"/>
      <c r="N709" s="161"/>
    </row>
    <row r="710" spans="2:14">
      <c r="B710" s="1"/>
      <c r="C710" s="2"/>
      <c r="D710" s="2"/>
      <c r="E710" s="2"/>
      <c r="F710" s="2"/>
      <c r="G710" s="2"/>
      <c r="H710" s="2"/>
      <c r="I710" s="2"/>
      <c r="J710" s="2"/>
      <c r="K710" s="2"/>
      <c r="L710" s="663"/>
      <c r="M710" s="663"/>
      <c r="N710" s="161"/>
    </row>
    <row r="711" spans="2:14">
      <c r="B711" s="1"/>
      <c r="C711" s="2"/>
      <c r="D711" s="2"/>
      <c r="E711" s="2"/>
      <c r="F711" s="2"/>
      <c r="G711" s="2"/>
      <c r="H711" s="2"/>
      <c r="I711" s="2"/>
      <c r="J711" s="2"/>
      <c r="K711" s="2"/>
      <c r="L711" s="663"/>
      <c r="M711" s="663"/>
      <c r="N711" s="161"/>
    </row>
    <row r="712" spans="2:14">
      <c r="B712" s="1"/>
      <c r="C712" s="2"/>
      <c r="D712" s="2"/>
      <c r="E712" s="2"/>
      <c r="F712" s="2"/>
      <c r="G712" s="2"/>
      <c r="H712" s="2"/>
      <c r="I712" s="2"/>
      <c r="J712" s="2"/>
      <c r="K712" s="2"/>
      <c r="L712" s="663"/>
      <c r="M712" s="663"/>
      <c r="N712" s="161"/>
    </row>
    <row r="713" spans="2:14">
      <c r="B713" s="1"/>
      <c r="C713" s="2"/>
      <c r="D713" s="2"/>
      <c r="E713" s="2"/>
      <c r="F713" s="2"/>
      <c r="G713" s="2"/>
      <c r="H713" s="2"/>
      <c r="I713" s="2"/>
      <c r="J713" s="2"/>
      <c r="K713" s="2"/>
      <c r="L713" s="663"/>
      <c r="M713" s="663"/>
      <c r="N713" s="161"/>
    </row>
    <row r="714" spans="2:14">
      <c r="B714" s="1"/>
      <c r="C714" s="2"/>
      <c r="D714" s="2"/>
      <c r="E714" s="2"/>
      <c r="F714" s="2"/>
      <c r="G714" s="2"/>
      <c r="H714" s="2"/>
      <c r="I714" s="2"/>
      <c r="J714" s="2"/>
      <c r="K714" s="2"/>
      <c r="L714" s="663"/>
      <c r="M714" s="663"/>
      <c r="N714" s="161"/>
    </row>
    <row r="715" spans="2:14">
      <c r="B715" s="1"/>
      <c r="C715" s="2"/>
      <c r="D715" s="2"/>
      <c r="E715" s="2"/>
      <c r="F715" s="2"/>
      <c r="G715" s="2"/>
      <c r="H715" s="2"/>
      <c r="I715" s="2"/>
      <c r="J715" s="2"/>
      <c r="K715" s="2"/>
      <c r="L715" s="663"/>
      <c r="M715" s="663"/>
      <c r="N715" s="161"/>
    </row>
    <row r="716" spans="2:14">
      <c r="B716" s="1"/>
      <c r="C716" s="2"/>
      <c r="D716" s="2"/>
      <c r="E716" s="2"/>
      <c r="F716" s="2"/>
      <c r="G716" s="2"/>
      <c r="H716" s="2"/>
      <c r="I716" s="2"/>
      <c r="J716" s="2"/>
      <c r="K716" s="2"/>
      <c r="L716" s="663"/>
      <c r="M716" s="663"/>
      <c r="N716" s="161"/>
    </row>
    <row r="717" spans="2:14">
      <c r="B717" s="1"/>
      <c r="C717" s="2"/>
      <c r="D717" s="2"/>
      <c r="E717" s="2"/>
      <c r="F717" s="2"/>
      <c r="G717" s="2"/>
      <c r="H717" s="2"/>
      <c r="I717" s="2"/>
      <c r="J717" s="2"/>
      <c r="K717" s="2"/>
      <c r="L717" s="663"/>
      <c r="M717" s="663"/>
      <c r="N717" s="161"/>
    </row>
    <row r="718" spans="2:14">
      <c r="B718" s="1"/>
      <c r="C718" s="2"/>
      <c r="D718" s="2"/>
      <c r="E718" s="2"/>
      <c r="F718" s="2"/>
      <c r="G718" s="2"/>
      <c r="H718" s="2"/>
      <c r="I718" s="2"/>
      <c r="J718" s="2"/>
      <c r="K718" s="2"/>
      <c r="L718" s="663"/>
      <c r="M718" s="663"/>
      <c r="N718" s="161"/>
    </row>
    <row r="719" spans="2:14">
      <c r="B719" s="1"/>
      <c r="C719" s="2"/>
      <c r="D719" s="2"/>
      <c r="E719" s="2"/>
      <c r="F719" s="2"/>
      <c r="G719" s="2"/>
      <c r="H719" s="2"/>
      <c r="I719" s="2"/>
      <c r="J719" s="2"/>
      <c r="K719" s="2"/>
      <c r="L719" s="663"/>
      <c r="M719" s="663"/>
      <c r="N719" s="161"/>
    </row>
    <row r="720" spans="2:14">
      <c r="B720" s="1"/>
      <c r="C720" s="2"/>
      <c r="D720" s="2"/>
      <c r="E720" s="2"/>
      <c r="F720" s="2"/>
      <c r="G720" s="2"/>
      <c r="H720" s="2"/>
      <c r="I720" s="2"/>
      <c r="J720" s="2"/>
      <c r="K720" s="2"/>
      <c r="L720" s="663"/>
      <c r="M720" s="663"/>
      <c r="N720" s="161"/>
    </row>
    <row r="721" spans="2:14" ht="17.399999999999999">
      <c r="B721" s="682" t="s">
        <v>1033</v>
      </c>
      <c r="C721" s="682"/>
      <c r="D721" s="682"/>
      <c r="E721" s="682"/>
      <c r="F721" s="682"/>
      <c r="G721" s="682"/>
      <c r="H721" s="682"/>
      <c r="I721" s="682"/>
      <c r="J721" s="682"/>
      <c r="K721" s="682"/>
      <c r="L721" s="662"/>
      <c r="M721" s="662"/>
      <c r="N721" s="161"/>
    </row>
    <row r="722" spans="2:14">
      <c r="B722" s="43"/>
      <c r="C722" s="2"/>
      <c r="D722" s="2"/>
      <c r="E722" s="2"/>
      <c r="F722" s="2"/>
      <c r="G722" s="2"/>
      <c r="H722" s="2"/>
      <c r="I722" s="2"/>
      <c r="J722" s="2"/>
      <c r="K722" s="2"/>
      <c r="L722" s="663"/>
      <c r="M722" s="663"/>
      <c r="N722" s="161"/>
    </row>
    <row r="723" spans="2:14" ht="15" customHeight="1">
      <c r="B723" s="684" t="s">
        <v>1123</v>
      </c>
      <c r="C723" s="684"/>
      <c r="D723" s="684"/>
      <c r="E723" s="684"/>
      <c r="F723" s="684"/>
      <c r="G723" s="684"/>
      <c r="H723" s="684"/>
      <c r="I723" s="684"/>
      <c r="J723" s="684"/>
      <c r="K723" s="684"/>
      <c r="L723" s="679"/>
      <c r="M723" s="679"/>
      <c r="N723" s="161"/>
    </row>
    <row r="724" spans="2:14">
      <c r="B724" s="19"/>
      <c r="C724" s="16"/>
      <c r="D724" s="16"/>
      <c r="E724" s="16"/>
      <c r="F724" s="16"/>
      <c r="G724" s="16"/>
      <c r="H724" s="16"/>
      <c r="I724" s="2"/>
      <c r="J724" s="2"/>
      <c r="K724" s="2"/>
      <c r="L724" s="663"/>
      <c r="M724" s="663"/>
      <c r="N724" s="161"/>
    </row>
    <row r="725" spans="2:14">
      <c r="B725" s="4"/>
      <c r="C725" s="43"/>
      <c r="D725" s="573"/>
      <c r="E725" s="43" t="s">
        <v>815</v>
      </c>
      <c r="F725" s="573"/>
      <c r="G725" s="43" t="s">
        <v>816</v>
      </c>
      <c r="H725" s="573"/>
      <c r="I725" s="573"/>
      <c r="J725" s="573"/>
      <c r="K725" s="573"/>
      <c r="L725" s="304"/>
      <c r="M725" s="304"/>
      <c r="N725" s="161"/>
    </row>
    <row r="726" spans="2:14">
      <c r="B726" s="43"/>
      <c r="C726" s="43" t="s">
        <v>813</v>
      </c>
      <c r="D726" s="43" t="s">
        <v>814</v>
      </c>
      <c r="E726" s="43" t="s">
        <v>583</v>
      </c>
      <c r="F726" s="43" t="s">
        <v>815</v>
      </c>
      <c r="G726" s="156" t="str">
        <f>'Fund Cover Sheets'!$N$1</f>
        <v>Adopted</v>
      </c>
      <c r="H726" s="43" t="s">
        <v>817</v>
      </c>
      <c r="I726" s="43" t="s">
        <v>818</v>
      </c>
      <c r="J726" s="43" t="s">
        <v>819</v>
      </c>
      <c r="K726" s="43" t="s">
        <v>820</v>
      </c>
      <c r="L726" s="665"/>
      <c r="M726" s="665"/>
      <c r="N726" s="161"/>
    </row>
    <row r="727" spans="2:14" ht="14.4" thickBot="1">
      <c r="B727" s="44"/>
      <c r="C727" s="45" t="s">
        <v>1</v>
      </c>
      <c r="D727" s="45" t="s">
        <v>1</v>
      </c>
      <c r="E727" s="45" t="s">
        <v>553</v>
      </c>
      <c r="F727" s="45" t="s">
        <v>19</v>
      </c>
      <c r="G727" s="45" t="s">
        <v>553</v>
      </c>
      <c r="H727" s="45" t="s">
        <v>19</v>
      </c>
      <c r="I727" s="45" t="s">
        <v>19</v>
      </c>
      <c r="J727" s="45" t="s">
        <v>19</v>
      </c>
      <c r="K727" s="45" t="s">
        <v>19</v>
      </c>
      <c r="L727" s="566"/>
      <c r="M727" s="566"/>
      <c r="N727" s="161"/>
    </row>
    <row r="728" spans="2:14">
      <c r="B728" s="1"/>
      <c r="C728" s="52"/>
      <c r="D728" s="2"/>
      <c r="E728" s="2"/>
      <c r="F728" s="2"/>
      <c r="G728" s="2"/>
      <c r="H728" s="2"/>
      <c r="I728" s="2"/>
      <c r="J728" s="2"/>
      <c r="K728" s="2"/>
      <c r="L728" s="663"/>
      <c r="M728" s="663"/>
      <c r="N728" s="161"/>
    </row>
    <row r="729" spans="2:14">
      <c r="B729" s="80" t="s">
        <v>685</v>
      </c>
      <c r="C729" s="2"/>
      <c r="D729" s="2"/>
      <c r="E729" s="2"/>
      <c r="F729" s="2"/>
      <c r="G729" s="2"/>
      <c r="H729" s="2"/>
      <c r="I729" s="2"/>
      <c r="J729" s="2"/>
      <c r="K729" s="2"/>
      <c r="L729" s="663"/>
      <c r="M729" s="663"/>
      <c r="N729" s="161"/>
    </row>
    <row r="730" spans="2:14" ht="20.100000000000001" customHeight="1">
      <c r="B730" s="133" t="s">
        <v>584</v>
      </c>
      <c r="C730" s="49">
        <f>'Budget Detail FY 2020-27'!M1099</f>
        <v>24171</v>
      </c>
      <c r="D730" s="49">
        <f>'Budget Detail FY 2020-27'!N1099</f>
        <v>47342</v>
      </c>
      <c r="E730" s="49">
        <f>'Budget Detail FY 2020-27'!O1099</f>
        <v>48526</v>
      </c>
      <c r="F730" s="49">
        <f>'Budget Detail FY 2020-27'!P1099</f>
        <v>78764</v>
      </c>
      <c r="G730" s="49">
        <f>'Budget Detail FY 2020-27'!Q1099</f>
        <v>99353</v>
      </c>
      <c r="H730" s="49">
        <f>'Budget Detail FY 2020-27'!R1099</f>
        <v>101837</v>
      </c>
      <c r="I730" s="49">
        <f>'Budget Detail FY 2020-27'!S1099</f>
        <v>104383</v>
      </c>
      <c r="J730" s="49">
        <f>'Budget Detail FY 2020-27'!T1099</f>
        <v>106993</v>
      </c>
      <c r="K730" s="49">
        <f>'Budget Detail FY 2020-27'!U1099</f>
        <v>109668</v>
      </c>
      <c r="L730" s="666"/>
      <c r="M730" s="666"/>
      <c r="N730" s="161"/>
    </row>
    <row r="731" spans="2:14" s="595" customFormat="1" ht="20.100000000000001" customHeight="1">
      <c r="B731" s="134" t="s">
        <v>591</v>
      </c>
      <c r="C731" s="2">
        <f>'Budget Detail FY 2020-27'!M1100</f>
        <v>0</v>
      </c>
      <c r="D731" s="2">
        <f>'Budget Detail FY 2020-27'!N1100</f>
        <v>761</v>
      </c>
      <c r="E731" s="2">
        <f>'Budget Detail FY 2020-27'!O1100</f>
        <v>0</v>
      </c>
      <c r="F731" s="2">
        <f>'Budget Detail FY 2020-27'!P1100</f>
        <v>0</v>
      </c>
      <c r="G731" s="2">
        <f>'Budget Detail FY 2020-27'!Q1100</f>
        <v>0</v>
      </c>
      <c r="H731" s="2">
        <f>'Budget Detail FY 2020-27'!R1100</f>
        <v>0</v>
      </c>
      <c r="I731" s="2">
        <f>'Budget Detail FY 2020-27'!S1100</f>
        <v>0</v>
      </c>
      <c r="J731" s="2">
        <f>'Budget Detail FY 2020-27'!T1100</f>
        <v>0</v>
      </c>
      <c r="K731" s="2">
        <f>'Budget Detail FY 2020-27'!U1100</f>
        <v>0</v>
      </c>
      <c r="L731" s="663"/>
      <c r="M731" s="663"/>
      <c r="N731" s="161"/>
    </row>
    <row r="732" spans="2:14" s="520" customFormat="1" ht="20.100000000000001" customHeight="1" thickBot="1">
      <c r="B732" s="515" t="s">
        <v>1241</v>
      </c>
      <c r="C732" s="433">
        <f t="shared" ref="C732:K732" si="77">SUM(C730:C731)</f>
        <v>24171</v>
      </c>
      <c r="D732" s="433">
        <f t="shared" si="77"/>
        <v>48103</v>
      </c>
      <c r="E732" s="433">
        <f t="shared" si="77"/>
        <v>48526</v>
      </c>
      <c r="F732" s="433">
        <f t="shared" si="77"/>
        <v>78764</v>
      </c>
      <c r="G732" s="433">
        <f t="shared" si="77"/>
        <v>99353</v>
      </c>
      <c r="H732" s="433">
        <f t="shared" si="77"/>
        <v>101837</v>
      </c>
      <c r="I732" s="433">
        <f t="shared" si="77"/>
        <v>104383</v>
      </c>
      <c r="J732" s="433">
        <f t="shared" si="77"/>
        <v>106993</v>
      </c>
      <c r="K732" s="433">
        <f t="shared" si="77"/>
        <v>109668</v>
      </c>
      <c r="L732" s="406"/>
      <c r="M732" s="406"/>
      <c r="N732" s="161"/>
    </row>
    <row r="733" spans="2:14" s="520" customFormat="1" ht="6.9" customHeight="1">
      <c r="B733" s="133"/>
      <c r="C733" s="49"/>
      <c r="D733" s="49"/>
      <c r="E733" s="49"/>
      <c r="F733" s="49"/>
      <c r="G733" s="49"/>
      <c r="H733" s="49"/>
      <c r="I733" s="49"/>
      <c r="J733" s="49"/>
      <c r="K733" s="49"/>
      <c r="L733" s="666"/>
      <c r="M733" s="666"/>
      <c r="N733" s="161"/>
    </row>
    <row r="734" spans="2:14" s="390" customFormat="1" ht="20.100000000000001" customHeight="1">
      <c r="B734" s="134" t="s">
        <v>592</v>
      </c>
      <c r="C734" s="2">
        <f>'Budget Detail FY 2020-27'!M1103</f>
        <v>1000</v>
      </c>
      <c r="D734" s="2">
        <f>'Budget Detail FY 2020-27'!N1103</f>
        <v>0</v>
      </c>
      <c r="E734" s="2">
        <f>'Budget Detail FY 2020-27'!O1103</f>
        <v>0</v>
      </c>
      <c r="F734" s="2">
        <f>'Budget Detail FY 2020-27'!P1103</f>
        <v>0</v>
      </c>
      <c r="G734" s="2">
        <f>'Budget Detail FY 2020-27'!Q1103</f>
        <v>0</v>
      </c>
      <c r="H734" s="2">
        <f>'Budget Detail FY 2020-27'!R1103</f>
        <v>0</v>
      </c>
      <c r="I734" s="2">
        <f>'Budget Detail FY 2020-27'!S1103</f>
        <v>0</v>
      </c>
      <c r="J734" s="2">
        <f>'Budget Detail FY 2020-27'!T1103</f>
        <v>0</v>
      </c>
      <c r="K734" s="2">
        <f>'Budget Detail FY 2020-27'!U1103</f>
        <v>0</v>
      </c>
      <c r="L734" s="663"/>
      <c r="M734" s="663"/>
      <c r="N734" s="161"/>
    </row>
    <row r="735" spans="2:14" ht="14.4" thickBot="1">
      <c r="B735" s="79" t="s">
        <v>593</v>
      </c>
      <c r="C735" s="433">
        <f>C732+C734</f>
        <v>25171</v>
      </c>
      <c r="D735" s="433">
        <f>D732+D734</f>
        <v>48103</v>
      </c>
      <c r="E735" s="433">
        <f>E732+E734</f>
        <v>48526</v>
      </c>
      <c r="F735" s="433">
        <f>F732+F734</f>
        <v>78764</v>
      </c>
      <c r="G735" s="433">
        <f>G732+G734</f>
        <v>99353</v>
      </c>
      <c r="H735" s="433">
        <f t="shared" ref="H735:K735" si="78">H732+H734</f>
        <v>101837</v>
      </c>
      <c r="I735" s="433">
        <f t="shared" si="78"/>
        <v>104383</v>
      </c>
      <c r="J735" s="433">
        <f t="shared" si="78"/>
        <v>106993</v>
      </c>
      <c r="K735" s="433">
        <f t="shared" si="78"/>
        <v>109668</v>
      </c>
      <c r="L735" s="406"/>
      <c r="M735" s="406"/>
      <c r="N735" s="161"/>
    </row>
    <row r="736" spans="2:14">
      <c r="B736" s="1"/>
      <c r="C736" s="2"/>
      <c r="D736" s="2"/>
      <c r="E736" s="2"/>
      <c r="F736" s="2"/>
      <c r="G736" s="2"/>
      <c r="H736" s="2"/>
      <c r="I736" s="2"/>
      <c r="J736" s="2"/>
      <c r="K736" s="2"/>
      <c r="L736" s="663"/>
      <c r="M736" s="663"/>
      <c r="N736" s="161"/>
    </row>
    <row r="737" spans="2:14">
      <c r="B737" s="80" t="s">
        <v>424</v>
      </c>
      <c r="C737" s="2"/>
      <c r="D737" s="2"/>
      <c r="E737" s="2"/>
      <c r="F737" s="2"/>
      <c r="G737" s="2"/>
      <c r="H737" s="2"/>
      <c r="I737" s="2"/>
      <c r="J737" s="2"/>
      <c r="K737" s="2"/>
      <c r="L737" s="663"/>
      <c r="M737" s="663"/>
      <c r="N737" s="161"/>
    </row>
    <row r="738" spans="2:14" ht="20.100000000000001" customHeight="1">
      <c r="B738" s="134" t="s">
        <v>596</v>
      </c>
      <c r="C738" s="49">
        <f>'Budget Detail FY 2020-27'!M1108+'Budget Detail FY 2020-27'!M1109</f>
        <v>96235</v>
      </c>
      <c r="D738" s="49">
        <f>'Budget Detail FY 2020-27'!N1108+'Budget Detail FY 2020-27'!N1109</f>
        <v>22173</v>
      </c>
      <c r="E738" s="49">
        <f>'Budget Detail FY 2020-27'!O1108+'Budget Detail FY 2020-27'!O1109</f>
        <v>30500</v>
      </c>
      <c r="F738" s="49">
        <f>'Budget Detail FY 2020-27'!P1108+'Budget Detail FY 2020-27'!P1109</f>
        <v>37805</v>
      </c>
      <c r="G738" s="49">
        <f>'Budget Detail FY 2020-27'!Q1108+'Budget Detail FY 2020-27'!Q1109</f>
        <v>30500</v>
      </c>
      <c r="H738" s="49">
        <f>'Budget Detail FY 2020-27'!R1108+'Budget Detail FY 2020-27'!R1109</f>
        <v>13000</v>
      </c>
      <c r="I738" s="49">
        <f>'Budget Detail FY 2020-27'!S1108+'Budget Detail FY 2020-27'!S1109</f>
        <v>19000</v>
      </c>
      <c r="J738" s="49">
        <f>'Budget Detail FY 2020-27'!T1108+'Budget Detail FY 2020-27'!T1109</f>
        <v>18104</v>
      </c>
      <c r="K738" s="49">
        <f>'Budget Detail FY 2020-27'!U1108+'Budget Detail FY 2020-27'!U1109</f>
        <v>18628</v>
      </c>
      <c r="L738" s="666"/>
      <c r="M738" s="666"/>
      <c r="N738" s="161"/>
    </row>
    <row r="739" spans="2:14" ht="14.4" thickBot="1">
      <c r="B739" s="79" t="s">
        <v>600</v>
      </c>
      <c r="C739" s="433">
        <f t="shared" ref="C739:K739" si="79">SUM(C738:C738)</f>
        <v>96235</v>
      </c>
      <c r="D739" s="433">
        <f t="shared" si="79"/>
        <v>22173</v>
      </c>
      <c r="E739" s="433">
        <f t="shared" si="79"/>
        <v>30500</v>
      </c>
      <c r="F739" s="433">
        <f t="shared" si="79"/>
        <v>37805</v>
      </c>
      <c r="G739" s="433">
        <f t="shared" si="79"/>
        <v>30500</v>
      </c>
      <c r="H739" s="433">
        <f t="shared" si="79"/>
        <v>13000</v>
      </c>
      <c r="I739" s="433">
        <f t="shared" si="79"/>
        <v>19000</v>
      </c>
      <c r="J739" s="433">
        <f t="shared" si="79"/>
        <v>18104</v>
      </c>
      <c r="K739" s="433">
        <f t="shared" si="79"/>
        <v>18628</v>
      </c>
      <c r="L739" s="406"/>
      <c r="M739" s="406"/>
      <c r="N739" s="661"/>
    </row>
    <row r="740" spans="2:14">
      <c r="B740" s="80"/>
      <c r="C740" s="2"/>
      <c r="D740" s="2"/>
      <c r="E740" s="2"/>
      <c r="F740" s="2"/>
      <c r="G740" s="2"/>
      <c r="H740" s="2"/>
      <c r="I740" s="2"/>
      <c r="J740" s="2"/>
      <c r="K740" s="2"/>
      <c r="L740" s="663"/>
      <c r="M740" s="663"/>
      <c r="N740" s="161"/>
    </row>
    <row r="741" spans="2:14" ht="20.100000000000001" customHeight="1">
      <c r="B741" s="133" t="s">
        <v>601</v>
      </c>
      <c r="C741" s="49">
        <f t="shared" ref="C741:K741" si="80">+C735-C739</f>
        <v>-71064</v>
      </c>
      <c r="D741" s="49">
        <f t="shared" si="80"/>
        <v>25930</v>
      </c>
      <c r="E741" s="49">
        <f t="shared" si="80"/>
        <v>18026</v>
      </c>
      <c r="F741" s="49">
        <f t="shared" si="80"/>
        <v>40959</v>
      </c>
      <c r="G741" s="49">
        <f t="shared" si="80"/>
        <v>68853</v>
      </c>
      <c r="H741" s="49">
        <f t="shared" si="80"/>
        <v>88837</v>
      </c>
      <c r="I741" s="49">
        <f t="shared" si="80"/>
        <v>85383</v>
      </c>
      <c r="J741" s="49">
        <f t="shared" si="80"/>
        <v>88889</v>
      </c>
      <c r="K741" s="49">
        <f t="shared" si="80"/>
        <v>91040</v>
      </c>
      <c r="L741" s="666"/>
      <c r="M741" s="666"/>
      <c r="N741" s="161"/>
    </row>
    <row r="742" spans="2:14">
      <c r="B742" s="81"/>
      <c r="C742" s="2"/>
      <c r="D742" s="2"/>
      <c r="E742" s="2"/>
      <c r="F742" s="2"/>
      <c r="G742" s="2"/>
      <c r="H742" s="2"/>
      <c r="I742" s="2"/>
      <c r="J742" s="2"/>
      <c r="K742" s="2"/>
      <c r="L742" s="663"/>
      <c r="M742" s="663"/>
      <c r="N742" s="161"/>
    </row>
    <row r="743" spans="2:14" ht="20.100000000000001" customHeight="1" thickBot="1">
      <c r="B743" s="78" t="s">
        <v>602</v>
      </c>
      <c r="C743" s="431">
        <v>-73799</v>
      </c>
      <c r="D743" s="431">
        <v>-47869</v>
      </c>
      <c r="E743" s="431">
        <v>-31910</v>
      </c>
      <c r="F743" s="431">
        <f>D743+F741</f>
        <v>-6910</v>
      </c>
      <c r="G743" s="431">
        <f>F743+G741</f>
        <v>61943</v>
      </c>
      <c r="H743" s="431">
        <f>G743+H741</f>
        <v>150780</v>
      </c>
      <c r="I743" s="431">
        <f>H743+I741</f>
        <v>236163</v>
      </c>
      <c r="J743" s="431">
        <f>I743+J741</f>
        <v>325052</v>
      </c>
      <c r="K743" s="431">
        <f>J743+K741</f>
        <v>416092</v>
      </c>
      <c r="L743" s="406"/>
      <c r="M743" s="406"/>
      <c r="N743" s="161"/>
    </row>
    <row r="744" spans="2:14" ht="14.4" thickTop="1">
      <c r="B744" s="4"/>
      <c r="C744" s="2"/>
      <c r="D744" s="2"/>
      <c r="E744" s="2"/>
      <c r="F744" s="2"/>
      <c r="G744" s="2"/>
      <c r="H744" s="2"/>
      <c r="I744" s="2"/>
      <c r="J744" s="2"/>
      <c r="K744" s="2"/>
      <c r="L744" s="663"/>
      <c r="M744" s="663"/>
      <c r="N744" s="161"/>
    </row>
    <row r="745" spans="2:14">
      <c r="B745" s="4"/>
      <c r="C745" s="2"/>
      <c r="D745" s="2"/>
      <c r="E745" s="2"/>
      <c r="F745" s="2"/>
      <c r="G745" s="2"/>
      <c r="H745" s="2"/>
      <c r="I745" s="2"/>
      <c r="J745" s="2"/>
      <c r="K745" s="2"/>
      <c r="L745" s="663"/>
      <c r="M745" s="663"/>
      <c r="N745" s="161"/>
    </row>
    <row r="746" spans="2:14">
      <c r="B746" s="4"/>
      <c r="C746" s="2"/>
      <c r="D746" s="2"/>
      <c r="E746" s="2"/>
      <c r="F746" s="2"/>
      <c r="G746" s="2"/>
      <c r="H746" s="2"/>
      <c r="I746" s="2"/>
      <c r="J746" s="2"/>
      <c r="K746" s="2"/>
      <c r="L746" s="663"/>
      <c r="M746" s="663"/>
      <c r="N746" s="161"/>
    </row>
    <row r="747" spans="2:14">
      <c r="B747" s="1"/>
      <c r="C747" s="2"/>
      <c r="D747" s="2"/>
      <c r="E747" s="2"/>
      <c r="F747" s="2"/>
      <c r="G747" s="2"/>
      <c r="H747" s="2"/>
      <c r="I747" s="2"/>
      <c r="J747" s="2"/>
      <c r="K747" s="2"/>
      <c r="L747" s="663"/>
      <c r="M747" s="663"/>
      <c r="N747" s="161"/>
    </row>
    <row r="748" spans="2:14">
      <c r="B748" s="1"/>
      <c r="C748" s="2"/>
      <c r="D748" s="2"/>
      <c r="E748" s="2"/>
      <c r="F748" s="2"/>
      <c r="G748" s="2"/>
      <c r="H748" s="2"/>
      <c r="I748" s="2"/>
      <c r="J748" s="2"/>
      <c r="K748" s="2"/>
      <c r="L748" s="663"/>
      <c r="M748" s="663"/>
      <c r="N748" s="161"/>
    </row>
    <row r="749" spans="2:14">
      <c r="B749" s="1"/>
      <c r="C749" s="2"/>
      <c r="D749" s="2"/>
      <c r="E749" s="2"/>
      <c r="F749" s="2"/>
      <c r="G749" s="2"/>
      <c r="H749" s="2"/>
      <c r="I749" s="2"/>
      <c r="J749" s="2"/>
      <c r="K749" s="2"/>
      <c r="L749" s="663"/>
      <c r="M749" s="663"/>
      <c r="N749" s="161"/>
    </row>
    <row r="750" spans="2:14">
      <c r="B750" s="1"/>
      <c r="C750" s="2"/>
      <c r="D750" s="2"/>
      <c r="E750" s="2"/>
      <c r="F750" s="2"/>
      <c r="G750" s="2"/>
      <c r="H750" s="2"/>
      <c r="I750" s="2"/>
      <c r="J750" s="2"/>
      <c r="K750" s="2"/>
      <c r="L750" s="663"/>
      <c r="M750" s="663"/>
      <c r="N750" s="161"/>
    </row>
    <row r="751" spans="2:14">
      <c r="B751" s="1"/>
      <c r="C751" s="2"/>
      <c r="D751" s="2"/>
      <c r="E751" s="2"/>
      <c r="F751" s="2"/>
      <c r="G751" s="2"/>
      <c r="H751" s="2"/>
      <c r="I751" s="2"/>
      <c r="J751" s="2"/>
      <c r="K751" s="2"/>
      <c r="L751" s="663"/>
      <c r="M751" s="663"/>
      <c r="N751" s="161"/>
    </row>
    <row r="752" spans="2:14">
      <c r="B752" s="1"/>
      <c r="C752" s="2"/>
      <c r="D752" s="2"/>
      <c r="E752" s="2"/>
      <c r="F752" s="2"/>
      <c r="G752" s="2"/>
      <c r="H752" s="2"/>
      <c r="I752" s="2"/>
      <c r="J752" s="2"/>
      <c r="K752" s="2"/>
      <c r="L752" s="663"/>
      <c r="M752" s="663"/>
      <c r="N752" s="161"/>
    </row>
    <row r="753" spans="1:14">
      <c r="B753" s="1"/>
      <c r="C753" s="2"/>
      <c r="D753" s="2"/>
      <c r="E753" s="2"/>
      <c r="F753" s="2"/>
      <c r="G753" s="2"/>
      <c r="H753" s="2"/>
      <c r="I753" s="2"/>
      <c r="J753" s="2"/>
      <c r="K753" s="2"/>
      <c r="L753" s="663"/>
      <c r="M753" s="663"/>
      <c r="N753" s="161"/>
    </row>
    <row r="754" spans="1:14">
      <c r="B754" s="1"/>
      <c r="C754" s="2"/>
      <c r="D754" s="2"/>
      <c r="E754" s="2"/>
      <c r="F754" s="2"/>
      <c r="G754" s="2"/>
      <c r="H754" s="2"/>
      <c r="I754" s="2"/>
      <c r="J754" s="2"/>
      <c r="K754" s="2"/>
      <c r="L754" s="663"/>
      <c r="M754" s="663"/>
      <c r="N754" s="161"/>
    </row>
    <row r="755" spans="1:14">
      <c r="B755" s="1"/>
      <c r="C755" s="2"/>
      <c r="D755" s="2"/>
      <c r="E755" s="2"/>
      <c r="F755" s="2"/>
      <c r="G755" s="2"/>
      <c r="H755" s="2"/>
      <c r="I755" s="2"/>
      <c r="J755" s="2"/>
      <c r="K755" s="2"/>
      <c r="L755" s="663"/>
      <c r="M755" s="663"/>
      <c r="N755" s="161"/>
    </row>
    <row r="756" spans="1:14">
      <c r="B756" s="1"/>
      <c r="C756" s="2"/>
      <c r="D756" s="2"/>
      <c r="E756" s="2"/>
      <c r="F756" s="2"/>
      <c r="G756" s="2"/>
      <c r="H756" s="2"/>
      <c r="I756" s="2"/>
      <c r="J756" s="2"/>
      <c r="K756" s="2"/>
      <c r="L756" s="663"/>
      <c r="M756" s="663"/>
      <c r="N756" s="161"/>
    </row>
    <row r="757" spans="1:14">
      <c r="B757" s="1"/>
      <c r="C757" s="2"/>
      <c r="D757" s="2"/>
      <c r="E757" s="2"/>
      <c r="F757" s="2"/>
      <c r="G757" s="2"/>
      <c r="H757" s="2"/>
      <c r="I757" s="2"/>
      <c r="J757" s="2"/>
      <c r="K757" s="2"/>
      <c r="L757" s="663"/>
      <c r="M757" s="663"/>
      <c r="N757" s="161"/>
    </row>
    <row r="758" spans="1:14">
      <c r="B758" s="1"/>
      <c r="C758" s="2"/>
      <c r="D758" s="2"/>
      <c r="E758" s="2"/>
      <c r="F758" s="2"/>
      <c r="G758" s="2"/>
      <c r="H758" s="2"/>
      <c r="I758" s="2"/>
      <c r="J758" s="2"/>
      <c r="K758" s="2"/>
      <c r="L758" s="663"/>
      <c r="M758" s="663"/>
      <c r="N758" s="161"/>
    </row>
    <row r="759" spans="1:14" ht="17.399999999999999">
      <c r="A759" s="1"/>
      <c r="B759" s="682" t="s">
        <v>809</v>
      </c>
      <c r="C759" s="682"/>
      <c r="D759" s="682"/>
      <c r="E759" s="682"/>
      <c r="F759" s="682"/>
      <c r="G759" s="682"/>
      <c r="H759" s="682"/>
      <c r="I759" s="682"/>
      <c r="J759" s="682"/>
      <c r="K759" s="682"/>
      <c r="L759" s="662"/>
      <c r="M759" s="662"/>
      <c r="N759" s="161"/>
    </row>
    <row r="760" spans="1:14" ht="7.5" customHeight="1">
      <c r="A760" s="1"/>
      <c r="B760" s="43"/>
      <c r="C760" s="2"/>
      <c r="D760" s="2"/>
      <c r="E760" s="2"/>
      <c r="F760" s="2"/>
      <c r="G760" s="2"/>
      <c r="H760" s="2"/>
      <c r="I760" s="2"/>
      <c r="J760" s="2"/>
      <c r="K760" s="2"/>
      <c r="L760" s="663"/>
      <c r="M760" s="663"/>
      <c r="N760" s="161"/>
    </row>
    <row r="761" spans="1:14" ht="15" customHeight="1">
      <c r="A761" s="1"/>
      <c r="B761" s="683" t="s">
        <v>1176</v>
      </c>
      <c r="C761" s="683"/>
      <c r="D761" s="683"/>
      <c r="E761" s="683"/>
      <c r="F761" s="683"/>
      <c r="G761" s="683"/>
      <c r="H761" s="683"/>
      <c r="I761" s="683"/>
      <c r="J761" s="683"/>
      <c r="K761" s="683"/>
      <c r="L761" s="664"/>
      <c r="M761" s="664"/>
      <c r="N761" s="161"/>
    </row>
    <row r="762" spans="1:14">
      <c r="A762" s="1"/>
      <c r="B762" s="683"/>
      <c r="C762" s="683"/>
      <c r="D762" s="683"/>
      <c r="E762" s="683"/>
      <c r="F762" s="683"/>
      <c r="G762" s="683"/>
      <c r="H762" s="683"/>
      <c r="I762" s="683"/>
      <c r="J762" s="683"/>
      <c r="K762" s="683"/>
      <c r="L762" s="664"/>
      <c r="M762" s="664"/>
      <c r="N762" s="161"/>
    </row>
    <row r="763" spans="1:14">
      <c r="A763" s="1"/>
      <c r="B763" s="374"/>
      <c r="C763" s="374"/>
      <c r="D763" s="374"/>
      <c r="E763" s="374"/>
      <c r="F763" s="374"/>
      <c r="G763" s="374"/>
      <c r="H763" s="374"/>
      <c r="I763" s="374"/>
      <c r="J763" s="374"/>
      <c r="K763" s="374"/>
      <c r="L763" s="664"/>
      <c r="M763" s="664"/>
      <c r="N763" s="161"/>
    </row>
    <row r="764" spans="1:14">
      <c r="A764" s="1"/>
      <c r="B764" s="4"/>
      <c r="C764" s="43"/>
      <c r="D764" s="573"/>
      <c r="E764" s="43" t="s">
        <v>815</v>
      </c>
      <c r="F764" s="573"/>
      <c r="G764" s="43" t="s">
        <v>816</v>
      </c>
      <c r="H764" s="573"/>
      <c r="I764" s="573"/>
      <c r="J764" s="573"/>
      <c r="K764" s="573"/>
      <c r="L764" s="304"/>
      <c r="M764" s="304"/>
      <c r="N764" s="161"/>
    </row>
    <row r="765" spans="1:14">
      <c r="A765" s="1"/>
      <c r="B765" s="43"/>
      <c r="C765" s="43" t="s">
        <v>813</v>
      </c>
      <c r="D765" s="43" t="s">
        <v>814</v>
      </c>
      <c r="E765" s="43" t="s">
        <v>583</v>
      </c>
      <c r="F765" s="43" t="s">
        <v>815</v>
      </c>
      <c r="G765" s="156" t="str">
        <f>'Fund Cover Sheets'!$N$1</f>
        <v>Adopted</v>
      </c>
      <c r="H765" s="43" t="s">
        <v>817</v>
      </c>
      <c r="I765" s="43" t="s">
        <v>818</v>
      </c>
      <c r="J765" s="43" t="s">
        <v>819</v>
      </c>
      <c r="K765" s="43" t="s">
        <v>820</v>
      </c>
      <c r="L765" s="665"/>
      <c r="M765" s="665"/>
      <c r="N765" s="161"/>
    </row>
    <row r="766" spans="1:14" ht="14.4" thickBot="1">
      <c r="A766" s="1"/>
      <c r="B766" s="44"/>
      <c r="C766" s="45" t="s">
        <v>1</v>
      </c>
      <c r="D766" s="45" t="s">
        <v>1</v>
      </c>
      <c r="E766" s="45" t="s">
        <v>553</v>
      </c>
      <c r="F766" s="45" t="s">
        <v>19</v>
      </c>
      <c r="G766" s="45" t="s">
        <v>553</v>
      </c>
      <c r="H766" s="45" t="s">
        <v>19</v>
      </c>
      <c r="I766" s="45" t="s">
        <v>19</v>
      </c>
      <c r="J766" s="45" t="s">
        <v>19</v>
      </c>
      <c r="K766" s="45" t="s">
        <v>19</v>
      </c>
      <c r="L766" s="566"/>
      <c r="M766" s="566"/>
      <c r="N766" s="161"/>
    </row>
    <row r="767" spans="1:14">
      <c r="A767" s="1"/>
      <c r="B767" s="1"/>
      <c r="C767" s="52"/>
      <c r="D767" s="2"/>
      <c r="E767" s="2"/>
      <c r="F767" s="2"/>
      <c r="G767" s="2"/>
      <c r="H767" s="2"/>
      <c r="I767" s="2"/>
      <c r="J767" s="2"/>
      <c r="K767" s="2"/>
      <c r="L767" s="663"/>
      <c r="M767" s="663"/>
      <c r="N767" s="161"/>
    </row>
    <row r="768" spans="1:14">
      <c r="A768" s="1"/>
      <c r="B768" s="80" t="s">
        <v>685</v>
      </c>
      <c r="C768" s="2"/>
      <c r="D768" s="2"/>
      <c r="E768" s="2"/>
      <c r="F768" s="2"/>
      <c r="G768" s="2"/>
      <c r="H768" s="2"/>
      <c r="I768" s="2"/>
      <c r="J768" s="2"/>
      <c r="K768" s="2"/>
      <c r="L768" s="663"/>
      <c r="M768" s="663"/>
      <c r="N768" s="161"/>
    </row>
    <row r="769" spans="1:14" ht="20.100000000000001" customHeight="1">
      <c r="A769" s="1"/>
      <c r="B769" s="133" t="s">
        <v>584</v>
      </c>
      <c r="C769" s="49">
        <f t="shared" ref="C769:K769" si="81">C11+C62+C97+C659+C694+C730</f>
        <v>11713774</v>
      </c>
      <c r="D769" s="49">
        <f t="shared" si="81"/>
        <v>12276601</v>
      </c>
      <c r="E769" s="49">
        <f t="shared" si="81"/>
        <v>12508270</v>
      </c>
      <c r="F769" s="49">
        <f t="shared" si="81"/>
        <v>14437891</v>
      </c>
      <c r="G769" s="49">
        <f t="shared" si="81"/>
        <v>14786493</v>
      </c>
      <c r="H769" s="49">
        <f t="shared" si="81"/>
        <v>15148421</v>
      </c>
      <c r="I769" s="49">
        <f t="shared" si="81"/>
        <v>15509021</v>
      </c>
      <c r="J769" s="49">
        <f t="shared" si="81"/>
        <v>15876854</v>
      </c>
      <c r="K769" s="49">
        <f t="shared" si="81"/>
        <v>16254507</v>
      </c>
      <c r="L769" s="666"/>
      <c r="M769" s="666"/>
      <c r="N769" s="659"/>
    </row>
    <row r="770" spans="1:14" ht="20.100000000000001" customHeight="1">
      <c r="A770" s="1"/>
      <c r="B770" s="133" t="s">
        <v>585</v>
      </c>
      <c r="C770" s="2">
        <f t="shared" ref="C770:K770" si="82">C12+C131+C168+C526+C269+C433+C382</f>
        <v>3534128</v>
      </c>
      <c r="D770" s="2">
        <f t="shared" si="82"/>
        <v>6413265</v>
      </c>
      <c r="E770" s="2">
        <f t="shared" si="82"/>
        <v>5209799</v>
      </c>
      <c r="F770" s="2">
        <f t="shared" si="82"/>
        <v>6543731</v>
      </c>
      <c r="G770" s="2">
        <f t="shared" si="82"/>
        <v>8733097</v>
      </c>
      <c r="H770" s="2">
        <f t="shared" si="82"/>
        <v>6066284</v>
      </c>
      <c r="I770" s="2">
        <f t="shared" si="82"/>
        <v>6442445</v>
      </c>
      <c r="J770" s="2">
        <f t="shared" si="82"/>
        <v>5020169</v>
      </c>
      <c r="K770" s="2">
        <f t="shared" si="82"/>
        <v>5100838</v>
      </c>
      <c r="L770" s="663"/>
      <c r="M770" s="663"/>
      <c r="N770" s="659"/>
    </row>
    <row r="771" spans="1:14" ht="20.100000000000001" customHeight="1">
      <c r="A771" s="1"/>
      <c r="B771" s="134" t="s">
        <v>586</v>
      </c>
      <c r="C771" s="2">
        <f t="shared" ref="C771:K771" si="83">C13+C169+C345+C270+C218</f>
        <v>1018091</v>
      </c>
      <c r="D771" s="2">
        <f t="shared" si="83"/>
        <v>1370831</v>
      </c>
      <c r="E771" s="2">
        <f t="shared" si="83"/>
        <v>782000</v>
      </c>
      <c r="F771" s="2">
        <f t="shared" si="83"/>
        <v>1434500</v>
      </c>
      <c r="G771" s="2">
        <f t="shared" si="83"/>
        <v>775500</v>
      </c>
      <c r="H771" s="2">
        <f t="shared" si="83"/>
        <v>717500</v>
      </c>
      <c r="I771" s="2">
        <f t="shared" si="83"/>
        <v>717500</v>
      </c>
      <c r="J771" s="2">
        <f t="shared" si="83"/>
        <v>717500</v>
      </c>
      <c r="K771" s="2">
        <f t="shared" si="83"/>
        <v>717500</v>
      </c>
      <c r="L771" s="663"/>
      <c r="M771" s="663"/>
      <c r="N771" s="660"/>
    </row>
    <row r="772" spans="1:14" ht="20.100000000000001" customHeight="1">
      <c r="A772" s="1"/>
      <c r="B772" s="134" t="s">
        <v>587</v>
      </c>
      <c r="C772" s="2">
        <f t="shared" ref="C772:K772" si="84">C14+C271</f>
        <v>80671</v>
      </c>
      <c r="D772" s="2">
        <f t="shared" si="84"/>
        <v>113266</v>
      </c>
      <c r="E772" s="2">
        <f t="shared" si="84"/>
        <v>124650</v>
      </c>
      <c r="F772" s="2">
        <f t="shared" si="84"/>
        <v>124660</v>
      </c>
      <c r="G772" s="2">
        <f t="shared" si="84"/>
        <v>122150</v>
      </c>
      <c r="H772" s="2">
        <f t="shared" si="84"/>
        <v>122150</v>
      </c>
      <c r="I772" s="2">
        <f t="shared" si="84"/>
        <v>124650</v>
      </c>
      <c r="J772" s="2">
        <f t="shared" si="84"/>
        <v>124650</v>
      </c>
      <c r="K772" s="2">
        <f t="shared" si="84"/>
        <v>124650</v>
      </c>
      <c r="L772" s="663"/>
      <c r="M772" s="663"/>
      <c r="N772" s="660"/>
    </row>
    <row r="773" spans="1:14" ht="20.100000000000001" customHeight="1">
      <c r="A773" s="1"/>
      <c r="B773" s="134" t="s">
        <v>588</v>
      </c>
      <c r="C773" s="2">
        <f t="shared" ref="C773:K773" si="85">C15+C170+C383+C434+C272+C527+C219</f>
        <v>9109548</v>
      </c>
      <c r="D773" s="2">
        <f t="shared" si="85"/>
        <v>10914072</v>
      </c>
      <c r="E773" s="2">
        <f t="shared" si="85"/>
        <v>10003438</v>
      </c>
      <c r="F773" s="2">
        <f t="shared" si="85"/>
        <v>10526087</v>
      </c>
      <c r="G773" s="2">
        <f t="shared" si="85"/>
        <v>11712961</v>
      </c>
      <c r="H773" s="2">
        <f t="shared" si="85"/>
        <v>12071623</v>
      </c>
      <c r="I773" s="2">
        <f t="shared" si="85"/>
        <v>12577874</v>
      </c>
      <c r="J773" s="2">
        <f t="shared" si="85"/>
        <v>13121523</v>
      </c>
      <c r="K773" s="2">
        <f t="shared" si="85"/>
        <v>13574585</v>
      </c>
      <c r="L773" s="663"/>
      <c r="M773" s="663"/>
      <c r="N773" s="660"/>
    </row>
    <row r="774" spans="1:14" ht="20.100000000000001" customHeight="1">
      <c r="A774" s="1"/>
      <c r="B774" s="134" t="s">
        <v>589</v>
      </c>
      <c r="C774" s="2">
        <f t="shared" ref="C774:K774" si="86">C16+C132+C171+C384+C435+C273+C528+C220</f>
        <v>288649</v>
      </c>
      <c r="D774" s="2">
        <f t="shared" si="86"/>
        <v>15723</v>
      </c>
      <c r="E774" s="2">
        <f t="shared" si="86"/>
        <v>31250</v>
      </c>
      <c r="F774" s="2">
        <f t="shared" si="86"/>
        <v>20168</v>
      </c>
      <c r="G774" s="2">
        <f t="shared" si="86"/>
        <v>12750</v>
      </c>
      <c r="H774" s="2">
        <f t="shared" si="86"/>
        <v>28250</v>
      </c>
      <c r="I774" s="2">
        <f t="shared" si="86"/>
        <v>48500</v>
      </c>
      <c r="J774" s="2">
        <f t="shared" si="86"/>
        <v>74000</v>
      </c>
      <c r="K774" s="2">
        <f t="shared" si="86"/>
        <v>109500</v>
      </c>
      <c r="L774" s="663"/>
      <c r="M774" s="663"/>
      <c r="N774" s="660"/>
    </row>
    <row r="775" spans="1:14" ht="20.100000000000001" customHeight="1">
      <c r="A775" s="1"/>
      <c r="B775" s="134" t="s">
        <v>590</v>
      </c>
      <c r="C775" s="2">
        <f t="shared" ref="C775:K775" si="87">C17+C172+C385+C436+C133+C274+C529</f>
        <v>224608</v>
      </c>
      <c r="D775" s="2">
        <f t="shared" si="87"/>
        <v>205855</v>
      </c>
      <c r="E775" s="2">
        <f t="shared" si="87"/>
        <v>2660418</v>
      </c>
      <c r="F775" s="2">
        <f t="shared" si="87"/>
        <v>2116650</v>
      </c>
      <c r="G775" s="2">
        <f t="shared" si="87"/>
        <v>3414415</v>
      </c>
      <c r="H775" s="2">
        <f t="shared" si="87"/>
        <v>1232096</v>
      </c>
      <c r="I775" s="2">
        <f t="shared" si="87"/>
        <v>30000</v>
      </c>
      <c r="J775" s="2">
        <f t="shared" si="87"/>
        <v>30000</v>
      </c>
      <c r="K775" s="2">
        <f t="shared" si="87"/>
        <v>201600</v>
      </c>
      <c r="L775" s="663"/>
      <c r="M775" s="663"/>
      <c r="N775" s="660"/>
    </row>
    <row r="776" spans="1:14" ht="20.100000000000001" customHeight="1">
      <c r="A776" s="1"/>
      <c r="B776" s="134" t="s">
        <v>619</v>
      </c>
      <c r="C776" s="2">
        <f t="shared" ref="C776:K776" si="88">C485</f>
        <v>41044</v>
      </c>
      <c r="D776" s="2">
        <f t="shared" si="88"/>
        <v>18770</v>
      </c>
      <c r="E776" s="2">
        <f t="shared" si="88"/>
        <v>25760</v>
      </c>
      <c r="F776" s="2">
        <f t="shared" si="88"/>
        <v>1136</v>
      </c>
      <c r="G776" s="2">
        <f t="shared" si="88"/>
        <v>0</v>
      </c>
      <c r="H776" s="2">
        <f t="shared" si="88"/>
        <v>0</v>
      </c>
      <c r="I776" s="2">
        <f t="shared" si="88"/>
        <v>0</v>
      </c>
      <c r="J776" s="2">
        <f t="shared" si="88"/>
        <v>0</v>
      </c>
      <c r="K776" s="2">
        <f t="shared" si="88"/>
        <v>0</v>
      </c>
      <c r="L776" s="663"/>
      <c r="M776" s="663"/>
      <c r="N776" s="660"/>
    </row>
    <row r="777" spans="1:14" ht="20.100000000000001" customHeight="1">
      <c r="A777" s="1"/>
      <c r="B777" s="134" t="s">
        <v>591</v>
      </c>
      <c r="C777" s="2">
        <f t="shared" ref="C777:K777" si="89">C18+C386+C173+C486+C275+C530+C221+C731</f>
        <v>350300</v>
      </c>
      <c r="D777" s="2">
        <f t="shared" si="89"/>
        <v>267796</v>
      </c>
      <c r="E777" s="2">
        <f t="shared" si="89"/>
        <v>424603</v>
      </c>
      <c r="F777" s="2">
        <f t="shared" si="89"/>
        <v>433879</v>
      </c>
      <c r="G777" s="2">
        <f t="shared" si="89"/>
        <v>393882</v>
      </c>
      <c r="H777" s="2">
        <f t="shared" si="89"/>
        <v>348820</v>
      </c>
      <c r="I777" s="2">
        <f t="shared" si="89"/>
        <v>353924</v>
      </c>
      <c r="J777" s="2">
        <f t="shared" si="89"/>
        <v>359196</v>
      </c>
      <c r="K777" s="2">
        <f t="shared" si="89"/>
        <v>364615</v>
      </c>
      <c r="L777" s="663"/>
      <c r="M777" s="663"/>
      <c r="N777" s="660"/>
    </row>
    <row r="778" spans="1:14" s="470" customFormat="1" ht="20.100000000000001" customHeight="1">
      <c r="A778" s="468"/>
      <c r="B778" s="516" t="s">
        <v>1241</v>
      </c>
      <c r="C778" s="514">
        <f t="shared" ref="C778:K778" si="90">SUM(C769:C777)</f>
        <v>26360813</v>
      </c>
      <c r="D778" s="514">
        <f t="shared" si="90"/>
        <v>31596179</v>
      </c>
      <c r="E778" s="514">
        <f t="shared" si="90"/>
        <v>31770188</v>
      </c>
      <c r="F778" s="514">
        <f t="shared" si="90"/>
        <v>35638702</v>
      </c>
      <c r="G778" s="514">
        <f t="shared" si="90"/>
        <v>39951248</v>
      </c>
      <c r="H778" s="514">
        <f t="shared" si="90"/>
        <v>35735144</v>
      </c>
      <c r="I778" s="514">
        <f t="shared" si="90"/>
        <v>35803914</v>
      </c>
      <c r="J778" s="514">
        <f t="shared" si="90"/>
        <v>35323892</v>
      </c>
      <c r="K778" s="514">
        <f t="shared" si="90"/>
        <v>36447795</v>
      </c>
      <c r="L778" s="406"/>
      <c r="M778" s="406"/>
      <c r="N778" s="660"/>
    </row>
    <row r="779" spans="1:14" s="470" customFormat="1" ht="6.9" customHeight="1">
      <c r="A779" s="468"/>
      <c r="B779" s="134"/>
      <c r="C779" s="2"/>
      <c r="D779" s="2"/>
      <c r="E779" s="2"/>
      <c r="F779" s="2"/>
      <c r="G779" s="2"/>
      <c r="H779" s="2"/>
      <c r="I779" s="2"/>
      <c r="J779" s="2"/>
      <c r="K779" s="2"/>
      <c r="L779" s="663"/>
      <c r="M779" s="663"/>
      <c r="N779" s="660"/>
    </row>
    <row r="780" spans="1:14" ht="20.100000000000001" customHeight="1">
      <c r="A780" s="1"/>
      <c r="B780" s="134" t="s">
        <v>592</v>
      </c>
      <c r="C780" s="2">
        <f t="shared" ref="C780:K780" si="91">C21+C176+C348+C389+C439+C278+C533+C734+C224</f>
        <v>3313020</v>
      </c>
      <c r="D780" s="2">
        <f t="shared" si="91"/>
        <v>3726380</v>
      </c>
      <c r="E780" s="2">
        <f t="shared" si="91"/>
        <v>14283967</v>
      </c>
      <c r="F780" s="2">
        <f t="shared" si="91"/>
        <v>23501916</v>
      </c>
      <c r="G780" s="2">
        <f t="shared" si="91"/>
        <v>5912626</v>
      </c>
      <c r="H780" s="2">
        <f t="shared" si="91"/>
        <v>27787445</v>
      </c>
      <c r="I780" s="2">
        <f t="shared" si="91"/>
        <v>5680864</v>
      </c>
      <c r="J780" s="2">
        <f t="shared" si="91"/>
        <v>5652555</v>
      </c>
      <c r="K780" s="2">
        <f t="shared" si="91"/>
        <v>5356112</v>
      </c>
      <c r="L780" s="663"/>
      <c r="M780" s="663"/>
      <c r="N780" s="161"/>
    </row>
    <row r="781" spans="1:14" ht="20.100000000000001" customHeight="1" thickBot="1">
      <c r="A781" s="1"/>
      <c r="B781" s="79" t="s">
        <v>1255</v>
      </c>
      <c r="C781" s="433">
        <f t="shared" ref="C781:K781" si="92">C778+C780</f>
        <v>29673833</v>
      </c>
      <c r="D781" s="433">
        <f t="shared" si="92"/>
        <v>35322559</v>
      </c>
      <c r="E781" s="433">
        <f t="shared" si="92"/>
        <v>46054155</v>
      </c>
      <c r="F781" s="433">
        <f t="shared" si="92"/>
        <v>59140618</v>
      </c>
      <c r="G781" s="433">
        <f t="shared" si="92"/>
        <v>45863874</v>
      </c>
      <c r="H781" s="433">
        <f t="shared" si="92"/>
        <v>63522589</v>
      </c>
      <c r="I781" s="433">
        <f t="shared" si="92"/>
        <v>41484778</v>
      </c>
      <c r="J781" s="433">
        <f t="shared" si="92"/>
        <v>40976447</v>
      </c>
      <c r="K781" s="433">
        <f t="shared" si="92"/>
        <v>41803907</v>
      </c>
      <c r="L781" s="406"/>
      <c r="M781" s="406"/>
      <c r="N781" s="161"/>
    </row>
    <row r="782" spans="1:14" ht="7.5" customHeight="1">
      <c r="A782" s="1"/>
      <c r="B782" s="1"/>
      <c r="C782" s="2"/>
      <c r="D782" s="2"/>
      <c r="E782" s="2"/>
      <c r="F782" s="2"/>
      <c r="G782" s="2"/>
      <c r="H782" s="2"/>
      <c r="I782" s="2"/>
      <c r="J782" s="2"/>
      <c r="K782" s="2"/>
      <c r="L782" s="663"/>
      <c r="M782" s="663"/>
      <c r="N782" s="161"/>
    </row>
    <row r="783" spans="1:14">
      <c r="A783" s="1"/>
      <c r="B783" s="80" t="s">
        <v>424</v>
      </c>
      <c r="C783" s="2"/>
      <c r="D783" s="2"/>
      <c r="E783" s="2"/>
      <c r="F783" s="2"/>
      <c r="G783" s="2"/>
      <c r="H783" s="2"/>
      <c r="I783" s="2"/>
      <c r="J783" s="2"/>
      <c r="K783" s="2"/>
      <c r="L783" s="663"/>
      <c r="M783" s="663"/>
      <c r="N783" s="161"/>
    </row>
    <row r="784" spans="1:14" ht="20.100000000000001" customHeight="1">
      <c r="A784" s="1"/>
      <c r="B784" s="134" t="s">
        <v>594</v>
      </c>
      <c r="C784" s="49">
        <f t="shared" ref="C784:K784" si="93">C25+C393+C443+C537+C228</f>
        <v>6859852</v>
      </c>
      <c r="D784" s="49">
        <f t="shared" si="93"/>
        <v>6611542</v>
      </c>
      <c r="E784" s="49">
        <f t="shared" si="93"/>
        <v>7666162</v>
      </c>
      <c r="F784" s="49">
        <f t="shared" si="93"/>
        <v>7401032</v>
      </c>
      <c r="G784" s="49">
        <f t="shared" si="93"/>
        <v>8119666</v>
      </c>
      <c r="H784" s="49">
        <f t="shared" si="93"/>
        <v>8413883</v>
      </c>
      <c r="I784" s="49">
        <f t="shared" si="93"/>
        <v>8712508</v>
      </c>
      <c r="J784" s="49">
        <f t="shared" si="93"/>
        <v>9032293</v>
      </c>
      <c r="K784" s="49">
        <f t="shared" si="93"/>
        <v>9363621</v>
      </c>
      <c r="L784" s="666"/>
      <c r="M784" s="666"/>
      <c r="N784" s="660"/>
    </row>
    <row r="785" spans="1:14" ht="20.100000000000001" customHeight="1">
      <c r="A785" s="1"/>
      <c r="B785" s="134" t="s">
        <v>595</v>
      </c>
      <c r="C785" s="2">
        <f t="shared" ref="C785:K785" si="94">C26+C394+C444+C538+C229</f>
        <v>3840301</v>
      </c>
      <c r="D785" s="2">
        <f t="shared" si="94"/>
        <v>3918768</v>
      </c>
      <c r="E785" s="2">
        <f t="shared" si="94"/>
        <v>4360631</v>
      </c>
      <c r="F785" s="2">
        <f t="shared" si="94"/>
        <v>4233195.7300000004</v>
      </c>
      <c r="G785" s="2">
        <f t="shared" si="94"/>
        <v>4556267</v>
      </c>
      <c r="H785" s="2">
        <f t="shared" si="94"/>
        <v>4847075</v>
      </c>
      <c r="I785" s="2">
        <f t="shared" si="94"/>
        <v>5175516</v>
      </c>
      <c r="J785" s="2">
        <f t="shared" si="94"/>
        <v>5500041</v>
      </c>
      <c r="K785" s="2">
        <f t="shared" si="94"/>
        <v>5869488</v>
      </c>
      <c r="L785" s="663"/>
      <c r="M785" s="663"/>
      <c r="N785" s="660"/>
    </row>
    <row r="786" spans="1:14" ht="20.100000000000001" customHeight="1">
      <c r="A786" s="1"/>
      <c r="B786" s="134" t="s">
        <v>596</v>
      </c>
      <c r="C786" s="2">
        <f t="shared" ref="C786:K786" si="95">C27+C66+C101+C180+C282+C292+C352+C395+C445+C490+C663+C698+C738+C302+C539+C230</f>
        <v>7151600</v>
      </c>
      <c r="D786" s="2">
        <f t="shared" si="95"/>
        <v>8453818</v>
      </c>
      <c r="E786" s="2">
        <f t="shared" si="95"/>
        <v>8230187</v>
      </c>
      <c r="F786" s="2">
        <f t="shared" si="95"/>
        <v>8386708</v>
      </c>
      <c r="G786" s="2">
        <f t="shared" si="95"/>
        <v>9714091</v>
      </c>
      <c r="H786" s="2">
        <f t="shared" si="95"/>
        <v>9720472</v>
      </c>
      <c r="I786" s="2">
        <f t="shared" si="95"/>
        <v>9601669</v>
      </c>
      <c r="J786" s="2">
        <f t="shared" si="95"/>
        <v>9979603</v>
      </c>
      <c r="K786" s="2">
        <f t="shared" si="95"/>
        <v>9612528</v>
      </c>
      <c r="L786" s="663"/>
      <c r="M786" s="663"/>
      <c r="N786" s="660"/>
    </row>
    <row r="787" spans="1:14" ht="20.100000000000001" customHeight="1">
      <c r="A787" s="1"/>
      <c r="B787" s="134" t="s">
        <v>597</v>
      </c>
      <c r="C787" s="2">
        <f t="shared" ref="C787:K787" si="96">C28+C137+C181+C293+C396+C446+C540+C287+C231</f>
        <v>1462923</v>
      </c>
      <c r="D787" s="2">
        <f t="shared" si="96"/>
        <v>1173675</v>
      </c>
      <c r="E787" s="2">
        <f t="shared" si="96"/>
        <v>1633594</v>
      </c>
      <c r="F787" s="2">
        <f t="shared" si="96"/>
        <v>1637528</v>
      </c>
      <c r="G787" s="2">
        <f t="shared" si="96"/>
        <v>1880059</v>
      </c>
      <c r="H787" s="2">
        <f t="shared" si="96"/>
        <v>1788738</v>
      </c>
      <c r="I787" s="2">
        <f t="shared" si="96"/>
        <v>1794175</v>
      </c>
      <c r="J787" s="2">
        <f t="shared" si="96"/>
        <v>1887164</v>
      </c>
      <c r="K787" s="2">
        <f t="shared" si="96"/>
        <v>1843307</v>
      </c>
      <c r="L787" s="663"/>
      <c r="M787" s="663"/>
      <c r="N787" s="660"/>
    </row>
    <row r="788" spans="1:14" ht="20.100000000000001" customHeight="1">
      <c r="A788" s="1"/>
      <c r="B788" s="134" t="s">
        <v>598</v>
      </c>
      <c r="C788" s="2">
        <f t="shared" ref="C788:K788" si="97">C138+C182+C283+C294+C397+C447+C491+C699+C303+C288+C232</f>
        <v>2631228</v>
      </c>
      <c r="D788" s="2">
        <f t="shared" si="97"/>
        <v>4500000</v>
      </c>
      <c r="E788" s="2">
        <f t="shared" si="97"/>
        <v>17867762</v>
      </c>
      <c r="F788" s="2">
        <f t="shared" si="97"/>
        <v>8048106</v>
      </c>
      <c r="G788" s="2">
        <f t="shared" si="97"/>
        <v>24713329</v>
      </c>
      <c r="H788" s="2">
        <f t="shared" si="97"/>
        <v>19996119</v>
      </c>
      <c r="I788" s="2">
        <f t="shared" si="97"/>
        <v>18766887</v>
      </c>
      <c r="J788" s="2">
        <f t="shared" si="97"/>
        <v>5355667</v>
      </c>
      <c r="K788" s="2">
        <f t="shared" si="97"/>
        <v>5134050</v>
      </c>
      <c r="L788" s="663"/>
      <c r="M788" s="663"/>
      <c r="N788" s="660"/>
    </row>
    <row r="789" spans="1:14" s="351" customFormat="1" ht="20.100000000000001" customHeight="1">
      <c r="A789" s="350"/>
      <c r="B789" s="134" t="s">
        <v>1165</v>
      </c>
      <c r="C789" s="2">
        <f t="shared" ref="C789:K789" si="98">C29</f>
        <v>0</v>
      </c>
      <c r="D789" s="2">
        <f t="shared" si="98"/>
        <v>0</v>
      </c>
      <c r="E789" s="2">
        <f t="shared" si="98"/>
        <v>44000</v>
      </c>
      <c r="F789" s="2">
        <f t="shared" si="98"/>
        <v>0</v>
      </c>
      <c r="G789" s="2">
        <f t="shared" si="98"/>
        <v>75000</v>
      </c>
      <c r="H789" s="2">
        <f t="shared" si="98"/>
        <v>75000</v>
      </c>
      <c r="I789" s="2">
        <f t="shared" si="98"/>
        <v>75000</v>
      </c>
      <c r="J789" s="2">
        <f t="shared" si="98"/>
        <v>75000</v>
      </c>
      <c r="K789" s="2">
        <f t="shared" si="98"/>
        <v>75000</v>
      </c>
      <c r="L789" s="663"/>
      <c r="M789" s="663"/>
      <c r="N789" s="660"/>
    </row>
    <row r="790" spans="1:14" ht="20.100000000000001" customHeight="1">
      <c r="A790" s="1"/>
      <c r="B790" s="134" t="s">
        <v>959</v>
      </c>
      <c r="C790" s="2">
        <f t="shared" ref="C790:K790" si="99">C448+C398</f>
        <v>30948</v>
      </c>
      <c r="D790" s="2">
        <f t="shared" si="99"/>
        <v>0</v>
      </c>
      <c r="E790" s="2">
        <f t="shared" si="99"/>
        <v>0</v>
      </c>
      <c r="F790" s="2">
        <f t="shared" si="99"/>
        <v>0</v>
      </c>
      <c r="G790" s="2">
        <f t="shared" si="99"/>
        <v>250540</v>
      </c>
      <c r="H790" s="2">
        <f t="shared" si="99"/>
        <v>1002161</v>
      </c>
      <c r="I790" s="2">
        <f t="shared" si="99"/>
        <v>1252702</v>
      </c>
      <c r="J790" s="2">
        <f t="shared" si="99"/>
        <v>0</v>
      </c>
      <c r="K790" s="2">
        <f t="shared" si="99"/>
        <v>0</v>
      </c>
      <c r="L790" s="663"/>
      <c r="M790" s="663"/>
      <c r="N790" s="660"/>
    </row>
    <row r="791" spans="1:14" ht="20.100000000000001" customHeight="1">
      <c r="A791" s="1"/>
      <c r="B791" s="134" t="s">
        <v>543</v>
      </c>
      <c r="C791" s="2">
        <f t="shared" ref="C791:K791" si="100">C183+C295+C353+C399+C449+C700+C304+C664+C233</f>
        <v>4856405</v>
      </c>
      <c r="D791" s="2">
        <f t="shared" si="100"/>
        <v>4742640</v>
      </c>
      <c r="E791" s="2">
        <f t="shared" si="100"/>
        <v>4404851</v>
      </c>
      <c r="F791" s="2">
        <f t="shared" si="100"/>
        <v>4380292</v>
      </c>
      <c r="G791" s="2">
        <f t="shared" si="100"/>
        <v>4618420</v>
      </c>
      <c r="H791" s="2">
        <f t="shared" si="100"/>
        <v>3174041</v>
      </c>
      <c r="I791" s="2">
        <f t="shared" si="100"/>
        <v>4332763</v>
      </c>
      <c r="J791" s="2">
        <f t="shared" si="100"/>
        <v>4146628</v>
      </c>
      <c r="K791" s="2">
        <f t="shared" si="100"/>
        <v>2740289</v>
      </c>
      <c r="L791" s="663"/>
      <c r="M791" s="663"/>
      <c r="N791" s="660"/>
    </row>
    <row r="792" spans="1:14" s="470" customFormat="1" ht="20.100000000000001" customHeight="1">
      <c r="A792" s="468"/>
      <c r="B792" s="516" t="s">
        <v>600</v>
      </c>
      <c r="C792" s="514">
        <f t="shared" ref="C792:K792" si="101">SUM(C784:C791)</f>
        <v>26833257</v>
      </c>
      <c r="D792" s="514">
        <f t="shared" si="101"/>
        <v>29400443</v>
      </c>
      <c r="E792" s="514">
        <f t="shared" si="101"/>
        <v>44207187</v>
      </c>
      <c r="F792" s="514">
        <f t="shared" si="101"/>
        <v>34086861.730000004</v>
      </c>
      <c r="G792" s="514">
        <f t="shared" si="101"/>
        <v>53927372</v>
      </c>
      <c r="H792" s="514">
        <f t="shared" si="101"/>
        <v>49017489</v>
      </c>
      <c r="I792" s="514">
        <f t="shared" si="101"/>
        <v>49711220</v>
      </c>
      <c r="J792" s="514">
        <f t="shared" si="101"/>
        <v>35976396</v>
      </c>
      <c r="K792" s="514">
        <f t="shared" si="101"/>
        <v>34638283</v>
      </c>
      <c r="L792" s="406"/>
      <c r="M792" s="406"/>
      <c r="N792" s="660"/>
    </row>
    <row r="793" spans="1:14" s="470" customFormat="1" ht="6.9" customHeight="1">
      <c r="A793" s="468"/>
      <c r="B793" s="134"/>
      <c r="C793" s="2"/>
      <c r="D793" s="2"/>
      <c r="E793" s="2"/>
      <c r="F793" s="2"/>
      <c r="G793" s="2"/>
      <c r="H793" s="2"/>
      <c r="I793" s="2"/>
      <c r="J793" s="2"/>
      <c r="K793" s="2"/>
      <c r="L793" s="663"/>
      <c r="M793" s="663"/>
      <c r="N793" s="660"/>
    </row>
    <row r="794" spans="1:14" ht="20.100000000000001" customHeight="1">
      <c r="A794" s="1"/>
      <c r="B794" s="134" t="s">
        <v>599</v>
      </c>
      <c r="C794" s="2">
        <f t="shared" ref="C794:K794" si="102">C32+C186+C452+C298+C307+C236+C402+C494</f>
        <v>3325686</v>
      </c>
      <c r="D794" s="2">
        <f t="shared" si="102"/>
        <v>3738337</v>
      </c>
      <c r="E794" s="2">
        <f t="shared" si="102"/>
        <v>5603482</v>
      </c>
      <c r="F794" s="2">
        <f t="shared" si="102"/>
        <v>13656184</v>
      </c>
      <c r="G794" s="2">
        <f t="shared" si="102"/>
        <v>5884264</v>
      </c>
      <c r="H794" s="2">
        <f t="shared" si="102"/>
        <v>5611098</v>
      </c>
      <c r="I794" s="2">
        <f t="shared" si="102"/>
        <v>5707300</v>
      </c>
      <c r="J794" s="2">
        <f t="shared" si="102"/>
        <v>5680517</v>
      </c>
      <c r="K794" s="2">
        <f t="shared" si="102"/>
        <v>5385692</v>
      </c>
      <c r="L794" s="663"/>
      <c r="M794" s="663"/>
      <c r="N794" s="161"/>
    </row>
    <row r="795" spans="1:14" ht="20.100000000000001" customHeight="1" thickBot="1">
      <c r="A795" s="1"/>
      <c r="B795" s="79" t="s">
        <v>1242</v>
      </c>
      <c r="C795" s="433">
        <f t="shared" ref="C795:K795" si="103">C792+C794</f>
        <v>30158943</v>
      </c>
      <c r="D795" s="433">
        <f t="shared" si="103"/>
        <v>33138780</v>
      </c>
      <c r="E795" s="433">
        <f t="shared" si="103"/>
        <v>49810669</v>
      </c>
      <c r="F795" s="433">
        <f t="shared" si="103"/>
        <v>47743045.730000004</v>
      </c>
      <c r="G795" s="433">
        <f t="shared" si="103"/>
        <v>59811636</v>
      </c>
      <c r="H795" s="433">
        <f t="shared" si="103"/>
        <v>54628587</v>
      </c>
      <c r="I795" s="433">
        <f t="shared" si="103"/>
        <v>55418520</v>
      </c>
      <c r="J795" s="433">
        <f t="shared" si="103"/>
        <v>41656913</v>
      </c>
      <c r="K795" s="433">
        <f t="shared" si="103"/>
        <v>40023975</v>
      </c>
      <c r="L795" s="406"/>
      <c r="M795" s="406"/>
      <c r="N795" s="661"/>
    </row>
    <row r="796" spans="1:14">
      <c r="A796" s="1"/>
      <c r="B796" s="80"/>
      <c r="C796" s="2"/>
      <c r="D796" s="2"/>
      <c r="E796" s="2"/>
      <c r="F796" s="2"/>
      <c r="G796" s="2"/>
      <c r="H796" s="2"/>
      <c r="I796" s="2"/>
      <c r="J796" s="2"/>
      <c r="K796" s="2"/>
      <c r="L796" s="663"/>
      <c r="M796" s="663"/>
      <c r="N796" s="161"/>
    </row>
    <row r="797" spans="1:14" ht="15" customHeight="1">
      <c r="A797" s="1"/>
      <c r="B797" s="133" t="s">
        <v>601</v>
      </c>
      <c r="C797" s="49">
        <f t="shared" ref="C797:K797" si="104">C781-C795</f>
        <v>-485110</v>
      </c>
      <c r="D797" s="49">
        <f t="shared" si="104"/>
        <v>2183779</v>
      </c>
      <c r="E797" s="49">
        <f t="shared" si="104"/>
        <v>-3756514</v>
      </c>
      <c r="F797" s="49">
        <f t="shared" si="104"/>
        <v>11397572.269999996</v>
      </c>
      <c r="G797" s="49">
        <f t="shared" si="104"/>
        <v>-13947762</v>
      </c>
      <c r="H797" s="49">
        <f t="shared" si="104"/>
        <v>8894002</v>
      </c>
      <c r="I797" s="49">
        <f t="shared" si="104"/>
        <v>-13933742</v>
      </c>
      <c r="J797" s="49">
        <f t="shared" si="104"/>
        <v>-680466</v>
      </c>
      <c r="K797" s="49">
        <f t="shared" si="104"/>
        <v>1779932</v>
      </c>
      <c r="L797" s="666"/>
      <c r="M797" s="666"/>
      <c r="N797" s="161"/>
    </row>
    <row r="798" spans="1:14">
      <c r="A798" s="1"/>
      <c r="B798" s="81"/>
      <c r="C798" s="2"/>
      <c r="D798" s="2"/>
      <c r="E798" s="2"/>
      <c r="F798" s="2"/>
      <c r="G798" s="2"/>
      <c r="H798" s="2"/>
      <c r="I798" s="2"/>
      <c r="J798" s="2"/>
      <c r="K798" s="2"/>
      <c r="L798" s="663"/>
      <c r="M798" s="663"/>
      <c r="N798" s="161"/>
    </row>
    <row r="799" spans="1:14" ht="15" customHeight="1" thickBot="1">
      <c r="A799" s="1"/>
      <c r="B799" s="78" t="s">
        <v>602</v>
      </c>
      <c r="C799" s="431">
        <v>12001733</v>
      </c>
      <c r="D799" s="431">
        <v>14185514</v>
      </c>
      <c r="E799" s="431">
        <v>8346470</v>
      </c>
      <c r="F799" s="431">
        <f>D799+F797</f>
        <v>25583086.269999996</v>
      </c>
      <c r="G799" s="431">
        <f>F799+G797</f>
        <v>11635324.269999996</v>
      </c>
      <c r="H799" s="431">
        <f>G799+H797</f>
        <v>20529326.269999996</v>
      </c>
      <c r="I799" s="431">
        <f>H799+I797</f>
        <v>6595584.2699999958</v>
      </c>
      <c r="J799" s="431">
        <f>I799+J797</f>
        <v>5915118.2699999958</v>
      </c>
      <c r="K799" s="431">
        <f>J799+K797</f>
        <v>7695050.2699999958</v>
      </c>
      <c r="L799" s="406"/>
      <c r="M799" s="406"/>
      <c r="N799" s="161"/>
    </row>
    <row r="800" spans="1:14" ht="14.4" thickTop="1">
      <c r="A800" s="1"/>
      <c r="B800" s="4"/>
      <c r="C800" s="82">
        <f t="shared" ref="C800:K800" si="105">+C799/C795</f>
        <v>0.39794939099821902</v>
      </c>
      <c r="D800" s="82">
        <f t="shared" si="105"/>
        <v>0.42806385751074721</v>
      </c>
      <c r="E800" s="82">
        <f t="shared" si="105"/>
        <v>0.1675639008181159</v>
      </c>
      <c r="F800" s="82">
        <f t="shared" si="105"/>
        <v>0.53584948087894002</v>
      </c>
      <c r="G800" s="82">
        <f t="shared" si="105"/>
        <v>0.19453278739942836</v>
      </c>
      <c r="H800" s="82">
        <f t="shared" si="105"/>
        <v>0.37579822941420754</v>
      </c>
      <c r="I800" s="82">
        <f t="shared" si="105"/>
        <v>0.11901408175461914</v>
      </c>
      <c r="J800" s="82">
        <f t="shared" si="105"/>
        <v>0.14199607805792033</v>
      </c>
      <c r="K800" s="82">
        <f t="shared" si="105"/>
        <v>0.19226102030095701</v>
      </c>
      <c r="L800" s="670"/>
      <c r="M800" s="670"/>
      <c r="N800" s="161"/>
    </row>
    <row r="801" spans="1:14">
      <c r="N801" s="161"/>
    </row>
    <row r="802" spans="1:14">
      <c r="A802" s="1"/>
      <c r="B802" s="4"/>
      <c r="C802" s="82"/>
      <c r="D802" s="82"/>
      <c r="E802" s="82"/>
      <c r="F802" s="82"/>
      <c r="G802" s="82"/>
      <c r="H802" s="82"/>
      <c r="I802" s="82"/>
      <c r="J802" s="82"/>
      <c r="K802" s="82"/>
      <c r="L802" s="670"/>
      <c r="M802" s="670"/>
      <c r="N802" s="161"/>
    </row>
    <row r="803" spans="1:14" ht="7.5" customHeight="1">
      <c r="A803" s="1"/>
      <c r="B803" s="4"/>
      <c r="C803" s="2"/>
      <c r="D803" s="2"/>
      <c r="E803" s="2"/>
      <c r="F803" s="2"/>
      <c r="G803" s="2"/>
      <c r="H803" s="2"/>
      <c r="I803" s="2"/>
      <c r="J803" s="2"/>
      <c r="K803" s="2"/>
      <c r="L803" s="663"/>
      <c r="M803" s="663"/>
      <c r="N803" s="161"/>
    </row>
    <row r="804" spans="1:14">
      <c r="A804" s="1"/>
      <c r="B804" s="1"/>
      <c r="C804" s="2"/>
      <c r="D804" s="2"/>
      <c r="E804" s="2"/>
      <c r="F804" s="2"/>
      <c r="G804" s="2"/>
      <c r="H804" s="2"/>
      <c r="I804" s="2"/>
      <c r="J804" s="2"/>
      <c r="K804" s="2"/>
      <c r="L804" s="663"/>
      <c r="M804" s="663"/>
      <c r="N804" s="161"/>
    </row>
    <row r="805" spans="1:14">
      <c r="A805" s="1"/>
      <c r="B805" s="1"/>
      <c r="C805" s="2"/>
      <c r="D805" s="2"/>
      <c r="E805" s="2"/>
      <c r="F805" s="2"/>
      <c r="G805" s="2"/>
      <c r="H805" s="2"/>
      <c r="I805" s="2"/>
      <c r="J805" s="2"/>
      <c r="K805" s="2"/>
      <c r="L805" s="663"/>
      <c r="M805" s="663"/>
      <c r="N805" s="161"/>
    </row>
    <row r="806" spans="1:14">
      <c r="A806" s="1"/>
      <c r="B806" s="1"/>
      <c r="C806" s="2"/>
      <c r="D806" s="2"/>
      <c r="E806" s="2"/>
      <c r="F806" s="2"/>
      <c r="G806" s="2"/>
      <c r="H806" s="2"/>
      <c r="I806" s="2"/>
      <c r="J806" s="2"/>
      <c r="K806" s="2"/>
      <c r="L806" s="663"/>
      <c r="M806" s="663"/>
      <c r="N806" s="161"/>
    </row>
    <row r="807" spans="1:14">
      <c r="A807" s="1"/>
      <c r="B807" s="1"/>
      <c r="C807" s="2"/>
      <c r="D807" s="2"/>
      <c r="E807" s="2"/>
      <c r="F807" s="2"/>
      <c r="G807" s="2"/>
      <c r="H807" s="2"/>
      <c r="I807" s="2"/>
      <c r="J807" s="2"/>
      <c r="K807" s="2"/>
      <c r="L807" s="663"/>
      <c r="M807" s="663"/>
      <c r="N807" s="161"/>
    </row>
    <row r="808" spans="1:14">
      <c r="A808" s="1"/>
      <c r="B808" s="1"/>
      <c r="C808" s="2"/>
      <c r="D808" s="2"/>
      <c r="E808" s="2"/>
      <c r="F808" s="2"/>
      <c r="G808" s="2"/>
      <c r="H808" s="2"/>
      <c r="I808" s="2"/>
      <c r="J808" s="2"/>
      <c r="K808" s="2"/>
      <c r="L808" s="663"/>
      <c r="M808" s="663"/>
      <c r="N808" s="161"/>
    </row>
    <row r="809" spans="1:14">
      <c r="A809" s="1"/>
      <c r="B809" s="1"/>
      <c r="C809" s="2"/>
      <c r="D809" s="2"/>
      <c r="E809" s="2"/>
      <c r="F809" s="2"/>
      <c r="G809" s="2"/>
      <c r="H809" s="2"/>
      <c r="I809" s="2"/>
      <c r="J809" s="2"/>
      <c r="K809" s="2"/>
      <c r="L809" s="663"/>
      <c r="M809" s="663"/>
      <c r="N809" s="161"/>
    </row>
    <row r="810" spans="1:14">
      <c r="A810" s="1"/>
      <c r="B810" s="1"/>
      <c r="C810" s="2"/>
      <c r="D810" s="2"/>
      <c r="E810" s="2"/>
      <c r="F810" s="2"/>
      <c r="G810" s="2"/>
      <c r="H810" s="2"/>
      <c r="I810" s="2"/>
      <c r="J810" s="2"/>
      <c r="K810" s="2"/>
      <c r="L810" s="663"/>
      <c r="M810" s="663"/>
      <c r="N810" s="161"/>
    </row>
    <row r="811" spans="1:14">
      <c r="A811" s="1"/>
      <c r="B811" s="1"/>
      <c r="C811" s="2"/>
      <c r="D811" s="2"/>
      <c r="E811" s="2"/>
      <c r="F811" s="2"/>
      <c r="G811" s="2"/>
      <c r="H811" s="2"/>
      <c r="I811" s="2"/>
      <c r="J811" s="2"/>
      <c r="K811" s="2"/>
      <c r="L811" s="663"/>
      <c r="M811" s="663"/>
      <c r="N811" s="161"/>
    </row>
    <row r="812" spans="1:14">
      <c r="A812" s="1"/>
      <c r="B812" s="1"/>
      <c r="C812" s="2"/>
      <c r="D812" s="2"/>
      <c r="E812" s="2"/>
      <c r="F812" s="2"/>
      <c r="G812" s="2"/>
      <c r="H812" s="2"/>
      <c r="I812" s="2"/>
      <c r="J812" s="2"/>
      <c r="K812" s="2"/>
      <c r="L812" s="663"/>
      <c r="M812" s="663"/>
      <c r="N812" s="161"/>
    </row>
    <row r="813" spans="1:14">
      <c r="A813" s="1"/>
      <c r="B813" s="1"/>
      <c r="C813" s="2"/>
      <c r="D813" s="2"/>
      <c r="E813" s="2"/>
      <c r="F813" s="2"/>
      <c r="G813" s="2"/>
      <c r="H813" s="2"/>
      <c r="I813" s="2"/>
      <c r="J813" s="2"/>
      <c r="K813" s="2"/>
      <c r="L813" s="663"/>
      <c r="M813" s="663"/>
      <c r="N813" s="161"/>
    </row>
    <row r="814" spans="1:14">
      <c r="N814" s="161"/>
    </row>
    <row r="815" spans="1:14" ht="17.399999999999999">
      <c r="B815" s="682" t="s">
        <v>810</v>
      </c>
      <c r="C815" s="682"/>
      <c r="D815" s="682"/>
      <c r="E815" s="682"/>
      <c r="F815" s="682"/>
      <c r="G815" s="682"/>
      <c r="H815" s="682"/>
      <c r="I815" s="682"/>
      <c r="J815" s="682"/>
      <c r="K815" s="682"/>
      <c r="L815" s="662"/>
      <c r="M815" s="662"/>
      <c r="N815" s="161"/>
    </row>
    <row r="816" spans="1:14" ht="7.5" customHeight="1">
      <c r="B816" s="43"/>
      <c r="C816" s="2"/>
      <c r="D816" s="2"/>
      <c r="E816" s="2"/>
      <c r="F816" s="2"/>
      <c r="G816" s="2"/>
      <c r="H816" s="2"/>
      <c r="I816" s="2"/>
      <c r="J816" s="2"/>
      <c r="K816" s="2"/>
      <c r="L816" s="663"/>
      <c r="M816" s="663"/>
      <c r="N816" s="161"/>
    </row>
    <row r="817" spans="2:14">
      <c r="B817" s="683" t="s">
        <v>1024</v>
      </c>
      <c r="C817" s="683"/>
      <c r="D817" s="683"/>
      <c r="E817" s="683"/>
      <c r="F817" s="683"/>
      <c r="G817" s="683"/>
      <c r="H817" s="683"/>
      <c r="I817" s="683"/>
      <c r="J817" s="683"/>
      <c r="K817" s="683"/>
      <c r="L817" s="664"/>
      <c r="M817" s="664"/>
      <c r="N817" s="161"/>
    </row>
    <row r="818" spans="2:14">
      <c r="B818" s="683"/>
      <c r="C818" s="683"/>
      <c r="D818" s="683"/>
      <c r="E818" s="683"/>
      <c r="F818" s="683"/>
      <c r="G818" s="683"/>
      <c r="H818" s="683"/>
      <c r="I818" s="683"/>
      <c r="J818" s="683"/>
      <c r="K818" s="683"/>
      <c r="L818" s="664"/>
      <c r="M818" s="664"/>
      <c r="N818" s="161"/>
    </row>
    <row r="819" spans="2:14">
      <c r="B819" s="683"/>
      <c r="C819" s="683"/>
      <c r="D819" s="683"/>
      <c r="E819" s="683"/>
      <c r="F819" s="683"/>
      <c r="G819" s="683"/>
      <c r="H819" s="683"/>
      <c r="I819" s="683"/>
      <c r="J819" s="683"/>
      <c r="K819" s="683"/>
      <c r="L819" s="664"/>
      <c r="M819" s="664"/>
      <c r="N819" s="161"/>
    </row>
    <row r="820" spans="2:14" ht="7.5" customHeight="1">
      <c r="B820" s="19"/>
      <c r="C820" s="19"/>
      <c r="D820" s="19"/>
      <c r="E820" s="19"/>
      <c r="F820" s="19"/>
      <c r="G820" s="19"/>
      <c r="H820" s="19"/>
      <c r="I820" s="19"/>
      <c r="J820" s="19"/>
      <c r="K820" s="19"/>
      <c r="L820" s="664"/>
      <c r="M820" s="664"/>
      <c r="N820" s="161"/>
    </row>
    <row r="821" spans="2:14">
      <c r="B821" s="4"/>
      <c r="C821" s="43"/>
      <c r="D821" s="573"/>
      <c r="E821" s="43" t="s">
        <v>815</v>
      </c>
      <c r="F821" s="573"/>
      <c r="G821" s="43" t="s">
        <v>816</v>
      </c>
      <c r="H821" s="573"/>
      <c r="I821" s="573"/>
      <c r="J821" s="573"/>
      <c r="K821" s="573"/>
      <c r="L821" s="304"/>
      <c r="M821" s="304"/>
      <c r="N821" s="161"/>
    </row>
    <row r="822" spans="2:14">
      <c r="B822" s="43"/>
      <c r="C822" s="43" t="s">
        <v>813</v>
      </c>
      <c r="D822" s="43" t="s">
        <v>814</v>
      </c>
      <c r="E822" s="43" t="s">
        <v>583</v>
      </c>
      <c r="F822" s="43" t="s">
        <v>815</v>
      </c>
      <c r="G822" s="156" t="str">
        <f>'Fund Cover Sheets'!$N$1</f>
        <v>Adopted</v>
      </c>
      <c r="H822" s="43" t="s">
        <v>817</v>
      </c>
      <c r="I822" s="43" t="s">
        <v>818</v>
      </c>
      <c r="J822" s="43" t="s">
        <v>819</v>
      </c>
      <c r="K822" s="43" t="s">
        <v>820</v>
      </c>
      <c r="L822" s="665"/>
      <c r="M822" s="665"/>
      <c r="N822" s="161"/>
    </row>
    <row r="823" spans="2:14" ht="14.4" thickBot="1">
      <c r="B823" s="44"/>
      <c r="C823" s="45" t="s">
        <v>1</v>
      </c>
      <c r="D823" s="45" t="s">
        <v>1</v>
      </c>
      <c r="E823" s="45" t="s">
        <v>553</v>
      </c>
      <c r="F823" s="45" t="s">
        <v>19</v>
      </c>
      <c r="G823" s="45" t="s">
        <v>553</v>
      </c>
      <c r="H823" s="45" t="s">
        <v>19</v>
      </c>
      <c r="I823" s="45" t="s">
        <v>19</v>
      </c>
      <c r="J823" s="45" t="s">
        <v>19</v>
      </c>
      <c r="K823" s="45" t="s">
        <v>19</v>
      </c>
      <c r="L823" s="566"/>
      <c r="M823" s="566"/>
      <c r="N823" s="161"/>
    </row>
    <row r="824" spans="2:14" ht="7.5" customHeight="1">
      <c r="B824" s="1"/>
      <c r="C824" s="52"/>
      <c r="D824" s="2"/>
      <c r="E824" s="2"/>
      <c r="F824" s="2"/>
      <c r="G824" s="2"/>
      <c r="H824" s="2"/>
      <c r="I824" s="2"/>
      <c r="J824" s="2"/>
      <c r="K824" s="2"/>
      <c r="L824" s="663"/>
      <c r="M824" s="663"/>
      <c r="N824" s="161"/>
    </row>
    <row r="825" spans="2:14">
      <c r="B825" s="80" t="s">
        <v>685</v>
      </c>
      <c r="C825" s="2"/>
      <c r="D825" s="2"/>
      <c r="E825" s="2"/>
      <c r="F825" s="2"/>
      <c r="G825" s="2"/>
      <c r="H825" s="2"/>
      <c r="I825" s="2"/>
      <c r="J825" s="2"/>
      <c r="K825" s="2"/>
      <c r="L825" s="663"/>
      <c r="M825" s="663"/>
      <c r="N825" s="161"/>
    </row>
    <row r="826" spans="2:14" ht="20.100000000000001" customHeight="1">
      <c r="B826" s="133" t="s">
        <v>584</v>
      </c>
      <c r="C826" s="49">
        <f t="shared" ref="C826:K826" si="106">C570</f>
        <v>1497431</v>
      </c>
      <c r="D826" s="49">
        <f t="shared" si="106"/>
        <v>1561523</v>
      </c>
      <c r="E826" s="49">
        <f t="shared" si="106"/>
        <v>1612758</v>
      </c>
      <c r="F826" s="49">
        <f t="shared" si="106"/>
        <v>1611808</v>
      </c>
      <c r="G826" s="49">
        <f t="shared" si="106"/>
        <v>1667234</v>
      </c>
      <c r="H826" s="49">
        <f t="shared" si="106"/>
        <v>1727736</v>
      </c>
      <c r="I826" s="49">
        <f t="shared" si="106"/>
        <v>1750902</v>
      </c>
      <c r="J826" s="49">
        <f t="shared" si="106"/>
        <v>916179</v>
      </c>
      <c r="K826" s="49">
        <f t="shared" si="106"/>
        <v>943664</v>
      </c>
      <c r="L826" s="666"/>
      <c r="M826" s="666"/>
      <c r="N826" s="161"/>
    </row>
    <row r="827" spans="2:14" ht="20.100000000000001" customHeight="1">
      <c r="B827" s="133" t="s">
        <v>585</v>
      </c>
      <c r="C827" s="2">
        <f t="shared" ref="C827:K827" si="107">C571</f>
        <v>27011</v>
      </c>
      <c r="D827" s="2">
        <f t="shared" si="107"/>
        <v>29083</v>
      </c>
      <c r="E827" s="2">
        <f t="shared" si="107"/>
        <v>26401</v>
      </c>
      <c r="F827" s="2">
        <f t="shared" si="107"/>
        <v>42546</v>
      </c>
      <c r="G827" s="2">
        <f t="shared" si="107"/>
        <v>29151</v>
      </c>
      <c r="H827" s="2">
        <f t="shared" si="107"/>
        <v>29151</v>
      </c>
      <c r="I827" s="2">
        <f t="shared" si="107"/>
        <v>29151</v>
      </c>
      <c r="J827" s="2">
        <f t="shared" si="107"/>
        <v>29151</v>
      </c>
      <c r="K827" s="2">
        <f t="shared" si="107"/>
        <v>29151</v>
      </c>
      <c r="L827" s="663"/>
      <c r="M827" s="663"/>
      <c r="N827" s="161"/>
    </row>
    <row r="828" spans="2:14" ht="20.100000000000001" customHeight="1">
      <c r="B828" s="134" t="s">
        <v>586</v>
      </c>
      <c r="C828" s="2">
        <f t="shared" ref="C828:K828" si="108">C619</f>
        <v>110775</v>
      </c>
      <c r="D828" s="2">
        <f t="shared" si="108"/>
        <v>104600</v>
      </c>
      <c r="E828" s="2">
        <f t="shared" si="108"/>
        <v>50000</v>
      </c>
      <c r="F828" s="2">
        <f t="shared" si="108"/>
        <v>110000</v>
      </c>
      <c r="G828" s="2">
        <f t="shared" si="108"/>
        <v>50000</v>
      </c>
      <c r="H828" s="2">
        <f t="shared" si="108"/>
        <v>50000</v>
      </c>
      <c r="I828" s="2">
        <f t="shared" si="108"/>
        <v>50000</v>
      </c>
      <c r="J828" s="2">
        <f t="shared" si="108"/>
        <v>50000</v>
      </c>
      <c r="K828" s="2">
        <f t="shared" si="108"/>
        <v>50000</v>
      </c>
      <c r="L828" s="663"/>
      <c r="M828" s="663"/>
      <c r="N828" s="161"/>
    </row>
    <row r="829" spans="2:14" ht="20.100000000000001" customHeight="1">
      <c r="B829" s="134" t="s">
        <v>587</v>
      </c>
      <c r="C829" s="2">
        <f t="shared" ref="C829:K829" si="109">C572</f>
        <v>7552</v>
      </c>
      <c r="D829" s="2">
        <f t="shared" si="109"/>
        <v>3249</v>
      </c>
      <c r="E829" s="2">
        <f t="shared" si="109"/>
        <v>8500</v>
      </c>
      <c r="F829" s="2">
        <f t="shared" si="109"/>
        <v>6700</v>
      </c>
      <c r="G829" s="2">
        <f t="shared" si="109"/>
        <v>1000</v>
      </c>
      <c r="H829" s="2">
        <f t="shared" si="109"/>
        <v>1000</v>
      </c>
      <c r="I829" s="2">
        <f t="shared" si="109"/>
        <v>1000</v>
      </c>
      <c r="J829" s="2">
        <f t="shared" si="109"/>
        <v>1000</v>
      </c>
      <c r="K829" s="2">
        <f t="shared" si="109"/>
        <v>1000</v>
      </c>
      <c r="L829" s="663"/>
      <c r="M829" s="663"/>
      <c r="N829" s="161"/>
    </row>
    <row r="830" spans="2:14" ht="20.100000000000001" customHeight="1">
      <c r="B830" s="134" t="s">
        <v>588</v>
      </c>
      <c r="C830" s="2">
        <f t="shared" ref="C830:K830" si="110">C573</f>
        <v>11204</v>
      </c>
      <c r="D830" s="2">
        <f t="shared" si="110"/>
        <v>6081</v>
      </c>
      <c r="E830" s="2">
        <f t="shared" si="110"/>
        <v>12300</v>
      </c>
      <c r="F830" s="2">
        <f t="shared" si="110"/>
        <v>11276</v>
      </c>
      <c r="G830" s="2">
        <f t="shared" si="110"/>
        <v>11500</v>
      </c>
      <c r="H830" s="2">
        <f t="shared" si="110"/>
        <v>12000</v>
      </c>
      <c r="I830" s="2">
        <f t="shared" si="110"/>
        <v>12000</v>
      </c>
      <c r="J830" s="2">
        <f t="shared" si="110"/>
        <v>12000</v>
      </c>
      <c r="K830" s="2">
        <f t="shared" si="110"/>
        <v>12000</v>
      </c>
      <c r="L830" s="663"/>
      <c r="M830" s="663"/>
      <c r="N830" s="161"/>
    </row>
    <row r="831" spans="2:14" ht="20.100000000000001" customHeight="1">
      <c r="B831" s="134" t="s">
        <v>589</v>
      </c>
      <c r="C831" s="2">
        <f t="shared" ref="C831:K831" si="111">C574+C620</f>
        <v>17129</v>
      </c>
      <c r="D831" s="2">
        <f t="shared" si="111"/>
        <v>1450</v>
      </c>
      <c r="E831" s="2">
        <f t="shared" si="111"/>
        <v>2200</v>
      </c>
      <c r="F831" s="2">
        <f t="shared" si="111"/>
        <v>1295</v>
      </c>
      <c r="G831" s="2">
        <f t="shared" si="111"/>
        <v>1350</v>
      </c>
      <c r="H831" s="2">
        <f t="shared" si="111"/>
        <v>2000</v>
      </c>
      <c r="I831" s="2">
        <f t="shared" si="111"/>
        <v>2750</v>
      </c>
      <c r="J831" s="2">
        <f t="shared" si="111"/>
        <v>3500</v>
      </c>
      <c r="K831" s="2">
        <f t="shared" si="111"/>
        <v>4500</v>
      </c>
      <c r="L831" s="663"/>
      <c r="M831" s="663"/>
      <c r="N831" s="161"/>
    </row>
    <row r="832" spans="2:14" ht="20.100000000000001" customHeight="1">
      <c r="B832" s="134" t="s">
        <v>591</v>
      </c>
      <c r="C832" s="2">
        <f t="shared" ref="C832:K832" si="112">C575+C621</f>
        <v>2594</v>
      </c>
      <c r="D832" s="2">
        <f t="shared" si="112"/>
        <v>1235</v>
      </c>
      <c r="E832" s="2">
        <f t="shared" si="112"/>
        <v>3750</v>
      </c>
      <c r="F832" s="2">
        <f t="shared" si="112"/>
        <v>2600</v>
      </c>
      <c r="G832" s="2">
        <f t="shared" si="112"/>
        <v>3250</v>
      </c>
      <c r="H832" s="2">
        <f t="shared" si="112"/>
        <v>4000</v>
      </c>
      <c r="I832" s="2">
        <f t="shared" si="112"/>
        <v>4500</v>
      </c>
      <c r="J832" s="2">
        <f t="shared" si="112"/>
        <v>4500</v>
      </c>
      <c r="K832" s="2">
        <f t="shared" si="112"/>
        <v>4500</v>
      </c>
      <c r="L832" s="663"/>
      <c r="M832" s="663"/>
      <c r="N832" s="161"/>
    </row>
    <row r="833" spans="2:14" s="470" customFormat="1" ht="20.100000000000001" customHeight="1">
      <c r="B833" s="516" t="s">
        <v>1241</v>
      </c>
      <c r="C833" s="514">
        <f t="shared" ref="C833:K833" si="113">SUM(C826:C832)</f>
        <v>1673696</v>
      </c>
      <c r="D833" s="514">
        <f t="shared" si="113"/>
        <v>1707221</v>
      </c>
      <c r="E833" s="514">
        <f t="shared" si="113"/>
        <v>1715909</v>
      </c>
      <c r="F833" s="514">
        <f t="shared" si="113"/>
        <v>1786225</v>
      </c>
      <c r="G833" s="514">
        <f t="shared" si="113"/>
        <v>1763485</v>
      </c>
      <c r="H833" s="514">
        <f t="shared" si="113"/>
        <v>1825887</v>
      </c>
      <c r="I833" s="514">
        <f t="shared" si="113"/>
        <v>1850303</v>
      </c>
      <c r="J833" s="514">
        <f t="shared" si="113"/>
        <v>1016330</v>
      </c>
      <c r="K833" s="514">
        <f t="shared" si="113"/>
        <v>1044815</v>
      </c>
      <c r="L833" s="406"/>
      <c r="M833" s="406"/>
      <c r="N833" s="161"/>
    </row>
    <row r="834" spans="2:14" s="470" customFormat="1" ht="6.9" customHeight="1">
      <c r="B834" s="134"/>
      <c r="C834" s="2"/>
      <c r="D834" s="2"/>
      <c r="E834" s="2"/>
      <c r="F834" s="2"/>
      <c r="G834" s="2"/>
      <c r="H834" s="2"/>
      <c r="I834" s="2"/>
      <c r="J834" s="2"/>
      <c r="K834" s="2"/>
      <c r="L834" s="663"/>
      <c r="M834" s="663"/>
      <c r="N834" s="161"/>
    </row>
    <row r="835" spans="2:14" ht="20.100000000000001" customHeight="1">
      <c r="B835" s="134" t="s">
        <v>592</v>
      </c>
      <c r="C835" s="2">
        <f t="shared" ref="C835:K835" si="114">C578</f>
        <v>24388</v>
      </c>
      <c r="D835" s="2">
        <f t="shared" si="114"/>
        <v>25885</v>
      </c>
      <c r="E835" s="2">
        <f t="shared" si="114"/>
        <v>26993</v>
      </c>
      <c r="F835" s="2">
        <f t="shared" si="114"/>
        <v>21580</v>
      </c>
      <c r="G835" s="2">
        <f t="shared" si="114"/>
        <v>23638</v>
      </c>
      <c r="H835" s="2">
        <f t="shared" si="114"/>
        <v>24996</v>
      </c>
      <c r="I835" s="2">
        <f t="shared" si="114"/>
        <v>26436</v>
      </c>
      <c r="J835" s="2">
        <f t="shared" si="114"/>
        <v>27962</v>
      </c>
      <c r="K835" s="2">
        <f t="shared" si="114"/>
        <v>29580</v>
      </c>
      <c r="L835" s="663"/>
      <c r="M835" s="663"/>
      <c r="N835" s="161"/>
    </row>
    <row r="836" spans="2:14" ht="20.100000000000001" customHeight="1" thickBot="1">
      <c r="B836" s="79" t="s">
        <v>1255</v>
      </c>
      <c r="C836" s="433">
        <f t="shared" ref="C836:K836" si="115">C833+C835</f>
        <v>1698084</v>
      </c>
      <c r="D836" s="433">
        <f t="shared" si="115"/>
        <v>1733106</v>
      </c>
      <c r="E836" s="433">
        <f t="shared" si="115"/>
        <v>1742902</v>
      </c>
      <c r="F836" s="433">
        <f t="shared" si="115"/>
        <v>1807805</v>
      </c>
      <c r="G836" s="433">
        <f t="shared" si="115"/>
        <v>1787123</v>
      </c>
      <c r="H836" s="433">
        <f t="shared" si="115"/>
        <v>1850883</v>
      </c>
      <c r="I836" s="433">
        <f t="shared" si="115"/>
        <v>1876739</v>
      </c>
      <c r="J836" s="433">
        <f t="shared" si="115"/>
        <v>1044292</v>
      </c>
      <c r="K836" s="433">
        <f t="shared" si="115"/>
        <v>1074395</v>
      </c>
      <c r="L836" s="406"/>
      <c r="M836" s="406"/>
      <c r="N836" s="161"/>
    </row>
    <row r="837" spans="2:14" ht="7.5" customHeight="1">
      <c r="B837" s="1"/>
      <c r="C837" s="2"/>
      <c r="D837" s="2"/>
      <c r="E837" s="2"/>
      <c r="F837" s="2"/>
      <c r="G837" s="2"/>
      <c r="H837" s="2"/>
      <c r="I837" s="2"/>
      <c r="J837" s="2"/>
      <c r="K837" s="2"/>
      <c r="L837" s="663"/>
      <c r="M837" s="663"/>
      <c r="N837" s="161"/>
    </row>
    <row r="838" spans="2:14">
      <c r="B838" s="80" t="s">
        <v>424</v>
      </c>
      <c r="C838" s="2"/>
      <c r="D838" s="2"/>
      <c r="E838" s="2"/>
      <c r="F838" s="2"/>
      <c r="G838" s="2"/>
      <c r="H838" s="2"/>
      <c r="I838" s="2"/>
      <c r="J838" s="2"/>
      <c r="K838" s="2"/>
      <c r="L838" s="663"/>
      <c r="M838" s="663"/>
      <c r="N838" s="161"/>
    </row>
    <row r="839" spans="2:14" ht="20.100000000000001" customHeight="1">
      <c r="B839" s="134" t="s">
        <v>594</v>
      </c>
      <c r="C839" s="49">
        <f t="shared" ref="C839:G840" si="116">C582</f>
        <v>442119</v>
      </c>
      <c r="D839" s="49">
        <f t="shared" si="116"/>
        <v>425775</v>
      </c>
      <c r="E839" s="49">
        <f t="shared" si="116"/>
        <v>482014</v>
      </c>
      <c r="F839" s="49">
        <f t="shared" si="116"/>
        <v>447000</v>
      </c>
      <c r="G839" s="49">
        <f t="shared" si="116"/>
        <v>504111</v>
      </c>
      <c r="H839" s="49">
        <f t="shared" ref="H839:K840" si="117">H582</f>
        <v>522844</v>
      </c>
      <c r="I839" s="49">
        <f t="shared" si="117"/>
        <v>542839</v>
      </c>
      <c r="J839" s="49">
        <f t="shared" si="117"/>
        <v>562104</v>
      </c>
      <c r="K839" s="49">
        <f t="shared" si="117"/>
        <v>578647</v>
      </c>
      <c r="L839" s="666"/>
      <c r="M839" s="666"/>
      <c r="N839" s="161"/>
    </row>
    <row r="840" spans="2:14" ht="20.100000000000001" customHeight="1">
      <c r="B840" s="134" t="s">
        <v>595</v>
      </c>
      <c r="C840" s="2">
        <f t="shared" si="116"/>
        <v>164310</v>
      </c>
      <c r="D840" s="2">
        <f t="shared" si="116"/>
        <v>169709</v>
      </c>
      <c r="E840" s="2">
        <f t="shared" si="116"/>
        <v>208903</v>
      </c>
      <c r="F840" s="2">
        <f t="shared" si="116"/>
        <v>185903</v>
      </c>
      <c r="G840" s="2">
        <f t="shared" si="116"/>
        <v>198898</v>
      </c>
      <c r="H840" s="2">
        <f t="shared" si="117"/>
        <v>222200</v>
      </c>
      <c r="I840" s="2">
        <f t="shared" si="117"/>
        <v>236856</v>
      </c>
      <c r="J840" s="2">
        <f t="shared" si="117"/>
        <v>252400</v>
      </c>
      <c r="K840" s="2">
        <f t="shared" si="117"/>
        <v>268820</v>
      </c>
      <c r="L840" s="663"/>
      <c r="M840" s="663"/>
      <c r="N840" s="161"/>
    </row>
    <row r="841" spans="2:14" ht="20.100000000000001" customHeight="1">
      <c r="B841" s="134" t="s">
        <v>596</v>
      </c>
      <c r="C841" s="2">
        <f t="shared" ref="C841:K841" si="118">C584+C625</f>
        <v>140300</v>
      </c>
      <c r="D841" s="2">
        <f t="shared" si="118"/>
        <v>130713</v>
      </c>
      <c r="E841" s="2">
        <f t="shared" si="118"/>
        <v>156501</v>
      </c>
      <c r="F841" s="2">
        <f t="shared" si="118"/>
        <v>163889</v>
      </c>
      <c r="G841" s="2">
        <f t="shared" si="118"/>
        <v>175698</v>
      </c>
      <c r="H841" s="2">
        <f t="shared" si="118"/>
        <v>177290</v>
      </c>
      <c r="I841" s="2">
        <f t="shared" si="118"/>
        <v>178972</v>
      </c>
      <c r="J841" s="2">
        <f t="shared" si="118"/>
        <v>179049</v>
      </c>
      <c r="K841" s="2">
        <f t="shared" si="118"/>
        <v>180926</v>
      </c>
      <c r="L841" s="663"/>
      <c r="M841" s="663"/>
      <c r="N841" s="161"/>
    </row>
    <row r="842" spans="2:14" ht="20.100000000000001" customHeight="1">
      <c r="B842" s="134" t="s">
        <v>597</v>
      </c>
      <c r="C842" s="2">
        <f t="shared" ref="C842:K842" si="119">C585+C626</f>
        <v>89684</v>
      </c>
      <c r="D842" s="2">
        <f t="shared" si="119"/>
        <v>74791</v>
      </c>
      <c r="E842" s="2">
        <f t="shared" si="119"/>
        <v>97300</v>
      </c>
      <c r="F842" s="2">
        <f t="shared" si="119"/>
        <v>102400</v>
      </c>
      <c r="G842" s="2">
        <f t="shared" si="119"/>
        <v>108300</v>
      </c>
      <c r="H842" s="2">
        <f t="shared" si="119"/>
        <v>108300</v>
      </c>
      <c r="I842" s="2">
        <f t="shared" si="119"/>
        <v>108300</v>
      </c>
      <c r="J842" s="2">
        <f t="shared" si="119"/>
        <v>108300</v>
      </c>
      <c r="K842" s="2">
        <f t="shared" si="119"/>
        <v>84210</v>
      </c>
      <c r="L842" s="663"/>
      <c r="M842" s="663"/>
      <c r="N842" s="161"/>
    </row>
    <row r="843" spans="2:14" s="568" customFormat="1" ht="20.100000000000001" customHeight="1">
      <c r="B843" s="134" t="s">
        <v>598</v>
      </c>
      <c r="C843" s="2">
        <f t="shared" ref="C843:K843" si="120">C627</f>
        <v>0</v>
      </c>
      <c r="D843" s="2">
        <f t="shared" si="120"/>
        <v>0</v>
      </c>
      <c r="E843" s="2">
        <f t="shared" si="120"/>
        <v>20000</v>
      </c>
      <c r="F843" s="2">
        <f t="shared" si="120"/>
        <v>18916</v>
      </c>
      <c r="G843" s="2">
        <f t="shared" si="120"/>
        <v>0</v>
      </c>
      <c r="H843" s="2">
        <f t="shared" si="120"/>
        <v>0</v>
      </c>
      <c r="I843" s="2">
        <f t="shared" si="120"/>
        <v>0</v>
      </c>
      <c r="J843" s="2">
        <f t="shared" si="120"/>
        <v>0</v>
      </c>
      <c r="K843" s="2">
        <f t="shared" si="120"/>
        <v>0</v>
      </c>
      <c r="L843" s="663"/>
      <c r="M843" s="663"/>
      <c r="N843" s="161"/>
    </row>
    <row r="844" spans="2:14" ht="20.100000000000001" customHeight="1">
      <c r="B844" s="134" t="s">
        <v>543</v>
      </c>
      <c r="C844" s="2">
        <f t="shared" ref="C844:K844" si="121">C586</f>
        <v>797013</v>
      </c>
      <c r="D844" s="2">
        <f t="shared" si="121"/>
        <v>827088</v>
      </c>
      <c r="E844" s="2">
        <f t="shared" si="121"/>
        <v>840225</v>
      </c>
      <c r="F844" s="2">
        <f t="shared" si="121"/>
        <v>840225</v>
      </c>
      <c r="G844" s="2">
        <f t="shared" si="121"/>
        <v>847313</v>
      </c>
      <c r="H844" s="2">
        <f t="shared" si="121"/>
        <v>866750</v>
      </c>
      <c r="I844" s="2">
        <f t="shared" si="121"/>
        <v>864000</v>
      </c>
      <c r="J844" s="2">
        <f t="shared" si="121"/>
        <v>0</v>
      </c>
      <c r="K844" s="2">
        <f t="shared" si="121"/>
        <v>0</v>
      </c>
      <c r="L844" s="663"/>
      <c r="M844" s="663"/>
      <c r="N844" s="161"/>
    </row>
    <row r="845" spans="2:14" ht="20.100000000000001" customHeight="1" thickBot="1">
      <c r="B845" s="79" t="s">
        <v>600</v>
      </c>
      <c r="C845" s="433">
        <f t="shared" ref="C845:K845" si="122">SUM(C839:C844)</f>
        <v>1633426</v>
      </c>
      <c r="D845" s="433">
        <f t="shared" si="122"/>
        <v>1628076</v>
      </c>
      <c r="E845" s="433">
        <f t="shared" si="122"/>
        <v>1804943</v>
      </c>
      <c r="F845" s="433">
        <f t="shared" si="122"/>
        <v>1758333</v>
      </c>
      <c r="G845" s="433">
        <f t="shared" si="122"/>
        <v>1834320</v>
      </c>
      <c r="H845" s="433">
        <f t="shared" si="122"/>
        <v>1897384</v>
      </c>
      <c r="I845" s="433">
        <f>SUM(I839:I844)</f>
        <v>1930967</v>
      </c>
      <c r="J845" s="433">
        <f t="shared" si="122"/>
        <v>1101853</v>
      </c>
      <c r="K845" s="433">
        <f t="shared" si="122"/>
        <v>1112603</v>
      </c>
      <c r="L845" s="406"/>
      <c r="M845" s="406"/>
      <c r="N845" s="661"/>
    </row>
    <row r="846" spans="2:14" ht="7.5" customHeight="1">
      <c r="B846" s="80"/>
      <c r="C846" s="2"/>
      <c r="D846" s="2"/>
      <c r="E846" s="2"/>
      <c r="F846" s="2"/>
      <c r="G846" s="2"/>
      <c r="H846" s="2"/>
      <c r="I846" s="2"/>
      <c r="J846" s="2"/>
      <c r="K846" s="2"/>
      <c r="L846" s="663"/>
      <c r="M846" s="663"/>
      <c r="N846" s="161"/>
    </row>
    <row r="847" spans="2:14" ht="20.100000000000001" customHeight="1">
      <c r="B847" s="133" t="s">
        <v>601</v>
      </c>
      <c r="C847" s="49">
        <f t="shared" ref="C847:K847" si="123">+C836-C845</f>
        <v>64658</v>
      </c>
      <c r="D847" s="49">
        <f t="shared" si="123"/>
        <v>105030</v>
      </c>
      <c r="E847" s="49">
        <f t="shared" si="123"/>
        <v>-62041</v>
      </c>
      <c r="F847" s="49">
        <f t="shared" si="123"/>
        <v>49472</v>
      </c>
      <c r="G847" s="49">
        <f t="shared" si="123"/>
        <v>-47197</v>
      </c>
      <c r="H847" s="49">
        <f t="shared" si="123"/>
        <v>-46501</v>
      </c>
      <c r="I847" s="49">
        <f t="shared" si="123"/>
        <v>-54228</v>
      </c>
      <c r="J847" s="49">
        <f t="shared" si="123"/>
        <v>-57561</v>
      </c>
      <c r="K847" s="49">
        <f t="shared" si="123"/>
        <v>-38208</v>
      </c>
      <c r="L847" s="666"/>
      <c r="M847" s="666"/>
      <c r="N847" s="161"/>
    </row>
    <row r="848" spans="2:14" ht="7.5" customHeight="1">
      <c r="B848" s="81"/>
      <c r="C848" s="2"/>
      <c r="D848" s="2"/>
      <c r="E848" s="2"/>
      <c r="F848" s="2"/>
      <c r="G848" s="2"/>
      <c r="H848" s="2"/>
      <c r="I848" s="2"/>
      <c r="J848" s="2"/>
      <c r="K848" s="2"/>
      <c r="L848" s="663"/>
      <c r="M848" s="663"/>
      <c r="N848" s="161"/>
    </row>
    <row r="849" spans="2:14" ht="20.100000000000001" customHeight="1" thickBot="1">
      <c r="B849" s="78" t="s">
        <v>602</v>
      </c>
      <c r="C849" s="431">
        <v>702190</v>
      </c>
      <c r="D849" s="431">
        <v>807221</v>
      </c>
      <c r="E849" s="431">
        <v>686609</v>
      </c>
      <c r="F849" s="431">
        <f>D849+F847</f>
        <v>856693</v>
      </c>
      <c r="G849" s="431">
        <f>F849+G847</f>
        <v>809496</v>
      </c>
      <c r="H849" s="431">
        <f>G849+H847</f>
        <v>762995</v>
      </c>
      <c r="I849" s="431">
        <f>H849+I847</f>
        <v>708767</v>
      </c>
      <c r="J849" s="431">
        <f>I849+J847</f>
        <v>651206</v>
      </c>
      <c r="K849" s="431">
        <f>J849+K847</f>
        <v>612998</v>
      </c>
      <c r="L849" s="406"/>
      <c r="M849" s="406"/>
      <c r="N849" s="161"/>
    </row>
    <row r="850" spans="2:14" ht="14.4" thickTop="1">
      <c r="B850" s="4"/>
      <c r="C850" s="82">
        <f t="shared" ref="C850:K850" si="124">+C849/C845</f>
        <v>0.42988785534208468</v>
      </c>
      <c r="D850" s="82">
        <f t="shared" si="124"/>
        <v>0.49581284903161771</v>
      </c>
      <c r="E850" s="82">
        <f t="shared" si="124"/>
        <v>0.38040481056742514</v>
      </c>
      <c r="F850" s="82">
        <f t="shared" si="124"/>
        <v>0.4872188601362768</v>
      </c>
      <c r="G850" s="82">
        <f t="shared" si="124"/>
        <v>0.44130576998560772</v>
      </c>
      <c r="H850" s="82">
        <f t="shared" si="124"/>
        <v>0.40212998528500293</v>
      </c>
      <c r="I850" s="82">
        <f t="shared" si="124"/>
        <v>0.36705288075870796</v>
      </c>
      <c r="J850" s="82">
        <f t="shared" si="124"/>
        <v>0.59100987155273887</v>
      </c>
      <c r="K850" s="82">
        <f t="shared" si="124"/>
        <v>0.55095842811856521</v>
      </c>
      <c r="L850" s="670"/>
      <c r="M850" s="670"/>
      <c r="N850" s="161"/>
    </row>
    <row r="851" spans="2:14">
      <c r="B851" s="4"/>
      <c r="C851" s="82"/>
      <c r="D851" s="82"/>
      <c r="E851" s="82"/>
      <c r="F851" s="82"/>
      <c r="G851" s="82"/>
      <c r="H851" s="82"/>
      <c r="I851" s="82"/>
      <c r="J851" s="82"/>
      <c r="K851" s="82"/>
      <c r="L851" s="670"/>
      <c r="M851" s="670"/>
      <c r="N851" s="161"/>
    </row>
    <row r="852" spans="2:14" ht="7.5" customHeight="1">
      <c r="B852" s="4"/>
      <c r="C852" s="85"/>
      <c r="D852" s="85"/>
      <c r="E852" s="85"/>
      <c r="F852" s="85"/>
      <c r="G852" s="85"/>
      <c r="H852" s="85"/>
      <c r="I852" s="85"/>
      <c r="J852" s="85"/>
      <c r="K852" s="85"/>
      <c r="L852" s="678"/>
      <c r="M852" s="678"/>
      <c r="N852" s="161"/>
    </row>
    <row r="853" spans="2:14">
      <c r="B853" s="4"/>
      <c r="C853" s="2"/>
      <c r="D853" s="2"/>
      <c r="E853" s="2"/>
      <c r="F853" s="2"/>
      <c r="G853" s="2"/>
      <c r="H853" s="2"/>
      <c r="I853" s="2"/>
      <c r="J853" s="2"/>
      <c r="K853" s="2"/>
      <c r="L853" s="663"/>
      <c r="M853" s="663"/>
      <c r="N853" s="161"/>
    </row>
    <row r="854" spans="2:14">
      <c r="B854" s="1"/>
      <c r="C854" s="2"/>
      <c r="D854" s="2"/>
      <c r="E854" s="2"/>
      <c r="F854" s="2"/>
      <c r="G854" s="2"/>
      <c r="H854" s="2"/>
      <c r="I854" s="2"/>
      <c r="J854" s="2"/>
      <c r="K854" s="2"/>
      <c r="L854" s="663"/>
      <c r="M854" s="663"/>
      <c r="N854" s="161"/>
    </row>
    <row r="855" spans="2:14">
      <c r="B855" s="1"/>
      <c r="C855" s="2"/>
      <c r="D855" s="2"/>
      <c r="E855" s="2"/>
      <c r="F855" s="2"/>
      <c r="G855" s="2"/>
      <c r="H855" s="2"/>
      <c r="I855" s="2"/>
      <c r="J855" s="2"/>
      <c r="K855" s="2"/>
      <c r="L855" s="663"/>
      <c r="M855" s="663"/>
      <c r="N855" s="161"/>
    </row>
    <row r="856" spans="2:14">
      <c r="B856" s="1"/>
      <c r="C856" s="2"/>
      <c r="D856" s="2"/>
      <c r="E856" s="2"/>
      <c r="F856" s="2"/>
      <c r="G856" s="2"/>
      <c r="H856" s="2"/>
      <c r="I856" s="2"/>
      <c r="J856" s="2"/>
      <c r="K856" s="2"/>
      <c r="L856" s="663"/>
      <c r="M856" s="663"/>
      <c r="N856" s="161"/>
    </row>
    <row r="857" spans="2:14">
      <c r="B857" s="1"/>
      <c r="C857" s="2"/>
      <c r="D857" s="2"/>
      <c r="E857" s="2"/>
      <c r="F857" s="2"/>
      <c r="G857" s="2"/>
      <c r="H857" s="2"/>
      <c r="I857" s="2"/>
      <c r="J857" s="2"/>
      <c r="K857" s="2"/>
      <c r="L857" s="663"/>
      <c r="M857" s="663"/>
      <c r="N857" s="161"/>
    </row>
    <row r="858" spans="2:14">
      <c r="B858" s="1"/>
      <c r="C858" s="2"/>
      <c r="D858" s="2"/>
      <c r="E858" s="2"/>
      <c r="F858" s="2"/>
      <c r="G858" s="2"/>
      <c r="H858" s="2"/>
      <c r="I858" s="2"/>
      <c r="J858" s="2"/>
      <c r="K858" s="2"/>
      <c r="L858" s="663"/>
      <c r="M858" s="663"/>
      <c r="N858" s="161"/>
    </row>
    <row r="859" spans="2:14">
      <c r="B859" s="1"/>
      <c r="C859" s="2"/>
      <c r="D859" s="2"/>
      <c r="E859" s="2"/>
      <c r="F859" s="2"/>
      <c r="G859" s="2"/>
      <c r="H859" s="2"/>
      <c r="I859" s="2"/>
      <c r="J859" s="2"/>
      <c r="K859" s="2"/>
      <c r="L859" s="663"/>
      <c r="M859" s="663"/>
      <c r="N859" s="161"/>
    </row>
    <row r="860" spans="2:14">
      <c r="B860" s="1"/>
      <c r="C860" s="2"/>
      <c r="D860" s="2"/>
      <c r="E860" s="2"/>
      <c r="F860" s="2"/>
      <c r="G860" s="2"/>
      <c r="H860" s="2"/>
      <c r="I860" s="2"/>
      <c r="J860" s="2"/>
      <c r="K860" s="2"/>
      <c r="L860" s="663"/>
      <c r="M860" s="663"/>
      <c r="N860" s="161"/>
    </row>
    <row r="861" spans="2:14">
      <c r="B861" s="1"/>
      <c r="C861" s="2"/>
      <c r="D861" s="2"/>
      <c r="E861" s="2"/>
      <c r="F861" s="2"/>
      <c r="G861" s="2"/>
      <c r="H861" s="2"/>
      <c r="I861" s="2"/>
      <c r="J861" s="2"/>
      <c r="K861" s="2"/>
      <c r="L861" s="663"/>
      <c r="M861" s="663"/>
      <c r="N861" s="161"/>
    </row>
    <row r="862" spans="2:14">
      <c r="B862" s="1"/>
      <c r="C862" s="2"/>
      <c r="D862" s="2"/>
      <c r="E862" s="2"/>
      <c r="F862" s="2"/>
      <c r="G862" s="2"/>
      <c r="H862" s="2"/>
      <c r="I862" s="2"/>
      <c r="J862" s="2"/>
      <c r="K862" s="2"/>
      <c r="L862" s="663"/>
      <c r="M862" s="663"/>
      <c r="N862" s="161"/>
    </row>
    <row r="863" spans="2:14">
      <c r="B863" s="1"/>
      <c r="C863" s="2"/>
      <c r="D863" s="2"/>
      <c r="E863" s="2"/>
      <c r="F863" s="2"/>
      <c r="G863" s="2"/>
      <c r="H863" s="2"/>
      <c r="I863" s="2"/>
      <c r="J863" s="2"/>
      <c r="K863" s="2"/>
      <c r="L863" s="663"/>
      <c r="M863" s="663"/>
      <c r="N863" s="161"/>
    </row>
    <row r="864" spans="2:14">
      <c r="B864" s="1"/>
      <c r="C864" s="2"/>
      <c r="D864" s="2"/>
      <c r="E864" s="2"/>
      <c r="F864" s="2"/>
      <c r="G864" s="2"/>
      <c r="H864" s="2"/>
      <c r="I864" s="2"/>
      <c r="J864" s="2"/>
      <c r="K864" s="2"/>
      <c r="L864" s="663"/>
      <c r="M864" s="663"/>
      <c r="N864" s="161"/>
    </row>
    <row r="865" spans="2:14">
      <c r="B865" s="1"/>
      <c r="C865" s="2"/>
      <c r="D865" s="2"/>
      <c r="E865" s="2"/>
      <c r="F865" s="2"/>
      <c r="G865" s="2"/>
      <c r="H865" s="2"/>
      <c r="I865" s="2"/>
      <c r="J865" s="2"/>
      <c r="K865" s="2"/>
      <c r="L865" s="663"/>
      <c r="M865" s="663"/>
      <c r="N865" s="161"/>
    </row>
    <row r="866" spans="2:14">
      <c r="B866" s="1"/>
      <c r="C866" s="2"/>
      <c r="D866" s="2"/>
      <c r="E866" s="2"/>
      <c r="F866" s="2"/>
      <c r="G866" s="2"/>
      <c r="H866" s="2"/>
      <c r="I866" s="2"/>
      <c r="J866" s="2"/>
      <c r="K866" s="2"/>
      <c r="L866" s="663"/>
      <c r="M866" s="663"/>
      <c r="N866" s="161"/>
    </row>
    <row r="867" spans="2:14">
      <c r="B867" s="1"/>
      <c r="C867" s="2"/>
      <c r="D867" s="2"/>
      <c r="E867" s="2"/>
      <c r="F867" s="2"/>
      <c r="G867" s="2"/>
      <c r="H867" s="2"/>
      <c r="I867" s="2"/>
      <c r="J867" s="2"/>
      <c r="K867" s="2"/>
      <c r="L867" s="663"/>
      <c r="M867" s="663"/>
      <c r="N867" s="161"/>
    </row>
    <row r="868" spans="2:14">
      <c r="B868" s="1"/>
      <c r="C868" s="2"/>
      <c r="D868" s="2"/>
      <c r="E868" s="2"/>
      <c r="F868" s="2"/>
      <c r="G868" s="2"/>
      <c r="H868" s="2"/>
      <c r="I868" s="2"/>
      <c r="J868" s="2"/>
      <c r="K868" s="2"/>
      <c r="L868" s="663"/>
      <c r="M868" s="663"/>
      <c r="N868" s="161"/>
    </row>
    <row r="869" spans="2:14">
      <c r="B869" s="1"/>
      <c r="C869" s="2"/>
      <c r="D869" s="2"/>
      <c r="E869" s="2"/>
      <c r="F869" s="2"/>
      <c r="G869" s="2"/>
      <c r="H869" s="2"/>
      <c r="I869" s="2"/>
      <c r="J869" s="2"/>
      <c r="K869" s="2"/>
      <c r="L869" s="663"/>
      <c r="M869" s="663"/>
      <c r="N869" s="161"/>
    </row>
    <row r="870" spans="2:14">
      <c r="B870" s="1"/>
      <c r="C870" s="2"/>
      <c r="D870" s="2"/>
      <c r="E870" s="2"/>
      <c r="F870" s="2"/>
      <c r="G870" s="2"/>
      <c r="H870" s="2"/>
      <c r="I870" s="2"/>
      <c r="J870" s="2"/>
      <c r="K870" s="2"/>
      <c r="L870" s="663"/>
      <c r="M870" s="663"/>
      <c r="N870" s="161"/>
    </row>
    <row r="871" spans="2:14">
      <c r="B871" s="1"/>
      <c r="C871" s="2"/>
      <c r="D871" s="2"/>
      <c r="E871" s="2"/>
      <c r="F871" s="2"/>
      <c r="G871" s="2"/>
      <c r="H871" s="2"/>
      <c r="I871" s="2"/>
      <c r="J871" s="2"/>
      <c r="K871" s="2"/>
      <c r="L871" s="663"/>
      <c r="M871" s="663"/>
      <c r="N871" s="161"/>
    </row>
    <row r="872" spans="2:14">
      <c r="B872" s="1"/>
      <c r="C872" s="2"/>
      <c r="D872" s="2"/>
      <c r="E872" s="2"/>
      <c r="F872" s="2"/>
      <c r="G872" s="2"/>
      <c r="H872" s="2"/>
      <c r="I872" s="2"/>
      <c r="J872" s="2"/>
      <c r="K872" s="2"/>
      <c r="L872" s="663"/>
      <c r="M872" s="663"/>
      <c r="N872" s="161"/>
    </row>
    <row r="873" spans="2:14">
      <c r="B873" s="1"/>
      <c r="C873" s="2"/>
      <c r="D873" s="2"/>
      <c r="E873" s="2"/>
      <c r="F873" s="2"/>
      <c r="G873" s="2"/>
      <c r="H873" s="2"/>
      <c r="I873" s="2"/>
      <c r="J873" s="2"/>
      <c r="K873" s="2"/>
      <c r="L873" s="663"/>
      <c r="M873" s="663"/>
      <c r="N873" s="161"/>
    </row>
    <row r="874" spans="2:14">
      <c r="B874" s="1"/>
      <c r="C874" s="2"/>
      <c r="D874" s="2"/>
      <c r="E874" s="2"/>
      <c r="F874" s="2"/>
      <c r="G874" s="2"/>
      <c r="H874" s="2"/>
      <c r="I874" s="2"/>
      <c r="J874" s="2"/>
      <c r="K874" s="2"/>
      <c r="L874" s="663"/>
      <c r="M874" s="663"/>
      <c r="N874" s="161"/>
    </row>
    <row r="875" spans="2:14">
      <c r="B875" s="1"/>
      <c r="C875" s="2"/>
      <c r="D875" s="2"/>
      <c r="E875" s="2"/>
      <c r="F875" s="2"/>
      <c r="G875" s="2"/>
      <c r="H875" s="2"/>
      <c r="I875" s="2"/>
      <c r="J875" s="2"/>
      <c r="K875" s="2"/>
      <c r="L875" s="663"/>
      <c r="M875" s="663"/>
      <c r="N875" s="161"/>
    </row>
  </sheetData>
  <mergeCells count="38">
    <mergeCell ref="B685:K685"/>
    <mergeCell ref="B477:K479"/>
    <mergeCell ref="B515:K515"/>
    <mergeCell ref="B687:K687"/>
    <mergeCell ref="B560:K560"/>
    <mergeCell ref="B562:K564"/>
    <mergeCell ref="B609:K609"/>
    <mergeCell ref="B611:K612"/>
    <mergeCell ref="B517:K520"/>
    <mergeCell ref="B649:K649"/>
    <mergeCell ref="B651:K652"/>
    <mergeCell ref="B475:K475"/>
    <mergeCell ref="B374:K375"/>
    <mergeCell ref="B423:K423"/>
    <mergeCell ref="B425:K426"/>
    <mergeCell ref="B158:K158"/>
    <mergeCell ref="B257:K257"/>
    <mergeCell ref="B259:K263"/>
    <mergeCell ref="B121:K121"/>
    <mergeCell ref="B123:K124"/>
    <mergeCell ref="B372:K372"/>
    <mergeCell ref="B160:K161"/>
    <mergeCell ref="B335:K335"/>
    <mergeCell ref="B337:K338"/>
    <mergeCell ref="B208:K208"/>
    <mergeCell ref="B210:K211"/>
    <mergeCell ref="B89:K90"/>
    <mergeCell ref="B1:K1"/>
    <mergeCell ref="B3:K4"/>
    <mergeCell ref="B52:K52"/>
    <mergeCell ref="B54:K55"/>
    <mergeCell ref="B87:K87"/>
    <mergeCell ref="B721:K721"/>
    <mergeCell ref="B723:K723"/>
    <mergeCell ref="B759:K759"/>
    <mergeCell ref="B815:K815"/>
    <mergeCell ref="B817:K819"/>
    <mergeCell ref="B761:K762"/>
  </mergeCells>
  <printOptions horizontalCentered="1"/>
  <pageMargins left="0" right="0" top="0.5" bottom="0" header="0" footer="0"/>
  <pageSetup scale="65" orientation="landscape" r:id="rId1"/>
  <rowBreaks count="18" manualBreakCount="18">
    <brk id="50" max="16383" man="1"/>
    <brk id="85" max="16383" man="1"/>
    <brk id="119" max="16383" man="1"/>
    <brk id="156" min="1" max="14" man="1"/>
    <brk id="207" min="1" max="14" man="1"/>
    <brk id="256" min="1" max="14" man="1"/>
    <brk id="333" max="16383" man="1"/>
    <brk id="371" min="1" max="14" man="1"/>
    <brk id="422" min="1" max="14" man="1"/>
    <brk id="473" min="1" max="14" man="1"/>
    <brk id="513" max="16383" man="1"/>
    <brk id="558" max="16383" man="1"/>
    <brk id="607" min="1" max="14" man="1"/>
    <brk id="647" max="16383" man="1"/>
    <brk id="683" max="16383" man="1"/>
    <brk id="719" min="1" max="14" man="1"/>
    <brk id="758" min="1" max="14" man="1"/>
    <brk id="814" min="1" max="14" man="1"/>
  </rowBreaks>
  <colBreaks count="1" manualBreakCount="1">
    <brk id="1" max="10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Y3727"/>
  <sheetViews>
    <sheetView tabSelected="1" showOutlineSymbols="0" zoomScale="75" zoomScaleNormal="75" zoomScaleSheetLayoutView="70" workbookViewId="0">
      <pane ySplit="5" topLeftCell="A6" activePane="bottomLeft" state="frozen"/>
      <selection activeCell="P1019" sqref="N1:U1048576"/>
      <selection pane="bottomLeft" activeCell="M3" sqref="M3"/>
    </sheetView>
  </sheetViews>
  <sheetFormatPr defaultColWidth="6.88671875" defaultRowHeight="12.75" customHeight="1"/>
  <cols>
    <col min="1" max="1" width="2.6640625" style="586" customWidth="1"/>
    <col min="2" max="2" width="20" style="87" customWidth="1"/>
    <col min="3" max="4" width="1.33203125" style="87" customWidth="1"/>
    <col min="5" max="5" width="6" style="87" customWidth="1"/>
    <col min="6" max="6" width="1.44140625" style="87" customWidth="1"/>
    <col min="7" max="7" width="7.44140625" style="87" customWidth="1"/>
    <col min="8" max="8" width="2.5546875" style="87" customWidth="1"/>
    <col min="9" max="9" width="1.109375" style="87" customWidth="1"/>
    <col min="10" max="10" width="3" style="87" customWidth="1"/>
    <col min="11" max="11" width="4" style="87" customWidth="1"/>
    <col min="12" max="12" width="21" style="87" customWidth="1"/>
    <col min="13" max="14" width="18.6640625" style="209" customWidth="1"/>
    <col min="15" max="16" width="18.6640625" style="210" customWidth="1"/>
    <col min="17" max="21" width="18.6640625" style="209" customWidth="1"/>
    <col min="22" max="16384" width="6.88671875" style="87"/>
  </cols>
  <sheetData>
    <row r="1" spans="2:21" ht="24" customHeight="1"/>
    <row r="2" spans="2:21" ht="24" customHeight="1">
      <c r="Q2" s="596"/>
      <c r="R2" s="596"/>
      <c r="S2" s="596"/>
      <c r="T2" s="596"/>
      <c r="U2" s="596"/>
    </row>
    <row r="3" spans="2:21" ht="24" customHeight="1">
      <c r="N3" s="581"/>
      <c r="Q3" s="213"/>
      <c r="R3" s="213"/>
      <c r="S3" s="213"/>
      <c r="T3" s="213"/>
      <c r="U3" s="213"/>
    </row>
    <row r="4" spans="2:21" ht="24" customHeight="1">
      <c r="B4" s="89"/>
      <c r="C4" s="89"/>
      <c r="D4" s="89"/>
      <c r="E4" s="89"/>
      <c r="F4" s="89"/>
      <c r="G4" s="89"/>
      <c r="H4" s="89"/>
      <c r="I4" s="89"/>
      <c r="J4" s="89"/>
      <c r="K4" s="89"/>
      <c r="L4" s="89"/>
      <c r="M4" s="213" t="s">
        <v>813</v>
      </c>
      <c r="N4" s="213" t="s">
        <v>814</v>
      </c>
      <c r="O4" s="365" t="s">
        <v>815</v>
      </c>
      <c r="P4" s="365" t="s">
        <v>815</v>
      </c>
      <c r="Q4" s="212" t="s">
        <v>816</v>
      </c>
      <c r="R4" s="212" t="s">
        <v>817</v>
      </c>
      <c r="S4" s="212" t="s">
        <v>818</v>
      </c>
      <c r="T4" s="212" t="s">
        <v>819</v>
      </c>
      <c r="U4" s="212" t="s">
        <v>820</v>
      </c>
    </row>
    <row r="5" spans="2:21" ht="24" customHeight="1">
      <c r="B5" s="90" t="s">
        <v>753</v>
      </c>
      <c r="C5" s="89"/>
      <c r="D5" s="89"/>
      <c r="E5" s="709" t="s">
        <v>0</v>
      </c>
      <c r="F5" s="709"/>
      <c r="G5" s="709"/>
      <c r="H5" s="89"/>
      <c r="I5" s="89"/>
      <c r="J5" s="89"/>
      <c r="K5" s="89"/>
      <c r="L5" s="89"/>
      <c r="M5" s="214" t="s">
        <v>1</v>
      </c>
      <c r="N5" s="575" t="s">
        <v>1</v>
      </c>
      <c r="O5" s="366" t="s">
        <v>583</v>
      </c>
      <c r="P5" s="367" t="s">
        <v>19</v>
      </c>
      <c r="Q5" s="214" t="str">
        <f>'Fund Cover Sheets'!$N$1</f>
        <v>Adopted</v>
      </c>
      <c r="R5" s="214" t="s">
        <v>19</v>
      </c>
      <c r="S5" s="214" t="s">
        <v>19</v>
      </c>
      <c r="T5" s="214" t="s">
        <v>19</v>
      </c>
      <c r="U5" s="214" t="s">
        <v>19</v>
      </c>
    </row>
    <row r="6" spans="2:21" ht="15" customHeight="1">
      <c r="B6" s="88"/>
      <c r="E6" s="88"/>
      <c r="F6" s="88"/>
      <c r="G6" s="88"/>
      <c r="M6" s="215"/>
      <c r="N6" s="215"/>
      <c r="O6" s="216"/>
      <c r="P6" s="216"/>
      <c r="Q6" s="215"/>
      <c r="R6" s="215"/>
      <c r="S6" s="215"/>
      <c r="T6" s="215"/>
      <c r="U6" s="215"/>
    </row>
    <row r="7" spans="2:21" ht="24" customHeight="1">
      <c r="B7" s="708" t="s">
        <v>432</v>
      </c>
      <c r="C7" s="708"/>
      <c r="D7" s="708"/>
      <c r="E7" s="708"/>
      <c r="F7" s="708"/>
      <c r="G7" s="708"/>
      <c r="H7" s="708"/>
      <c r="I7" s="708"/>
      <c r="J7" s="708"/>
      <c r="K7" s="708"/>
      <c r="L7" s="708"/>
      <c r="Q7" s="217"/>
      <c r="R7" s="218"/>
      <c r="S7" s="218"/>
      <c r="T7" s="218"/>
      <c r="U7" s="218"/>
    </row>
    <row r="8" spans="2:21" ht="15" customHeight="1">
      <c r="B8" s="94"/>
      <c r="C8" s="94"/>
      <c r="D8" s="94"/>
      <c r="E8" s="94"/>
      <c r="F8" s="94"/>
      <c r="G8" s="94"/>
      <c r="H8" s="94"/>
      <c r="I8" s="94"/>
      <c r="J8" s="94"/>
      <c r="K8" s="94"/>
      <c r="L8" s="94"/>
      <c r="Q8" s="218"/>
      <c r="R8" s="361"/>
      <c r="S8" s="361"/>
      <c r="T8" s="361"/>
      <c r="U8" s="361"/>
    </row>
    <row r="9" spans="2:21" ht="24" customHeight="1">
      <c r="B9" s="89" t="s">
        <v>20</v>
      </c>
      <c r="C9" s="89"/>
      <c r="D9" s="89"/>
      <c r="E9" s="89" t="s">
        <v>176</v>
      </c>
      <c r="F9" s="89"/>
      <c r="G9" s="89"/>
      <c r="H9" s="89"/>
      <c r="I9" s="89"/>
      <c r="J9" s="89"/>
      <c r="K9" s="89"/>
      <c r="L9" s="89"/>
      <c r="M9" s="404">
        <v>2123744</v>
      </c>
      <c r="N9" s="404">
        <v>2100975</v>
      </c>
      <c r="O9" s="405">
        <v>2091475</v>
      </c>
      <c r="P9" s="405">
        <v>2084951</v>
      </c>
      <c r="Q9" s="404">
        <v>2213427</v>
      </c>
      <c r="R9" s="404">
        <v>2238427</v>
      </c>
      <c r="S9" s="404">
        <v>2263427</v>
      </c>
      <c r="T9" s="404">
        <v>2313427</v>
      </c>
      <c r="U9" s="404">
        <v>2363427</v>
      </c>
    </row>
    <row r="10" spans="2:21" ht="24" customHeight="1">
      <c r="B10" s="89" t="s">
        <v>178</v>
      </c>
      <c r="C10" s="89"/>
      <c r="D10" s="89"/>
      <c r="E10" s="89" t="s">
        <v>177</v>
      </c>
      <c r="F10" s="89"/>
      <c r="G10" s="89"/>
      <c r="H10" s="89"/>
      <c r="I10" s="89"/>
      <c r="J10" s="89"/>
      <c r="K10" s="89"/>
      <c r="L10" s="89"/>
      <c r="M10" s="240">
        <v>1108182</v>
      </c>
      <c r="N10" s="240">
        <v>1226938</v>
      </c>
      <c r="O10" s="164">
        <v>1334771</v>
      </c>
      <c r="P10" s="523">
        <v>1330510</v>
      </c>
      <c r="Q10" s="265">
        <v>1330767</v>
      </c>
      <c r="R10" s="240">
        <v>1405767</v>
      </c>
      <c r="S10" s="240">
        <v>1480767</v>
      </c>
      <c r="T10" s="240">
        <v>1530767</v>
      </c>
      <c r="U10" s="240">
        <v>1580767</v>
      </c>
    </row>
    <row r="11" spans="2:21" ht="24" customHeight="1">
      <c r="B11" s="1" t="s">
        <v>22</v>
      </c>
      <c r="C11" s="89"/>
      <c r="D11" s="89"/>
      <c r="E11" s="89" t="s">
        <v>21</v>
      </c>
      <c r="F11" s="89"/>
      <c r="G11" s="89"/>
      <c r="H11" s="89"/>
      <c r="I11" s="89"/>
      <c r="J11" s="89"/>
      <c r="K11" s="89"/>
      <c r="L11" s="89"/>
      <c r="M11" s="240">
        <v>3222256</v>
      </c>
      <c r="N11" s="240">
        <v>3617361</v>
      </c>
      <c r="O11" s="164">
        <v>3582508</v>
      </c>
      <c r="P11" s="164">
        <v>4420820</v>
      </c>
      <c r="Q11" s="240">
        <v>4553445</v>
      </c>
      <c r="R11" s="240">
        <v>4690048</v>
      </c>
      <c r="S11" s="240">
        <v>4830749</v>
      </c>
      <c r="T11" s="240">
        <v>4975671</v>
      </c>
      <c r="U11" s="240">
        <v>5124941</v>
      </c>
    </row>
    <row r="12" spans="2:21" ht="24" customHeight="1">
      <c r="B12" s="1" t="s">
        <v>230</v>
      </c>
      <c r="C12" s="89"/>
      <c r="D12" s="89"/>
      <c r="E12" s="89" t="s">
        <v>484</v>
      </c>
      <c r="F12" s="89"/>
      <c r="G12" s="89"/>
      <c r="H12" s="89"/>
      <c r="I12" s="89"/>
      <c r="J12" s="89"/>
      <c r="K12" s="89"/>
      <c r="L12" s="89"/>
      <c r="M12" s="240">
        <v>2413689</v>
      </c>
      <c r="N12" s="240">
        <v>2724628</v>
      </c>
      <c r="O12" s="164">
        <v>2649473</v>
      </c>
      <c r="P12" s="164">
        <v>3440619</v>
      </c>
      <c r="Q12" s="240">
        <v>3543838</v>
      </c>
      <c r="R12" s="240">
        <v>3650153</v>
      </c>
      <c r="S12" s="240">
        <v>3759658</v>
      </c>
      <c r="T12" s="240">
        <v>3872448</v>
      </c>
      <c r="U12" s="240">
        <v>3988621</v>
      </c>
    </row>
    <row r="13" spans="2:21" ht="24" customHeight="1">
      <c r="B13" s="1" t="s">
        <v>23</v>
      </c>
      <c r="C13" s="89"/>
      <c r="D13" s="89"/>
      <c r="E13" s="1" t="s">
        <v>2</v>
      </c>
      <c r="F13" s="95"/>
      <c r="G13" s="95"/>
      <c r="H13" s="95"/>
      <c r="I13" s="95"/>
      <c r="J13" s="95"/>
      <c r="K13" s="95"/>
      <c r="L13" s="95"/>
      <c r="M13" s="240">
        <v>700784</v>
      </c>
      <c r="N13" s="240">
        <v>705758</v>
      </c>
      <c r="O13" s="164">
        <v>715000</v>
      </c>
      <c r="P13" s="164">
        <v>705000</v>
      </c>
      <c r="Q13" s="240">
        <v>705000</v>
      </c>
      <c r="R13" s="240">
        <v>705000</v>
      </c>
      <c r="S13" s="240">
        <v>705000</v>
      </c>
      <c r="T13" s="240">
        <v>705000</v>
      </c>
      <c r="U13" s="240">
        <v>705000</v>
      </c>
    </row>
    <row r="14" spans="2:21" ht="24" customHeight="1">
      <c r="B14" s="1" t="s">
        <v>24</v>
      </c>
      <c r="C14" s="89"/>
      <c r="D14" s="89"/>
      <c r="E14" s="1" t="s">
        <v>36</v>
      </c>
      <c r="F14" s="89"/>
      <c r="G14" s="89"/>
      <c r="H14" s="89"/>
      <c r="I14" s="89"/>
      <c r="J14" s="89"/>
      <c r="K14" s="89"/>
      <c r="L14" s="89"/>
      <c r="M14" s="240">
        <v>270656</v>
      </c>
      <c r="N14" s="240">
        <v>296112</v>
      </c>
      <c r="O14" s="164">
        <v>270000</v>
      </c>
      <c r="P14" s="164">
        <v>295000</v>
      </c>
      <c r="Q14" s="240">
        <v>295000</v>
      </c>
      <c r="R14" s="240">
        <v>295000</v>
      </c>
      <c r="S14" s="240">
        <v>295000</v>
      </c>
      <c r="T14" s="240">
        <v>295000</v>
      </c>
      <c r="U14" s="240">
        <v>295000</v>
      </c>
    </row>
    <row r="15" spans="2:21" ht="24" customHeight="1">
      <c r="B15" s="1" t="s">
        <v>31</v>
      </c>
      <c r="C15" s="89"/>
      <c r="D15" s="89"/>
      <c r="E15" s="1" t="s">
        <v>723</v>
      </c>
      <c r="F15" s="89"/>
      <c r="G15" s="89"/>
      <c r="H15" s="89"/>
      <c r="I15" s="89"/>
      <c r="J15" s="89"/>
      <c r="K15" s="89"/>
      <c r="L15" s="89"/>
      <c r="M15" s="240">
        <v>263210</v>
      </c>
      <c r="N15" s="240">
        <v>227090</v>
      </c>
      <c r="O15" s="164">
        <v>209000</v>
      </c>
      <c r="P15" s="164">
        <v>194167</v>
      </c>
      <c r="Q15" s="240">
        <v>174750</v>
      </c>
      <c r="R15" s="240">
        <v>157275</v>
      </c>
      <c r="S15" s="240">
        <v>141548</v>
      </c>
      <c r="T15" s="240">
        <v>127393</v>
      </c>
      <c r="U15" s="240">
        <v>114654</v>
      </c>
    </row>
    <row r="16" spans="2:21" ht="24" customHeight="1">
      <c r="B16" s="1" t="s">
        <v>517</v>
      </c>
      <c r="C16" s="89"/>
      <c r="D16" s="89"/>
      <c r="E16" s="1" t="s">
        <v>35</v>
      </c>
      <c r="F16" s="89"/>
      <c r="G16" s="89"/>
      <c r="H16" s="89"/>
      <c r="I16" s="89"/>
      <c r="J16" s="89"/>
      <c r="K16" s="89"/>
      <c r="L16" s="89"/>
      <c r="M16" s="240">
        <v>8340</v>
      </c>
      <c r="N16" s="240">
        <v>8340</v>
      </c>
      <c r="O16" s="164">
        <v>8340</v>
      </c>
      <c r="P16" s="164">
        <v>8340</v>
      </c>
      <c r="Q16" s="240">
        <v>8340</v>
      </c>
      <c r="R16" s="240">
        <v>8340</v>
      </c>
      <c r="S16" s="240">
        <v>8340</v>
      </c>
      <c r="T16" s="240">
        <v>8340</v>
      </c>
      <c r="U16" s="240">
        <v>8340</v>
      </c>
    </row>
    <row r="17" spans="2:21" ht="24" customHeight="1">
      <c r="B17" s="1" t="s">
        <v>30</v>
      </c>
      <c r="C17" s="89"/>
      <c r="D17" s="89"/>
      <c r="E17" s="1" t="s">
        <v>4</v>
      </c>
      <c r="F17" s="89"/>
      <c r="G17" s="89"/>
      <c r="H17" s="89"/>
      <c r="I17" s="89"/>
      <c r="J17" s="89"/>
      <c r="K17" s="89"/>
      <c r="L17" s="89"/>
      <c r="M17" s="240">
        <v>302831</v>
      </c>
      <c r="N17" s="240">
        <v>290272</v>
      </c>
      <c r="O17" s="164">
        <v>300000</v>
      </c>
      <c r="P17" s="164">
        <v>295000</v>
      </c>
      <c r="Q17" s="240">
        <v>295000</v>
      </c>
      <c r="R17" s="240">
        <v>295000</v>
      </c>
      <c r="S17" s="240">
        <v>295000</v>
      </c>
      <c r="T17" s="240">
        <v>295000</v>
      </c>
      <c r="U17" s="240">
        <v>295000</v>
      </c>
    </row>
    <row r="18" spans="2:21" ht="24" customHeight="1">
      <c r="B18" s="1" t="s">
        <v>29</v>
      </c>
      <c r="C18" s="89"/>
      <c r="D18" s="89"/>
      <c r="E18" s="1" t="s">
        <v>3</v>
      </c>
      <c r="F18" s="89"/>
      <c r="G18" s="89"/>
      <c r="H18" s="89"/>
      <c r="I18" s="89"/>
      <c r="J18" s="89"/>
      <c r="K18" s="89"/>
      <c r="L18" s="89"/>
      <c r="M18" s="240">
        <v>80302</v>
      </c>
      <c r="N18" s="240">
        <v>66751</v>
      </c>
      <c r="O18" s="164">
        <v>80000</v>
      </c>
      <c r="P18" s="164">
        <v>110000</v>
      </c>
      <c r="Q18" s="240">
        <v>110000</v>
      </c>
      <c r="R18" s="240">
        <v>110000</v>
      </c>
      <c r="S18" s="240">
        <v>110000</v>
      </c>
      <c r="T18" s="240">
        <v>110000</v>
      </c>
      <c r="U18" s="240">
        <v>110000</v>
      </c>
    </row>
    <row r="19" spans="2:21" ht="24" customHeight="1">
      <c r="B19" s="1" t="s">
        <v>953</v>
      </c>
      <c r="C19" s="89"/>
      <c r="D19" s="89"/>
      <c r="E19" s="309" t="s">
        <v>844</v>
      </c>
      <c r="F19" s="89"/>
      <c r="G19" s="89"/>
      <c r="H19" s="89"/>
      <c r="I19" s="89"/>
      <c r="J19" s="89"/>
      <c r="K19" s="89"/>
      <c r="L19" s="89"/>
      <c r="M19" s="240">
        <v>131292</v>
      </c>
      <c r="N19" s="240">
        <v>125582</v>
      </c>
      <c r="O19" s="164">
        <v>140000</v>
      </c>
      <c r="P19" s="164">
        <v>235000</v>
      </c>
      <c r="Q19" s="240">
        <v>230000</v>
      </c>
      <c r="R19" s="240">
        <v>230000</v>
      </c>
      <c r="S19" s="240">
        <v>230000</v>
      </c>
      <c r="T19" s="240">
        <v>230000</v>
      </c>
      <c r="U19" s="240">
        <v>230000</v>
      </c>
    </row>
    <row r="20" spans="2:21" ht="24" customHeight="1">
      <c r="B20" s="1" t="s">
        <v>28</v>
      </c>
      <c r="C20" s="89"/>
      <c r="D20" s="89"/>
      <c r="E20" s="309" t="s">
        <v>34</v>
      </c>
      <c r="F20" s="89"/>
      <c r="G20" s="89"/>
      <c r="H20" s="89"/>
      <c r="I20" s="89"/>
      <c r="J20" s="89"/>
      <c r="K20" s="89"/>
      <c r="L20" s="89"/>
      <c r="M20" s="240">
        <v>196786</v>
      </c>
      <c r="N20" s="240">
        <v>69445</v>
      </c>
      <c r="O20" s="164">
        <v>125000</v>
      </c>
      <c r="P20" s="164">
        <v>190000</v>
      </c>
      <c r="Q20" s="240">
        <v>190000</v>
      </c>
      <c r="R20" s="240">
        <v>200000</v>
      </c>
      <c r="S20" s="240">
        <v>200000</v>
      </c>
      <c r="T20" s="240">
        <v>200000</v>
      </c>
      <c r="U20" s="240">
        <v>200000</v>
      </c>
    </row>
    <row r="21" spans="2:21" ht="24" customHeight="1">
      <c r="B21" s="1" t="s">
        <v>27</v>
      </c>
      <c r="C21" s="89"/>
      <c r="D21" s="89"/>
      <c r="E21" s="4" t="s">
        <v>33</v>
      </c>
      <c r="F21" s="89"/>
      <c r="G21" s="89"/>
      <c r="H21" s="89"/>
      <c r="I21" s="89"/>
      <c r="J21" s="89"/>
      <c r="K21" s="89"/>
      <c r="L21" s="89"/>
      <c r="M21" s="240">
        <v>146143</v>
      </c>
      <c r="N21" s="240">
        <v>58105</v>
      </c>
      <c r="O21" s="164">
        <v>145000</v>
      </c>
      <c r="P21" s="164">
        <v>148662</v>
      </c>
      <c r="Q21" s="240">
        <v>145000</v>
      </c>
      <c r="R21" s="240">
        <v>145000</v>
      </c>
      <c r="S21" s="208">
        <v>145000</v>
      </c>
      <c r="T21" s="208">
        <v>145000</v>
      </c>
      <c r="U21" s="208">
        <v>145000</v>
      </c>
    </row>
    <row r="22" spans="2:21" ht="24" customHeight="1">
      <c r="B22" s="1" t="s">
        <v>26</v>
      </c>
      <c r="C22" s="89"/>
      <c r="D22" s="89"/>
      <c r="E22" s="96" t="s">
        <v>929</v>
      </c>
      <c r="F22" s="89"/>
      <c r="G22" s="89"/>
      <c r="H22" s="89"/>
      <c r="I22" s="89"/>
      <c r="J22" s="89"/>
      <c r="K22" s="89"/>
      <c r="L22" s="89"/>
      <c r="M22" s="240">
        <v>345185</v>
      </c>
      <c r="N22" s="240">
        <v>377240</v>
      </c>
      <c r="O22" s="164">
        <v>379950</v>
      </c>
      <c r="P22" s="164">
        <v>398000</v>
      </c>
      <c r="Q22" s="240">
        <v>409940</v>
      </c>
      <c r="R22" s="240">
        <v>422238</v>
      </c>
      <c r="S22" s="240">
        <v>434905</v>
      </c>
      <c r="T22" s="240">
        <v>447952</v>
      </c>
      <c r="U22" s="240">
        <v>461391</v>
      </c>
    </row>
    <row r="23" spans="2:21" ht="24" customHeight="1">
      <c r="B23" s="1" t="s">
        <v>930</v>
      </c>
      <c r="C23" s="89"/>
      <c r="D23" s="89"/>
      <c r="E23" s="96" t="s">
        <v>932</v>
      </c>
      <c r="F23" s="89"/>
      <c r="G23" s="89"/>
      <c r="H23" s="89"/>
      <c r="I23" s="89"/>
      <c r="J23" s="89"/>
      <c r="K23" s="89"/>
      <c r="L23" s="89"/>
      <c r="M23" s="240">
        <v>33641</v>
      </c>
      <c r="N23" s="240">
        <v>35259</v>
      </c>
      <c r="O23" s="164">
        <v>30000</v>
      </c>
      <c r="P23" s="164">
        <v>47500</v>
      </c>
      <c r="Q23" s="240">
        <v>40000</v>
      </c>
      <c r="R23" s="240">
        <v>40000</v>
      </c>
      <c r="S23" s="240">
        <v>40000</v>
      </c>
      <c r="T23" s="240">
        <v>40000</v>
      </c>
      <c r="U23" s="240">
        <v>40000</v>
      </c>
    </row>
    <row r="24" spans="2:21" ht="24" customHeight="1">
      <c r="B24" s="1" t="s">
        <v>931</v>
      </c>
      <c r="C24" s="89"/>
      <c r="D24" s="89"/>
      <c r="E24" s="96" t="s">
        <v>933</v>
      </c>
      <c r="F24" s="89"/>
      <c r="G24" s="89"/>
      <c r="H24" s="89"/>
      <c r="I24" s="89"/>
      <c r="J24" s="89"/>
      <c r="K24" s="89"/>
      <c r="L24" s="89"/>
      <c r="M24" s="240">
        <v>14516</v>
      </c>
      <c r="N24" s="240">
        <v>25826</v>
      </c>
      <c r="O24" s="164">
        <v>12000</v>
      </c>
      <c r="P24" s="164">
        <v>55000</v>
      </c>
      <c r="Q24" s="240">
        <v>55000</v>
      </c>
      <c r="R24" s="240">
        <v>55000</v>
      </c>
      <c r="S24" s="240">
        <v>55000</v>
      </c>
      <c r="T24" s="240">
        <v>55000</v>
      </c>
      <c r="U24" s="240">
        <v>55000</v>
      </c>
    </row>
    <row r="25" spans="2:21" ht="24" customHeight="1">
      <c r="B25" s="1" t="s">
        <v>25</v>
      </c>
      <c r="C25" s="89"/>
      <c r="D25" s="89"/>
      <c r="E25" s="1" t="s">
        <v>32</v>
      </c>
      <c r="F25" s="89"/>
      <c r="G25" s="89"/>
      <c r="H25" s="89"/>
      <c r="I25" s="89"/>
      <c r="J25" s="89"/>
      <c r="K25" s="89"/>
      <c r="L25" s="89"/>
      <c r="M25" s="240">
        <v>16881</v>
      </c>
      <c r="N25" s="240">
        <v>15081</v>
      </c>
      <c r="O25" s="164">
        <v>16500</v>
      </c>
      <c r="P25" s="164">
        <v>17000</v>
      </c>
      <c r="Q25" s="240">
        <v>17000</v>
      </c>
      <c r="R25" s="240">
        <v>17000</v>
      </c>
      <c r="S25" s="240">
        <v>17000</v>
      </c>
      <c r="T25" s="240">
        <v>17000</v>
      </c>
      <c r="U25" s="240">
        <v>17000</v>
      </c>
    </row>
    <row r="26" spans="2:21" ht="24" customHeight="1">
      <c r="B26" s="1" t="s">
        <v>42</v>
      </c>
      <c r="C26" s="89"/>
      <c r="D26" s="89"/>
      <c r="E26" s="309" t="s">
        <v>45</v>
      </c>
      <c r="F26" s="161"/>
      <c r="G26" s="161"/>
      <c r="H26" s="161"/>
      <c r="I26" s="161"/>
      <c r="J26" s="161"/>
      <c r="K26" s="161"/>
      <c r="L26" s="89"/>
      <c r="M26" s="240">
        <v>1870977</v>
      </c>
      <c r="N26" s="240">
        <v>2470986</v>
      </c>
      <c r="O26" s="164">
        <v>2336774</v>
      </c>
      <c r="P26" s="164">
        <v>2763606</v>
      </c>
      <c r="Q26" s="240">
        <v>2848816</v>
      </c>
      <c r="R26" s="240">
        <v>2905792</v>
      </c>
      <c r="S26" s="240">
        <v>2963908</v>
      </c>
      <c r="T26" s="240">
        <v>3023186</v>
      </c>
      <c r="U26" s="240">
        <v>3083650</v>
      </c>
    </row>
    <row r="27" spans="2:21" ht="24" customHeight="1">
      <c r="B27" s="1" t="s">
        <v>41</v>
      </c>
      <c r="C27" s="89"/>
      <c r="D27" s="89"/>
      <c r="E27" s="309" t="s">
        <v>200</v>
      </c>
      <c r="F27" s="161"/>
      <c r="G27" s="161"/>
      <c r="H27" s="161"/>
      <c r="I27" s="161"/>
      <c r="J27" s="161"/>
      <c r="K27" s="161"/>
      <c r="L27" s="161"/>
      <c r="M27" s="240">
        <v>665636</v>
      </c>
      <c r="N27" s="240">
        <v>855744</v>
      </c>
      <c r="O27" s="164">
        <v>937660</v>
      </c>
      <c r="P27" s="164">
        <v>813307</v>
      </c>
      <c r="Q27" s="240">
        <v>807488</v>
      </c>
      <c r="R27" s="240">
        <v>807488</v>
      </c>
      <c r="S27" s="240">
        <v>807488</v>
      </c>
      <c r="T27" s="240">
        <v>807488</v>
      </c>
      <c r="U27" s="240">
        <v>807488</v>
      </c>
    </row>
    <row r="28" spans="2:21" ht="24" customHeight="1">
      <c r="B28" s="339" t="s">
        <v>1160</v>
      </c>
      <c r="C28" s="340"/>
      <c r="D28" s="340"/>
      <c r="E28" s="309" t="s">
        <v>1159</v>
      </c>
      <c r="F28" s="161"/>
      <c r="G28" s="161"/>
      <c r="H28" s="161"/>
      <c r="I28" s="161"/>
      <c r="J28" s="161"/>
      <c r="K28" s="161"/>
      <c r="L28" s="340"/>
      <c r="M28" s="240">
        <v>4009</v>
      </c>
      <c r="N28" s="240">
        <v>16831</v>
      </c>
      <c r="O28" s="164">
        <v>19596</v>
      </c>
      <c r="P28" s="164">
        <v>32108</v>
      </c>
      <c r="Q28" s="240">
        <v>41989</v>
      </c>
      <c r="R28" s="240">
        <v>43249</v>
      </c>
      <c r="S28" s="240">
        <v>44546</v>
      </c>
      <c r="T28" s="240">
        <v>45882</v>
      </c>
      <c r="U28" s="240">
        <v>47258</v>
      </c>
    </row>
    <row r="29" spans="2:21" ht="24" customHeight="1">
      <c r="B29" s="1" t="s">
        <v>40</v>
      </c>
      <c r="C29" s="89"/>
      <c r="D29" s="89"/>
      <c r="E29" s="309" t="s">
        <v>175</v>
      </c>
      <c r="F29" s="89"/>
      <c r="G29" s="89"/>
      <c r="H29" s="89"/>
      <c r="I29" s="89"/>
      <c r="J29" s="89"/>
      <c r="K29" s="89"/>
      <c r="L29" s="89"/>
      <c r="M29" s="240">
        <v>131199</v>
      </c>
      <c r="N29" s="240">
        <v>52363</v>
      </c>
      <c r="O29" s="164">
        <v>54975</v>
      </c>
      <c r="P29" s="523">
        <v>54872</v>
      </c>
      <c r="Q29" s="240">
        <v>116077</v>
      </c>
      <c r="R29" s="240">
        <v>55000</v>
      </c>
      <c r="S29" s="240">
        <v>55000</v>
      </c>
      <c r="T29" s="240">
        <v>55000</v>
      </c>
      <c r="U29" s="240">
        <v>55000</v>
      </c>
    </row>
    <row r="30" spans="2:21" ht="24" customHeight="1">
      <c r="B30" s="1" t="s">
        <v>39</v>
      </c>
      <c r="C30" s="89"/>
      <c r="D30" s="89"/>
      <c r="E30" s="1" t="s">
        <v>44</v>
      </c>
      <c r="F30" s="89"/>
      <c r="G30" s="89"/>
      <c r="H30" s="89"/>
      <c r="I30" s="89"/>
      <c r="J30" s="89"/>
      <c r="K30" s="89"/>
      <c r="L30" s="89"/>
      <c r="M30" s="240">
        <v>17683</v>
      </c>
      <c r="N30" s="240">
        <v>22429</v>
      </c>
      <c r="O30" s="164">
        <v>16500</v>
      </c>
      <c r="P30" s="164">
        <v>30000</v>
      </c>
      <c r="Q30" s="240">
        <v>25000</v>
      </c>
      <c r="R30" s="240">
        <v>25000</v>
      </c>
      <c r="S30" s="240">
        <v>25000</v>
      </c>
      <c r="T30" s="240">
        <v>25000</v>
      </c>
      <c r="U30" s="240">
        <v>25000</v>
      </c>
    </row>
    <row r="31" spans="2:21" ht="24" customHeight="1">
      <c r="B31" s="1" t="s">
        <v>38</v>
      </c>
      <c r="C31" s="89"/>
      <c r="D31" s="89"/>
      <c r="E31" s="4" t="s">
        <v>5</v>
      </c>
      <c r="F31" s="89"/>
      <c r="G31" s="89"/>
      <c r="H31" s="89"/>
      <c r="I31" s="89"/>
      <c r="J31" s="89"/>
      <c r="K31" s="89"/>
      <c r="L31" s="89"/>
      <c r="M31" s="240">
        <v>20534</v>
      </c>
      <c r="N31" s="240">
        <v>1548837</v>
      </c>
      <c r="O31" s="164">
        <v>15275</v>
      </c>
      <c r="P31" s="164">
        <v>1513342</v>
      </c>
      <c r="Q31" s="240">
        <v>1422797</v>
      </c>
      <c r="R31" s="240">
        <v>24388</v>
      </c>
      <c r="S31" s="240">
        <v>23038</v>
      </c>
      <c r="T31" s="240">
        <v>21688</v>
      </c>
      <c r="U31" s="240">
        <v>21688</v>
      </c>
    </row>
    <row r="32" spans="2:21" ht="24" customHeight="1">
      <c r="B32" s="1" t="s">
        <v>871</v>
      </c>
      <c r="C32" s="89"/>
      <c r="D32" s="89"/>
      <c r="E32" s="712" t="s">
        <v>908</v>
      </c>
      <c r="F32" s="712"/>
      <c r="G32" s="712"/>
      <c r="H32" s="712"/>
      <c r="I32" s="712"/>
      <c r="J32" s="712"/>
      <c r="K32" s="712"/>
      <c r="L32" s="712"/>
      <c r="M32" s="240">
        <v>18553</v>
      </c>
      <c r="N32" s="240">
        <v>30292</v>
      </c>
      <c r="O32" s="164">
        <v>20000</v>
      </c>
      <c r="P32" s="164">
        <v>12329</v>
      </c>
      <c r="Q32" s="208">
        <v>20000</v>
      </c>
      <c r="R32" s="208">
        <v>20000</v>
      </c>
      <c r="S32" s="208">
        <v>20000</v>
      </c>
      <c r="T32" s="208">
        <v>20000</v>
      </c>
      <c r="U32" s="208">
        <v>20000</v>
      </c>
    </row>
    <row r="33" spans="2:21" ht="24" customHeight="1">
      <c r="B33" s="1" t="s">
        <v>37</v>
      </c>
      <c r="C33" s="89"/>
      <c r="D33" s="89"/>
      <c r="E33" s="309" t="s">
        <v>43</v>
      </c>
      <c r="F33" s="161"/>
      <c r="G33" s="161"/>
      <c r="H33" s="161"/>
      <c r="I33" s="161"/>
      <c r="J33" s="161"/>
      <c r="K33" s="89"/>
      <c r="L33" s="89"/>
      <c r="M33" s="240">
        <v>11639</v>
      </c>
      <c r="N33" s="240">
        <v>18060</v>
      </c>
      <c r="O33" s="164">
        <v>0</v>
      </c>
      <c r="P33" s="164">
        <v>7513</v>
      </c>
      <c r="Q33" s="208">
        <v>0</v>
      </c>
      <c r="R33" s="208">
        <v>0</v>
      </c>
      <c r="S33" s="208">
        <v>0</v>
      </c>
      <c r="T33" s="208">
        <v>0</v>
      </c>
      <c r="U33" s="208">
        <v>0</v>
      </c>
    </row>
    <row r="34" spans="2:21" ht="24" customHeight="1">
      <c r="B34" s="1" t="s">
        <v>202</v>
      </c>
      <c r="C34" s="89"/>
      <c r="D34" s="89"/>
      <c r="E34" s="4" t="s">
        <v>203</v>
      </c>
      <c r="F34" s="89"/>
      <c r="G34" s="89"/>
      <c r="H34" s="89"/>
      <c r="I34" s="89"/>
      <c r="J34" s="89"/>
      <c r="K34" s="89"/>
      <c r="L34" s="89"/>
      <c r="M34" s="240">
        <v>1861</v>
      </c>
      <c r="N34" s="240">
        <v>893</v>
      </c>
      <c r="O34" s="164">
        <v>1000</v>
      </c>
      <c r="P34" s="164">
        <v>674</v>
      </c>
      <c r="Q34" s="208">
        <v>750</v>
      </c>
      <c r="R34" s="208">
        <v>1000</v>
      </c>
      <c r="S34" s="208">
        <v>1000</v>
      </c>
      <c r="T34" s="208">
        <v>1000</v>
      </c>
      <c r="U34" s="208">
        <v>1000</v>
      </c>
    </row>
    <row r="35" spans="2:21" ht="24" customHeight="1">
      <c r="B35" s="1" t="s">
        <v>48</v>
      </c>
      <c r="C35" s="89"/>
      <c r="D35" s="89"/>
      <c r="E35" s="1" t="s">
        <v>921</v>
      </c>
      <c r="F35" s="89"/>
      <c r="G35" s="89"/>
      <c r="H35" s="89"/>
      <c r="I35" s="89"/>
      <c r="J35" s="89"/>
      <c r="K35" s="89"/>
      <c r="L35" s="89"/>
      <c r="M35" s="240">
        <v>48671</v>
      </c>
      <c r="N35" s="240">
        <v>95217</v>
      </c>
      <c r="O35" s="164">
        <v>65000</v>
      </c>
      <c r="P35" s="164">
        <v>65000</v>
      </c>
      <c r="Q35" s="240">
        <v>65000</v>
      </c>
      <c r="R35" s="240">
        <v>65000</v>
      </c>
      <c r="S35" s="240">
        <v>65000</v>
      </c>
      <c r="T35" s="240">
        <v>65000</v>
      </c>
      <c r="U35" s="240">
        <v>65000</v>
      </c>
    </row>
    <row r="36" spans="2:21" ht="24" customHeight="1">
      <c r="B36" s="1" t="s">
        <v>47</v>
      </c>
      <c r="C36" s="89"/>
      <c r="D36" s="89"/>
      <c r="E36" s="1" t="s">
        <v>512</v>
      </c>
      <c r="F36" s="89"/>
      <c r="G36" s="89"/>
      <c r="H36" s="89"/>
      <c r="I36" s="89"/>
      <c r="J36" s="89"/>
      <c r="K36" s="89"/>
      <c r="L36" s="89"/>
      <c r="M36" s="240">
        <v>9797</v>
      </c>
      <c r="N36" s="240">
        <v>12052</v>
      </c>
      <c r="O36" s="164">
        <v>9500</v>
      </c>
      <c r="P36" s="164">
        <v>9500</v>
      </c>
      <c r="Q36" s="240">
        <v>9500</v>
      </c>
      <c r="R36" s="240">
        <v>9500</v>
      </c>
      <c r="S36" s="240">
        <v>9500</v>
      </c>
      <c r="T36" s="240">
        <v>9500</v>
      </c>
      <c r="U36" s="240">
        <v>9500</v>
      </c>
    </row>
    <row r="37" spans="2:21" ht="24" customHeight="1">
      <c r="B37" s="1" t="s">
        <v>46</v>
      </c>
      <c r="C37" s="89"/>
      <c r="D37" s="89"/>
      <c r="E37" s="1" t="s">
        <v>50</v>
      </c>
      <c r="F37" s="89"/>
      <c r="G37" s="89"/>
      <c r="H37" s="89"/>
      <c r="I37" s="89"/>
      <c r="J37" s="89"/>
      <c r="K37" s="89"/>
      <c r="L37" s="89"/>
      <c r="M37" s="240">
        <v>432491</v>
      </c>
      <c r="N37" s="240">
        <v>495059</v>
      </c>
      <c r="O37" s="164">
        <v>450000</v>
      </c>
      <c r="P37" s="164">
        <v>816970</v>
      </c>
      <c r="Q37" s="240">
        <v>500000</v>
      </c>
      <c r="R37" s="240">
        <v>450000</v>
      </c>
      <c r="S37" s="240">
        <v>400000</v>
      </c>
      <c r="T37" s="240">
        <v>400000</v>
      </c>
      <c r="U37" s="240">
        <v>400000</v>
      </c>
    </row>
    <row r="38" spans="2:21" ht="24" customHeight="1">
      <c r="B38" s="1" t="s">
        <v>53</v>
      </c>
      <c r="C38" s="95"/>
      <c r="D38" s="95"/>
      <c r="E38" s="1" t="s">
        <v>717</v>
      </c>
      <c r="F38" s="95"/>
      <c r="G38" s="95"/>
      <c r="H38" s="95"/>
      <c r="I38" s="95"/>
      <c r="J38" s="95"/>
      <c r="K38" s="95"/>
      <c r="L38" s="95"/>
      <c r="M38" s="240">
        <v>34975</v>
      </c>
      <c r="N38" s="240">
        <v>32472</v>
      </c>
      <c r="O38" s="164">
        <v>35000</v>
      </c>
      <c r="P38" s="164">
        <v>35000</v>
      </c>
      <c r="Q38" s="240">
        <v>35000</v>
      </c>
      <c r="R38" s="240">
        <v>35000</v>
      </c>
      <c r="S38" s="240">
        <v>35000</v>
      </c>
      <c r="T38" s="240">
        <v>35000</v>
      </c>
      <c r="U38" s="240">
        <v>35000</v>
      </c>
    </row>
    <row r="39" spans="2:21" ht="24" customHeight="1">
      <c r="B39" s="1" t="s">
        <v>52</v>
      </c>
      <c r="C39" s="89"/>
      <c r="D39" s="89"/>
      <c r="E39" s="1" t="s">
        <v>205</v>
      </c>
      <c r="F39" s="89"/>
      <c r="G39" s="89"/>
      <c r="H39" s="89"/>
      <c r="I39" s="89"/>
      <c r="J39" s="89"/>
      <c r="K39" s="89"/>
      <c r="L39" s="89"/>
      <c r="M39" s="240">
        <v>23142</v>
      </c>
      <c r="N39" s="240">
        <v>13941</v>
      </c>
      <c r="O39" s="164">
        <v>26500</v>
      </c>
      <c r="P39" s="164">
        <v>20000</v>
      </c>
      <c r="Q39" s="208">
        <v>20000</v>
      </c>
      <c r="R39" s="208">
        <v>20000</v>
      </c>
      <c r="S39" s="208">
        <v>22500</v>
      </c>
      <c r="T39" s="208">
        <v>22500</v>
      </c>
      <c r="U39" s="208">
        <v>22500</v>
      </c>
    </row>
    <row r="40" spans="2:21" ht="24" customHeight="1">
      <c r="B40" s="1" t="s">
        <v>796</v>
      </c>
      <c r="C40" s="89"/>
      <c r="D40" s="89"/>
      <c r="E40" s="1" t="s">
        <v>569</v>
      </c>
      <c r="F40" s="89"/>
      <c r="G40" s="89"/>
      <c r="H40" s="89"/>
      <c r="I40" s="89"/>
      <c r="J40" s="89"/>
      <c r="K40" s="89"/>
      <c r="L40" s="89"/>
      <c r="M40" s="228">
        <v>255</v>
      </c>
      <c r="N40" s="228">
        <v>355</v>
      </c>
      <c r="O40" s="165">
        <v>350</v>
      </c>
      <c r="P40" s="165">
        <v>360</v>
      </c>
      <c r="Q40" s="228">
        <v>350</v>
      </c>
      <c r="R40" s="228">
        <v>350</v>
      </c>
      <c r="S40" s="228">
        <v>350</v>
      </c>
      <c r="T40" s="228">
        <v>350</v>
      </c>
      <c r="U40" s="228">
        <v>350</v>
      </c>
    </row>
    <row r="41" spans="2:21" ht="24" customHeight="1">
      <c r="B41" s="1" t="s">
        <v>51</v>
      </c>
      <c r="C41" s="95"/>
      <c r="D41" s="95"/>
      <c r="E41" s="1" t="s">
        <v>54</v>
      </c>
      <c r="F41" s="95"/>
      <c r="G41" s="95"/>
      <c r="H41" s="95"/>
      <c r="I41" s="95"/>
      <c r="J41" s="95"/>
      <c r="K41" s="95"/>
      <c r="L41" s="95"/>
      <c r="M41" s="240">
        <v>15500</v>
      </c>
      <c r="N41" s="240">
        <v>62500</v>
      </c>
      <c r="O41" s="164">
        <v>55000</v>
      </c>
      <c r="P41" s="164">
        <v>62500</v>
      </c>
      <c r="Q41" s="208">
        <v>60000</v>
      </c>
      <c r="R41" s="208">
        <v>60000</v>
      </c>
      <c r="S41" s="208">
        <v>60000</v>
      </c>
      <c r="T41" s="208">
        <v>60000</v>
      </c>
      <c r="U41" s="208">
        <v>60000</v>
      </c>
    </row>
    <row r="42" spans="2:21" ht="24" customHeight="1">
      <c r="B42" s="1" t="s">
        <v>56</v>
      </c>
      <c r="C42" s="95"/>
      <c r="D42" s="95"/>
      <c r="E42" s="304" t="s">
        <v>57</v>
      </c>
      <c r="F42" s="95"/>
      <c r="G42" s="95"/>
      <c r="H42" s="95"/>
      <c r="I42" s="95"/>
      <c r="J42" s="95"/>
      <c r="K42" s="95"/>
      <c r="L42" s="95"/>
      <c r="M42" s="240">
        <v>1270622</v>
      </c>
      <c r="N42" s="240">
        <v>1354988</v>
      </c>
      <c r="O42" s="164">
        <v>1376063</v>
      </c>
      <c r="P42" s="164">
        <v>1450000</v>
      </c>
      <c r="Q42" s="240">
        <v>1525021</v>
      </c>
      <c r="R42" s="240">
        <v>1633486</v>
      </c>
      <c r="S42" s="240">
        <v>1749717</v>
      </c>
      <c r="T42" s="240">
        <v>1873990</v>
      </c>
      <c r="U42" s="240">
        <v>2007766</v>
      </c>
    </row>
    <row r="43" spans="2:21" ht="24" customHeight="1">
      <c r="B43" s="1" t="s">
        <v>55</v>
      </c>
      <c r="C43" s="89"/>
      <c r="D43" s="89"/>
      <c r="E43" s="1" t="s">
        <v>1019</v>
      </c>
      <c r="F43" s="89"/>
      <c r="G43" s="89"/>
      <c r="H43" s="89"/>
      <c r="I43" s="89"/>
      <c r="J43" s="89"/>
      <c r="K43" s="89"/>
      <c r="L43" s="89"/>
      <c r="M43" s="240">
        <v>168662</v>
      </c>
      <c r="N43" s="240">
        <v>172889</v>
      </c>
      <c r="O43" s="164">
        <v>165000</v>
      </c>
      <c r="P43" s="164">
        <v>170000</v>
      </c>
      <c r="Q43" s="208">
        <v>170000</v>
      </c>
      <c r="R43" s="208">
        <v>170000</v>
      </c>
      <c r="S43" s="208">
        <v>170000</v>
      </c>
      <c r="T43" s="208">
        <v>170000</v>
      </c>
      <c r="U43" s="208">
        <v>170000</v>
      </c>
    </row>
    <row r="44" spans="2:21" ht="24" customHeight="1">
      <c r="B44" s="1" t="s">
        <v>794</v>
      </c>
      <c r="C44" s="95"/>
      <c r="D44" s="95"/>
      <c r="E44" s="1" t="s">
        <v>763</v>
      </c>
      <c r="F44" s="95"/>
      <c r="G44" s="95"/>
      <c r="H44" s="95"/>
      <c r="I44" s="95"/>
      <c r="J44" s="95"/>
      <c r="K44" s="95"/>
      <c r="L44" s="95"/>
      <c r="M44" s="240">
        <v>20958</v>
      </c>
      <c r="N44" s="240">
        <v>89</v>
      </c>
      <c r="O44" s="164">
        <v>21000</v>
      </c>
      <c r="P44" s="164">
        <v>28000</v>
      </c>
      <c r="Q44" s="240">
        <v>28000</v>
      </c>
      <c r="R44" s="208">
        <v>28000</v>
      </c>
      <c r="S44" s="208">
        <v>28000</v>
      </c>
      <c r="T44" s="208">
        <v>28000</v>
      </c>
      <c r="U44" s="208">
        <v>28000</v>
      </c>
    </row>
    <row r="45" spans="2:21" ht="24" customHeight="1">
      <c r="B45" s="1" t="s">
        <v>1015</v>
      </c>
      <c r="C45" s="95"/>
      <c r="D45" s="95"/>
      <c r="E45" s="1" t="s">
        <v>1013</v>
      </c>
      <c r="F45" s="95"/>
      <c r="G45" s="95"/>
      <c r="H45" s="95"/>
      <c r="I45" s="95"/>
      <c r="J45" s="95"/>
      <c r="K45" s="95"/>
      <c r="L45" s="95"/>
      <c r="M45" s="221">
        <v>204836</v>
      </c>
      <c r="N45" s="221">
        <v>213896</v>
      </c>
      <c r="O45" s="166">
        <v>218560</v>
      </c>
      <c r="P45" s="166">
        <v>218560</v>
      </c>
      <c r="Q45" s="221">
        <v>225941</v>
      </c>
      <c r="R45" s="221">
        <v>232719</v>
      </c>
      <c r="S45" s="221">
        <v>239700</v>
      </c>
      <c r="T45" s="221">
        <v>246891</v>
      </c>
      <c r="U45" s="221">
        <v>254298</v>
      </c>
    </row>
    <row r="46" spans="2:21" ht="24" customHeight="1">
      <c r="B46" s="1" t="s">
        <v>219</v>
      </c>
      <c r="C46" s="89"/>
      <c r="D46" s="89"/>
      <c r="E46" s="1" t="s">
        <v>220</v>
      </c>
      <c r="F46" s="89"/>
      <c r="G46" s="89"/>
      <c r="H46" s="89"/>
      <c r="I46" s="89"/>
      <c r="J46" s="89"/>
      <c r="K46" s="89"/>
      <c r="L46" s="89"/>
      <c r="M46" s="228">
        <v>5615</v>
      </c>
      <c r="N46" s="228">
        <v>1350</v>
      </c>
      <c r="O46" s="165">
        <v>500</v>
      </c>
      <c r="P46" s="165">
        <v>2753</v>
      </c>
      <c r="Q46" s="223">
        <v>2000</v>
      </c>
      <c r="R46" s="223">
        <v>2000</v>
      </c>
      <c r="S46" s="223">
        <v>2000</v>
      </c>
      <c r="T46" s="223">
        <v>2000</v>
      </c>
      <c r="U46" s="223">
        <v>2000</v>
      </c>
    </row>
    <row r="47" spans="2:21" ht="24" customHeight="1">
      <c r="B47" s="1" t="s">
        <v>58</v>
      </c>
      <c r="C47" s="95"/>
      <c r="D47" s="95"/>
      <c r="E47" s="688" t="s">
        <v>6</v>
      </c>
      <c r="F47" s="688"/>
      <c r="G47" s="688"/>
      <c r="H47" s="688"/>
      <c r="I47" s="688"/>
      <c r="J47" s="688"/>
      <c r="K47" s="688"/>
      <c r="L47" s="688"/>
      <c r="M47" s="240">
        <v>107884</v>
      </c>
      <c r="N47" s="240">
        <v>12085</v>
      </c>
      <c r="O47" s="164">
        <v>20000</v>
      </c>
      <c r="P47" s="164">
        <v>5250</v>
      </c>
      <c r="Q47" s="240">
        <v>7500</v>
      </c>
      <c r="R47" s="240">
        <v>20000</v>
      </c>
      <c r="S47" s="240">
        <v>35000</v>
      </c>
      <c r="T47" s="240">
        <v>50000</v>
      </c>
      <c r="U47" s="240">
        <v>75000</v>
      </c>
    </row>
    <row r="48" spans="2:21" ht="24" customHeight="1">
      <c r="B48" s="1" t="s">
        <v>1085</v>
      </c>
      <c r="C48" s="95"/>
      <c r="D48" s="95"/>
      <c r="E48" s="95" t="s">
        <v>1086</v>
      </c>
      <c r="F48" s="95"/>
      <c r="G48" s="95"/>
      <c r="H48" s="95"/>
      <c r="I48" s="95"/>
      <c r="J48" s="95"/>
      <c r="K48" s="95"/>
      <c r="L48" s="95"/>
      <c r="M48" s="240">
        <v>39952</v>
      </c>
      <c r="N48" s="240">
        <v>0</v>
      </c>
      <c r="O48" s="164">
        <v>0</v>
      </c>
      <c r="P48" s="164">
        <v>3649</v>
      </c>
      <c r="Q48" s="208">
        <v>0</v>
      </c>
      <c r="R48" s="208">
        <v>0</v>
      </c>
      <c r="S48" s="208">
        <v>0</v>
      </c>
      <c r="T48" s="208">
        <v>0</v>
      </c>
      <c r="U48" s="208">
        <v>0</v>
      </c>
    </row>
    <row r="49" spans="1:21" ht="24" customHeight="1">
      <c r="B49" s="1" t="s">
        <v>549</v>
      </c>
      <c r="C49" s="95"/>
      <c r="D49" s="95"/>
      <c r="E49" s="1" t="s">
        <v>550</v>
      </c>
      <c r="F49" s="95"/>
      <c r="G49" s="95"/>
      <c r="H49" s="95"/>
      <c r="I49" s="95"/>
      <c r="J49" s="95"/>
      <c r="K49" s="95"/>
      <c r="L49" s="95"/>
      <c r="M49" s="228">
        <v>13568</v>
      </c>
      <c r="N49" s="228">
        <v>5638</v>
      </c>
      <c r="O49" s="165">
        <v>10000</v>
      </c>
      <c r="P49" s="165">
        <v>0</v>
      </c>
      <c r="Q49" s="228">
        <v>5000</v>
      </c>
      <c r="R49" s="228">
        <v>5000</v>
      </c>
      <c r="S49" s="228">
        <v>5000</v>
      </c>
      <c r="T49" s="228">
        <v>5000</v>
      </c>
      <c r="U49" s="228">
        <v>5000</v>
      </c>
    </row>
    <row r="50" spans="1:21" ht="24" customHeight="1">
      <c r="B50" s="1" t="s">
        <v>60</v>
      </c>
      <c r="C50" s="89"/>
      <c r="D50" s="89"/>
      <c r="E50" s="1" t="s">
        <v>206</v>
      </c>
      <c r="F50" s="89"/>
      <c r="G50" s="89"/>
      <c r="H50" s="89"/>
      <c r="I50" s="89"/>
      <c r="J50" s="89"/>
      <c r="K50" s="89"/>
      <c r="L50" s="89"/>
      <c r="M50" s="228">
        <v>10112</v>
      </c>
      <c r="N50" s="228">
        <v>9824</v>
      </c>
      <c r="O50" s="165">
        <v>15000</v>
      </c>
      <c r="P50" s="165">
        <v>1056</v>
      </c>
      <c r="Q50" s="228">
        <v>10000</v>
      </c>
      <c r="R50" s="228">
        <v>10000</v>
      </c>
      <c r="S50" s="228">
        <v>10000</v>
      </c>
      <c r="T50" s="228">
        <v>10000</v>
      </c>
      <c r="U50" s="228">
        <v>10000</v>
      </c>
    </row>
    <row r="51" spans="1:21" ht="24" customHeight="1">
      <c r="B51" s="1" t="s">
        <v>196</v>
      </c>
      <c r="C51" s="89"/>
      <c r="D51" s="89"/>
      <c r="E51" s="1" t="s">
        <v>197</v>
      </c>
      <c r="F51" s="89"/>
      <c r="G51" s="89"/>
      <c r="H51" s="89"/>
      <c r="I51" s="89"/>
      <c r="J51" s="89"/>
      <c r="K51" s="89"/>
      <c r="L51" s="89"/>
      <c r="M51" s="228">
        <v>11647</v>
      </c>
      <c r="N51" s="228">
        <v>0</v>
      </c>
      <c r="O51" s="165">
        <v>0</v>
      </c>
      <c r="P51" s="165">
        <v>0</v>
      </c>
      <c r="Q51" s="228">
        <v>0</v>
      </c>
      <c r="R51" s="228">
        <v>0</v>
      </c>
      <c r="S51" s="228">
        <v>0</v>
      </c>
      <c r="T51" s="228">
        <v>0</v>
      </c>
      <c r="U51" s="228">
        <v>0</v>
      </c>
    </row>
    <row r="52" spans="1:21" ht="24" customHeight="1">
      <c r="B52" s="1" t="s">
        <v>59</v>
      </c>
      <c r="C52" s="95"/>
      <c r="D52" s="95"/>
      <c r="E52" s="1" t="s">
        <v>61</v>
      </c>
      <c r="F52" s="95"/>
      <c r="G52" s="95"/>
      <c r="H52" s="95"/>
      <c r="I52" s="95"/>
      <c r="J52" s="95"/>
      <c r="K52" s="95"/>
      <c r="L52" s="95"/>
      <c r="M52" s="228">
        <v>41596</v>
      </c>
      <c r="N52" s="228">
        <v>40576</v>
      </c>
      <c r="O52" s="165">
        <v>12000</v>
      </c>
      <c r="P52" s="165">
        <v>26000</v>
      </c>
      <c r="Q52" s="228">
        <v>15000</v>
      </c>
      <c r="R52" s="228">
        <v>15000</v>
      </c>
      <c r="S52" s="228">
        <v>15000</v>
      </c>
      <c r="T52" s="228">
        <v>15000</v>
      </c>
      <c r="U52" s="228">
        <v>15000</v>
      </c>
    </row>
    <row r="53" spans="1:21" ht="24" customHeight="1">
      <c r="B53" s="1" t="s">
        <v>207</v>
      </c>
      <c r="C53" s="97"/>
      <c r="D53" s="97"/>
      <c r="E53" s="95" t="s">
        <v>208</v>
      </c>
      <c r="F53" s="97"/>
      <c r="G53" s="97"/>
      <c r="H53" s="97"/>
      <c r="I53" s="97"/>
      <c r="J53" s="97"/>
      <c r="K53" s="97"/>
      <c r="L53" s="97"/>
      <c r="M53" s="228">
        <v>6370</v>
      </c>
      <c r="N53" s="228">
        <v>4000</v>
      </c>
      <c r="O53" s="165">
        <v>7000</v>
      </c>
      <c r="P53" s="165">
        <v>7000</v>
      </c>
      <c r="Q53" s="223">
        <v>7000</v>
      </c>
      <c r="R53" s="223">
        <v>7000</v>
      </c>
      <c r="S53" s="223">
        <v>7000</v>
      </c>
      <c r="T53" s="223">
        <v>7000</v>
      </c>
      <c r="U53" s="223">
        <v>7000</v>
      </c>
    </row>
    <row r="54" spans="1:21" ht="24" customHeight="1">
      <c r="B54" s="1" t="s">
        <v>62</v>
      </c>
      <c r="C54" s="89"/>
      <c r="D54" s="89"/>
      <c r="E54" s="1" t="s">
        <v>7</v>
      </c>
      <c r="F54" s="89"/>
      <c r="G54" s="89"/>
      <c r="H54" s="89"/>
      <c r="I54" s="89"/>
      <c r="J54" s="89"/>
      <c r="K54" s="89"/>
      <c r="L54" s="89"/>
      <c r="M54" s="261">
        <v>18525</v>
      </c>
      <c r="N54" s="261">
        <v>46612</v>
      </c>
      <c r="O54" s="167">
        <v>88000</v>
      </c>
      <c r="P54" s="167">
        <v>88000</v>
      </c>
      <c r="Q54" s="261">
        <v>55000</v>
      </c>
      <c r="R54" s="261">
        <v>5000</v>
      </c>
      <c r="S54" s="261">
        <v>5000</v>
      </c>
      <c r="T54" s="261">
        <v>5000</v>
      </c>
      <c r="U54" s="261">
        <v>5000</v>
      </c>
    </row>
    <row r="55" spans="1:21" ht="24" customHeight="1">
      <c r="B55" s="402"/>
      <c r="C55" s="689" t="s">
        <v>920</v>
      </c>
      <c r="D55" s="689"/>
      <c r="E55" s="689"/>
      <c r="F55" s="689"/>
      <c r="G55" s="689"/>
      <c r="H55" s="689"/>
      <c r="I55" s="689"/>
      <c r="J55" s="689"/>
      <c r="K55" s="689"/>
      <c r="L55" s="689"/>
      <c r="M55" s="406">
        <f t="shared" ref="M55:U55" si="0">SUM(M9:M54)</f>
        <v>16605707</v>
      </c>
      <c r="N55" s="406">
        <f t="shared" si="0"/>
        <v>19560741</v>
      </c>
      <c r="O55" s="407">
        <f t="shared" si="0"/>
        <v>18065270</v>
      </c>
      <c r="P55" s="407">
        <f t="shared" si="0"/>
        <v>22212918</v>
      </c>
      <c r="Q55" s="406">
        <f t="shared" si="0"/>
        <v>22339736</v>
      </c>
      <c r="R55" s="406">
        <f t="shared" si="0"/>
        <v>21314220</v>
      </c>
      <c r="S55" s="406">
        <f t="shared" si="0"/>
        <v>21810141</v>
      </c>
      <c r="T55" s="406">
        <f t="shared" si="0"/>
        <v>22372473</v>
      </c>
      <c r="U55" s="406">
        <f t="shared" si="0"/>
        <v>22966639</v>
      </c>
    </row>
    <row r="56" spans="1:21" ht="6.9" customHeight="1">
      <c r="B56" s="402"/>
      <c r="C56" s="401"/>
      <c r="D56" s="401"/>
      <c r="E56" s="402"/>
      <c r="F56" s="401"/>
      <c r="G56" s="401"/>
      <c r="H56" s="401"/>
      <c r="I56" s="401"/>
      <c r="J56" s="401"/>
      <c r="K56" s="401"/>
      <c r="L56" s="401"/>
      <c r="M56" s="221"/>
      <c r="N56" s="240"/>
      <c r="O56" s="164"/>
      <c r="P56" s="164"/>
      <c r="Q56" s="240"/>
      <c r="R56" s="240"/>
      <c r="S56" s="240"/>
      <c r="T56" s="240"/>
      <c r="U56" s="240"/>
    </row>
    <row r="57" spans="1:21" ht="24" customHeight="1">
      <c r="B57" s="1" t="s">
        <v>795</v>
      </c>
      <c r="C57" s="89"/>
      <c r="D57" s="89"/>
      <c r="E57" s="95" t="s">
        <v>886</v>
      </c>
      <c r="F57" s="89"/>
      <c r="G57" s="89"/>
      <c r="H57" s="89"/>
      <c r="I57" s="89"/>
      <c r="J57" s="89"/>
      <c r="K57" s="89"/>
      <c r="L57" s="89"/>
      <c r="M57" s="261">
        <v>32092</v>
      </c>
      <c r="N57" s="261">
        <v>132689</v>
      </c>
      <c r="O57" s="167">
        <v>35000</v>
      </c>
      <c r="P57" s="167">
        <f t="shared" ref="P57:U57" si="1">P478</f>
        <v>25000</v>
      </c>
      <c r="Q57" s="261">
        <f t="shared" si="1"/>
        <v>0</v>
      </c>
      <c r="R57" s="261">
        <f t="shared" si="1"/>
        <v>0</v>
      </c>
      <c r="S57" s="261">
        <f t="shared" si="1"/>
        <v>0</v>
      </c>
      <c r="T57" s="261">
        <f t="shared" si="1"/>
        <v>0</v>
      </c>
      <c r="U57" s="261">
        <f t="shared" si="1"/>
        <v>0</v>
      </c>
    </row>
    <row r="58" spans="1:21" ht="6.9" customHeight="1">
      <c r="B58" s="89"/>
      <c r="C58" s="89"/>
      <c r="D58" s="89"/>
      <c r="E58" s="97"/>
      <c r="F58" s="97"/>
      <c r="G58" s="97"/>
      <c r="H58" s="97"/>
      <c r="I58" s="97"/>
      <c r="J58" s="97"/>
      <c r="K58" s="97"/>
      <c r="L58" s="97"/>
      <c r="M58" s="226"/>
      <c r="N58" s="226"/>
      <c r="O58" s="168"/>
      <c r="P58" s="168"/>
      <c r="Q58" s="219"/>
      <c r="R58" s="219"/>
      <c r="S58" s="219"/>
      <c r="T58" s="219"/>
      <c r="U58" s="219"/>
    </row>
    <row r="59" spans="1:21" s="89" customFormat="1" ht="24" customHeight="1">
      <c r="A59" s="576"/>
      <c r="B59" s="161"/>
      <c r="C59" s="689" t="s">
        <v>592</v>
      </c>
      <c r="D59" s="689"/>
      <c r="E59" s="689"/>
      <c r="F59" s="689"/>
      <c r="G59" s="689"/>
      <c r="H59" s="689"/>
      <c r="I59" s="689"/>
      <c r="J59" s="689"/>
      <c r="K59" s="689"/>
      <c r="L59" s="689"/>
      <c r="M59" s="408">
        <f>M57</f>
        <v>32092</v>
      </c>
      <c r="N59" s="408">
        <f t="shared" ref="N59:U59" si="2">N57</f>
        <v>132689</v>
      </c>
      <c r="O59" s="409">
        <f t="shared" si="2"/>
        <v>35000</v>
      </c>
      <c r="P59" s="409">
        <f t="shared" si="2"/>
        <v>25000</v>
      </c>
      <c r="Q59" s="408">
        <f t="shared" si="2"/>
        <v>0</v>
      </c>
      <c r="R59" s="408">
        <f t="shared" si="2"/>
        <v>0</v>
      </c>
      <c r="S59" s="408">
        <f t="shared" si="2"/>
        <v>0</v>
      </c>
      <c r="T59" s="408">
        <f t="shared" si="2"/>
        <v>0</v>
      </c>
      <c r="U59" s="408">
        <f t="shared" si="2"/>
        <v>0</v>
      </c>
    </row>
    <row r="60" spans="1:21" s="401" customFormat="1" ht="15" customHeight="1">
      <c r="A60" s="576"/>
      <c r="B60" s="161"/>
      <c r="L60" s="98"/>
      <c r="M60" s="227"/>
      <c r="N60" s="227"/>
      <c r="O60" s="169"/>
      <c r="P60" s="169"/>
      <c r="Q60" s="227"/>
      <c r="R60" s="227"/>
      <c r="S60" s="227"/>
      <c r="T60" s="227"/>
      <c r="U60" s="227"/>
    </row>
    <row r="61" spans="1:21" s="401" customFormat="1" ht="24" customHeight="1">
      <c r="A61" s="576"/>
      <c r="B61" s="161"/>
      <c r="C61" s="689" t="s">
        <v>1198</v>
      </c>
      <c r="D61" s="689"/>
      <c r="E61" s="689"/>
      <c r="F61" s="689"/>
      <c r="G61" s="689"/>
      <c r="H61" s="689"/>
      <c r="I61" s="689"/>
      <c r="J61" s="689"/>
      <c r="K61" s="689"/>
      <c r="L61" s="689"/>
      <c r="M61" s="408">
        <f t="shared" ref="M61:U61" si="3">M55+M59</f>
        <v>16637799</v>
      </c>
      <c r="N61" s="408">
        <f t="shared" si="3"/>
        <v>19693430</v>
      </c>
      <c r="O61" s="409">
        <f t="shared" si="3"/>
        <v>18100270</v>
      </c>
      <c r="P61" s="409">
        <f t="shared" si="3"/>
        <v>22237918</v>
      </c>
      <c r="Q61" s="408">
        <f t="shared" si="3"/>
        <v>22339736</v>
      </c>
      <c r="R61" s="408">
        <f t="shared" si="3"/>
        <v>21314220</v>
      </c>
      <c r="S61" s="408">
        <f t="shared" si="3"/>
        <v>21810141</v>
      </c>
      <c r="T61" s="408">
        <f t="shared" si="3"/>
        <v>22372473</v>
      </c>
      <c r="U61" s="408">
        <f t="shared" si="3"/>
        <v>22966639</v>
      </c>
    </row>
    <row r="62" spans="1:21" ht="15" customHeight="1">
      <c r="B62" s="303"/>
      <c r="C62" s="303"/>
      <c r="D62" s="303"/>
      <c r="E62" s="303"/>
      <c r="F62" s="303"/>
      <c r="G62" s="303"/>
      <c r="H62" s="303"/>
      <c r="I62" s="303"/>
      <c r="J62" s="303"/>
      <c r="K62" s="303"/>
      <c r="L62" s="303"/>
      <c r="M62" s="226"/>
      <c r="N62" s="226"/>
      <c r="O62" s="168"/>
      <c r="P62" s="168"/>
      <c r="Q62" s="219"/>
      <c r="R62" s="219"/>
      <c r="S62" s="219"/>
      <c r="T62" s="219"/>
      <c r="U62" s="219"/>
    </row>
    <row r="63" spans="1:21" ht="24" customHeight="1">
      <c r="B63" s="98" t="s">
        <v>431</v>
      </c>
      <c r="C63" s="89"/>
      <c r="D63" s="89"/>
      <c r="E63" s="89"/>
      <c r="F63" s="89"/>
      <c r="G63" s="89"/>
      <c r="H63" s="89"/>
      <c r="I63" s="89"/>
      <c r="J63" s="89"/>
      <c r="K63" s="89"/>
      <c r="L63" s="89"/>
      <c r="M63" s="226"/>
      <c r="N63" s="226"/>
      <c r="O63" s="168"/>
      <c r="P63" s="168"/>
      <c r="Q63" s="219"/>
      <c r="R63" s="219"/>
      <c r="S63" s="219"/>
      <c r="T63" s="219"/>
      <c r="U63" s="219"/>
    </row>
    <row r="64" spans="1:21" ht="24" customHeight="1">
      <c r="B64" s="1" t="s">
        <v>65</v>
      </c>
      <c r="C64" s="89"/>
      <c r="D64" s="89"/>
      <c r="E64" s="1" t="s">
        <v>70</v>
      </c>
      <c r="F64" s="89"/>
      <c r="G64" s="89"/>
      <c r="H64" s="89"/>
      <c r="I64" s="89"/>
      <c r="J64" s="89"/>
      <c r="K64" s="89"/>
      <c r="L64" s="89"/>
      <c r="M64" s="404">
        <v>9673</v>
      </c>
      <c r="N64" s="404">
        <v>9935</v>
      </c>
      <c r="O64" s="405">
        <v>10000</v>
      </c>
      <c r="P64" s="405">
        <v>9800</v>
      </c>
      <c r="Q64" s="404">
        <v>10000</v>
      </c>
      <c r="R64" s="404">
        <v>18000</v>
      </c>
      <c r="S64" s="404">
        <v>18288</v>
      </c>
      <c r="T64" s="404">
        <v>18582</v>
      </c>
      <c r="U64" s="404">
        <v>18881</v>
      </c>
    </row>
    <row r="65" spans="2:21" ht="24" customHeight="1">
      <c r="B65" s="1" t="s">
        <v>64</v>
      </c>
      <c r="C65" s="89"/>
      <c r="D65" s="89"/>
      <c r="E65" s="1" t="s">
        <v>69</v>
      </c>
      <c r="F65" s="89"/>
      <c r="G65" s="89"/>
      <c r="H65" s="89"/>
      <c r="I65" s="89"/>
      <c r="J65" s="89"/>
      <c r="K65" s="89"/>
      <c r="L65" s="89"/>
      <c r="M65" s="228">
        <v>965</v>
      </c>
      <c r="N65" s="228">
        <v>1000</v>
      </c>
      <c r="O65" s="165">
        <v>1000</v>
      </c>
      <c r="P65" s="165">
        <v>1000</v>
      </c>
      <c r="Q65" s="228">
        <v>1000</v>
      </c>
      <c r="R65" s="228">
        <v>1000</v>
      </c>
      <c r="S65" s="228">
        <v>1000</v>
      </c>
      <c r="T65" s="228">
        <v>1000</v>
      </c>
      <c r="U65" s="228">
        <v>1000</v>
      </c>
    </row>
    <row r="66" spans="2:21" ht="24" customHeight="1">
      <c r="B66" s="1" t="s">
        <v>63</v>
      </c>
      <c r="C66" s="89"/>
      <c r="D66" s="89"/>
      <c r="E66" s="1" t="s">
        <v>68</v>
      </c>
      <c r="F66" s="89"/>
      <c r="G66" s="89"/>
      <c r="H66" s="89"/>
      <c r="I66" s="89"/>
      <c r="J66" s="89"/>
      <c r="K66" s="89"/>
      <c r="L66" s="89"/>
      <c r="M66" s="228">
        <v>46454</v>
      </c>
      <c r="N66" s="228">
        <v>47680</v>
      </c>
      <c r="O66" s="165">
        <v>48000</v>
      </c>
      <c r="P66" s="165">
        <v>48000</v>
      </c>
      <c r="Q66" s="228">
        <v>48000</v>
      </c>
      <c r="R66" s="228">
        <v>72800</v>
      </c>
      <c r="S66" s="228">
        <v>73680</v>
      </c>
      <c r="T66" s="228">
        <v>74578</v>
      </c>
      <c r="U66" s="228">
        <v>75493</v>
      </c>
    </row>
    <row r="67" spans="2:21" ht="24" customHeight="1">
      <c r="B67" s="1" t="s">
        <v>841</v>
      </c>
      <c r="C67" s="89"/>
      <c r="D67" s="89"/>
      <c r="E67" s="1" t="s">
        <v>67</v>
      </c>
      <c r="F67" s="89"/>
      <c r="G67" s="89"/>
      <c r="H67" s="89"/>
      <c r="I67" s="89"/>
      <c r="J67" s="89"/>
      <c r="K67" s="89"/>
      <c r="L67" s="89"/>
      <c r="M67" s="228">
        <v>524193</v>
      </c>
      <c r="N67" s="228">
        <v>538841</v>
      </c>
      <c r="O67" s="165">
        <v>567473</v>
      </c>
      <c r="P67" s="165">
        <v>470000</v>
      </c>
      <c r="Q67" s="228">
        <v>474258</v>
      </c>
      <c r="R67" s="228">
        <v>488486</v>
      </c>
      <c r="S67" s="228">
        <v>503141</v>
      </c>
      <c r="T67" s="228">
        <v>518235</v>
      </c>
      <c r="U67" s="228">
        <v>533782</v>
      </c>
    </row>
    <row r="68" spans="2:21" ht="24" customHeight="1">
      <c r="B68" s="1" t="s">
        <v>72</v>
      </c>
      <c r="C68" s="89"/>
      <c r="D68" s="89"/>
      <c r="E68" s="1" t="s">
        <v>8</v>
      </c>
      <c r="F68" s="89"/>
      <c r="G68" s="89"/>
      <c r="H68" s="89"/>
      <c r="I68" s="89"/>
      <c r="J68" s="89"/>
      <c r="K68" s="89"/>
      <c r="L68" s="89"/>
      <c r="M68" s="228">
        <v>51596</v>
      </c>
      <c r="N68" s="228">
        <v>60163</v>
      </c>
      <c r="O68" s="165">
        <v>59061</v>
      </c>
      <c r="P68" s="165">
        <v>48000</v>
      </c>
      <c r="Q68" s="228">
        <v>42749</v>
      </c>
      <c r="R68" s="240">
        <v>45234</v>
      </c>
      <c r="S68" s="240">
        <v>48000</v>
      </c>
      <c r="T68" s="240">
        <v>50891</v>
      </c>
      <c r="U68" s="240">
        <v>54019</v>
      </c>
    </row>
    <row r="69" spans="2:21" ht="24" customHeight="1">
      <c r="B69" s="1" t="s">
        <v>71</v>
      </c>
      <c r="C69" s="89"/>
      <c r="D69" s="89"/>
      <c r="E69" s="1" t="s">
        <v>9</v>
      </c>
      <c r="F69" s="89"/>
      <c r="G69" s="89"/>
      <c r="H69" s="89"/>
      <c r="I69" s="89"/>
      <c r="J69" s="89"/>
      <c r="K69" s="89"/>
      <c r="L69" s="89"/>
      <c r="M69" s="228">
        <v>40408</v>
      </c>
      <c r="N69" s="228">
        <v>42064</v>
      </c>
      <c r="O69" s="165">
        <v>44356</v>
      </c>
      <c r="P69" s="165">
        <v>37500</v>
      </c>
      <c r="Q69" s="228">
        <v>37918</v>
      </c>
      <c r="R69" s="228">
        <v>39056</v>
      </c>
      <c r="S69" s="228">
        <v>40228</v>
      </c>
      <c r="T69" s="228">
        <v>41435</v>
      </c>
      <c r="U69" s="228">
        <v>42678</v>
      </c>
    </row>
    <row r="70" spans="2:21" ht="24" customHeight="1">
      <c r="B70" s="1" t="s">
        <v>437</v>
      </c>
      <c r="C70" s="89"/>
      <c r="D70" s="89"/>
      <c r="E70" s="1" t="s">
        <v>13</v>
      </c>
      <c r="F70" s="89"/>
      <c r="G70" s="89"/>
      <c r="H70" s="89"/>
      <c r="I70" s="89"/>
      <c r="J70" s="89"/>
      <c r="K70" s="89"/>
      <c r="L70" s="89"/>
      <c r="M70" s="228">
        <v>101313</v>
      </c>
      <c r="N70" s="228">
        <v>88509</v>
      </c>
      <c r="O70" s="165">
        <v>88445</v>
      </c>
      <c r="P70" s="165">
        <v>60192</v>
      </c>
      <c r="Q70" s="228">
        <v>63330</v>
      </c>
      <c r="R70" s="240">
        <v>68396</v>
      </c>
      <c r="S70" s="240">
        <v>73868</v>
      </c>
      <c r="T70" s="240">
        <v>79777</v>
      </c>
      <c r="U70" s="240">
        <v>86159</v>
      </c>
    </row>
    <row r="71" spans="2:21" ht="24" customHeight="1">
      <c r="B71" s="1" t="s">
        <v>438</v>
      </c>
      <c r="C71" s="89"/>
      <c r="D71" s="89"/>
      <c r="E71" s="1" t="s">
        <v>161</v>
      </c>
      <c r="F71" s="89"/>
      <c r="G71" s="89"/>
      <c r="H71" s="89"/>
      <c r="I71" s="89"/>
      <c r="J71" s="89"/>
      <c r="K71" s="89"/>
      <c r="L71" s="89"/>
      <c r="M71" s="228">
        <v>428</v>
      </c>
      <c r="N71" s="228">
        <v>428</v>
      </c>
      <c r="O71" s="165">
        <v>687</v>
      </c>
      <c r="P71" s="165">
        <v>581</v>
      </c>
      <c r="Q71" s="228">
        <v>572</v>
      </c>
      <c r="R71" s="240">
        <v>578</v>
      </c>
      <c r="S71" s="240">
        <v>584</v>
      </c>
      <c r="T71" s="240">
        <v>590</v>
      </c>
      <c r="U71" s="240">
        <v>596</v>
      </c>
    </row>
    <row r="72" spans="2:21" ht="24" customHeight="1">
      <c r="B72" s="1" t="s">
        <v>439</v>
      </c>
      <c r="C72" s="89"/>
      <c r="D72" s="89"/>
      <c r="E72" s="1" t="s">
        <v>461</v>
      </c>
      <c r="F72" s="89"/>
      <c r="G72" s="89"/>
      <c r="H72" s="89"/>
      <c r="I72" s="89"/>
      <c r="J72" s="89"/>
      <c r="K72" s="89"/>
      <c r="L72" s="89"/>
      <c r="M72" s="228">
        <v>7853</v>
      </c>
      <c r="N72" s="228">
        <v>6943</v>
      </c>
      <c r="O72" s="165">
        <v>7454</v>
      </c>
      <c r="P72" s="165">
        <v>5670</v>
      </c>
      <c r="Q72" s="228">
        <v>6508</v>
      </c>
      <c r="R72" s="240">
        <v>6833</v>
      </c>
      <c r="S72" s="240">
        <v>7175</v>
      </c>
      <c r="T72" s="240">
        <v>7534</v>
      </c>
      <c r="U72" s="240">
        <v>7911</v>
      </c>
    </row>
    <row r="73" spans="2:21" ht="24" customHeight="1">
      <c r="B73" s="1" t="s">
        <v>462</v>
      </c>
      <c r="C73" s="89"/>
      <c r="D73" s="89"/>
      <c r="E73" s="1" t="s">
        <v>463</v>
      </c>
      <c r="F73" s="89"/>
      <c r="G73" s="89"/>
      <c r="H73" s="89"/>
      <c r="I73" s="89"/>
      <c r="J73" s="89"/>
      <c r="K73" s="89"/>
      <c r="L73" s="89"/>
      <c r="M73" s="228">
        <v>1130</v>
      </c>
      <c r="N73" s="228">
        <v>1130</v>
      </c>
      <c r="O73" s="164">
        <v>1130</v>
      </c>
      <c r="P73" s="165">
        <v>910</v>
      </c>
      <c r="Q73" s="240">
        <v>964</v>
      </c>
      <c r="R73" s="240">
        <v>993</v>
      </c>
      <c r="S73" s="240">
        <v>1023</v>
      </c>
      <c r="T73" s="240">
        <v>1054</v>
      </c>
      <c r="U73" s="240">
        <v>1086</v>
      </c>
    </row>
    <row r="74" spans="2:21" ht="24" customHeight="1">
      <c r="B74" s="1" t="s">
        <v>80</v>
      </c>
      <c r="C74" s="89"/>
      <c r="D74" s="89"/>
      <c r="E74" s="1" t="s">
        <v>86</v>
      </c>
      <c r="F74" s="89"/>
      <c r="G74" s="89"/>
      <c r="H74" s="89"/>
      <c r="I74" s="89"/>
      <c r="J74" s="89"/>
      <c r="K74" s="89"/>
      <c r="L74" s="89"/>
      <c r="M74" s="228">
        <v>14113</v>
      </c>
      <c r="N74" s="228">
        <v>2018</v>
      </c>
      <c r="O74" s="165">
        <v>17000</v>
      </c>
      <c r="P74" s="165">
        <v>4000</v>
      </c>
      <c r="Q74" s="228">
        <v>17000</v>
      </c>
      <c r="R74" s="228">
        <v>17000</v>
      </c>
      <c r="S74" s="228">
        <v>17000</v>
      </c>
      <c r="T74" s="228">
        <v>17000</v>
      </c>
      <c r="U74" s="228">
        <v>17000</v>
      </c>
    </row>
    <row r="75" spans="2:21" ht="24" customHeight="1">
      <c r="B75" s="1" t="s">
        <v>79</v>
      </c>
      <c r="C75" s="89"/>
      <c r="D75" s="89"/>
      <c r="E75" s="1" t="s">
        <v>828</v>
      </c>
      <c r="F75" s="89"/>
      <c r="G75" s="89"/>
      <c r="H75" s="89"/>
      <c r="I75" s="89"/>
      <c r="J75" s="89"/>
      <c r="K75" s="89"/>
      <c r="L75" s="89"/>
      <c r="M75" s="228">
        <v>12684</v>
      </c>
      <c r="N75" s="228">
        <v>0</v>
      </c>
      <c r="O75" s="165">
        <v>10000</v>
      </c>
      <c r="P75" s="165">
        <v>4000</v>
      </c>
      <c r="Q75" s="228">
        <v>10000</v>
      </c>
      <c r="R75" s="228">
        <v>10000</v>
      </c>
      <c r="S75" s="228">
        <v>10000</v>
      </c>
      <c r="T75" s="228">
        <v>10000</v>
      </c>
      <c r="U75" s="228">
        <v>10000</v>
      </c>
    </row>
    <row r="76" spans="2:21" ht="24" customHeight="1">
      <c r="B76" s="1" t="s">
        <v>1044</v>
      </c>
      <c r="C76" s="89"/>
      <c r="D76" s="89"/>
      <c r="E76" s="304" t="s">
        <v>1045</v>
      </c>
      <c r="F76" s="161"/>
      <c r="G76" s="161"/>
      <c r="H76" s="161"/>
      <c r="I76" s="161"/>
      <c r="J76" s="161"/>
      <c r="K76" s="161"/>
      <c r="L76" s="161"/>
      <c r="M76" s="228">
        <v>10421</v>
      </c>
      <c r="N76" s="228">
        <v>1543</v>
      </c>
      <c r="O76" s="165">
        <v>3336</v>
      </c>
      <c r="P76" s="165">
        <v>3336</v>
      </c>
      <c r="Q76" s="228">
        <v>6815</v>
      </c>
      <c r="R76" s="228">
        <v>0</v>
      </c>
      <c r="S76" s="228">
        <v>3845</v>
      </c>
      <c r="T76" s="228">
        <v>7446</v>
      </c>
      <c r="U76" s="228">
        <v>0</v>
      </c>
    </row>
    <row r="77" spans="2:21" ht="24" customHeight="1">
      <c r="B77" s="1" t="s">
        <v>78</v>
      </c>
      <c r="C77" s="89"/>
      <c r="D77" s="89"/>
      <c r="E77" s="1" t="s">
        <v>85</v>
      </c>
      <c r="F77" s="89"/>
      <c r="G77" s="89"/>
      <c r="H77" s="89"/>
      <c r="I77" s="89"/>
      <c r="J77" s="89"/>
      <c r="K77" s="89"/>
      <c r="L77" s="89"/>
      <c r="M77" s="228">
        <v>2734</v>
      </c>
      <c r="N77" s="228">
        <v>5793</v>
      </c>
      <c r="O77" s="165">
        <v>5000</v>
      </c>
      <c r="P77" s="165">
        <v>5500</v>
      </c>
      <c r="Q77" s="228">
        <v>5000</v>
      </c>
      <c r="R77" s="228">
        <v>5000</v>
      </c>
      <c r="S77" s="228">
        <v>5000</v>
      </c>
      <c r="T77" s="228">
        <v>5000</v>
      </c>
      <c r="U77" s="228">
        <v>5000</v>
      </c>
    </row>
    <row r="78" spans="2:21" ht="24" customHeight="1">
      <c r="B78" s="1" t="s">
        <v>77</v>
      </c>
      <c r="C78" s="89"/>
      <c r="D78" s="89"/>
      <c r="E78" s="1" t="s">
        <v>829</v>
      </c>
      <c r="F78" s="89"/>
      <c r="G78" s="89"/>
      <c r="H78" s="89"/>
      <c r="I78" s="89"/>
      <c r="J78" s="89"/>
      <c r="K78" s="89"/>
      <c r="L78" s="89"/>
      <c r="M78" s="228">
        <v>3108</v>
      </c>
      <c r="N78" s="228">
        <v>1036</v>
      </c>
      <c r="O78" s="165">
        <v>3250</v>
      </c>
      <c r="P78" s="165">
        <v>2000</v>
      </c>
      <c r="Q78" s="223">
        <v>7000</v>
      </c>
      <c r="R78" s="228">
        <v>7000</v>
      </c>
      <c r="S78" s="228">
        <v>7000</v>
      </c>
      <c r="T78" s="228">
        <v>7000</v>
      </c>
      <c r="U78" s="228">
        <v>7000</v>
      </c>
    </row>
    <row r="79" spans="2:21" ht="24" customHeight="1">
      <c r="B79" s="1" t="s">
        <v>76</v>
      </c>
      <c r="C79" s="89"/>
      <c r="D79" s="89"/>
      <c r="E79" s="1" t="s">
        <v>209</v>
      </c>
      <c r="F79" s="89"/>
      <c r="G79" s="89"/>
      <c r="H79" s="89"/>
      <c r="I79" s="89"/>
      <c r="J79" s="89"/>
      <c r="K79" s="89"/>
      <c r="L79" s="89"/>
      <c r="M79" s="228">
        <v>20995</v>
      </c>
      <c r="N79" s="228">
        <v>26499</v>
      </c>
      <c r="O79" s="165">
        <v>22300</v>
      </c>
      <c r="P79" s="165">
        <v>30461</v>
      </c>
      <c r="Q79" s="228">
        <v>35000</v>
      </c>
      <c r="R79" s="228">
        <v>35000</v>
      </c>
      <c r="S79" s="228">
        <v>35000</v>
      </c>
      <c r="T79" s="228">
        <v>35000</v>
      </c>
      <c r="U79" s="228">
        <v>35000</v>
      </c>
    </row>
    <row r="80" spans="2:21" ht="24" customHeight="1">
      <c r="B80" s="1" t="s">
        <v>551</v>
      </c>
      <c r="C80" s="89"/>
      <c r="D80" s="89"/>
      <c r="E80" s="1" t="s">
        <v>49</v>
      </c>
      <c r="F80" s="89"/>
      <c r="G80" s="89"/>
      <c r="H80" s="89"/>
      <c r="I80" s="89"/>
      <c r="J80" s="89"/>
      <c r="K80" s="89"/>
      <c r="L80" s="89"/>
      <c r="M80" s="228">
        <v>53</v>
      </c>
      <c r="N80" s="228">
        <v>67</v>
      </c>
      <c r="O80" s="165">
        <v>500</v>
      </c>
      <c r="P80" s="165">
        <v>250</v>
      </c>
      <c r="Q80" s="223">
        <v>500</v>
      </c>
      <c r="R80" s="223">
        <v>500</v>
      </c>
      <c r="S80" s="223">
        <v>500</v>
      </c>
      <c r="T80" s="223">
        <v>500</v>
      </c>
      <c r="U80" s="223">
        <v>500</v>
      </c>
    </row>
    <row r="81" spans="1:21" ht="24" customHeight="1">
      <c r="B81" s="1" t="s">
        <v>182</v>
      </c>
      <c r="C81" s="89"/>
      <c r="D81" s="89"/>
      <c r="E81" s="1" t="s">
        <v>83</v>
      </c>
      <c r="F81" s="89"/>
      <c r="G81" s="89"/>
      <c r="H81" s="89"/>
      <c r="I81" s="89"/>
      <c r="J81" s="89"/>
      <c r="K81" s="89"/>
      <c r="L81" s="89"/>
      <c r="M81" s="228">
        <v>2023</v>
      </c>
      <c r="N81" s="228">
        <v>7493</v>
      </c>
      <c r="O81" s="165">
        <v>10000</v>
      </c>
      <c r="P81" s="165">
        <v>6000</v>
      </c>
      <c r="Q81" s="228">
        <v>10000</v>
      </c>
      <c r="R81" s="228">
        <v>10000</v>
      </c>
      <c r="S81" s="228">
        <v>10000</v>
      </c>
      <c r="T81" s="228">
        <v>10000</v>
      </c>
      <c r="U81" s="228">
        <v>10000</v>
      </c>
    </row>
    <row r="82" spans="1:21" ht="24" customHeight="1">
      <c r="B82" s="1" t="s">
        <v>75</v>
      </c>
      <c r="C82" s="89"/>
      <c r="D82" s="89"/>
      <c r="E82" s="1" t="s">
        <v>84</v>
      </c>
      <c r="F82" s="89"/>
      <c r="G82" s="89"/>
      <c r="H82" s="89"/>
      <c r="I82" s="89"/>
      <c r="J82" s="89"/>
      <c r="K82" s="89"/>
      <c r="L82" s="89"/>
      <c r="M82" s="228">
        <v>2054</v>
      </c>
      <c r="N82" s="228">
        <v>440</v>
      </c>
      <c r="O82" s="165">
        <v>3000</v>
      </c>
      <c r="P82" s="165">
        <v>1000</v>
      </c>
      <c r="Q82" s="223">
        <v>2500</v>
      </c>
      <c r="R82" s="223">
        <v>2500</v>
      </c>
      <c r="S82" s="223">
        <v>2500</v>
      </c>
      <c r="T82" s="223">
        <v>2500</v>
      </c>
      <c r="U82" s="223">
        <v>2500</v>
      </c>
    </row>
    <row r="83" spans="1:21" ht="24" customHeight="1">
      <c r="B83" s="1" t="s">
        <v>757</v>
      </c>
      <c r="C83" s="95"/>
      <c r="D83" s="95"/>
      <c r="E83" s="1" t="s">
        <v>830</v>
      </c>
      <c r="F83" s="95"/>
      <c r="G83" s="95"/>
      <c r="H83" s="95"/>
      <c r="I83" s="95"/>
      <c r="J83" s="95"/>
      <c r="K83" s="95"/>
      <c r="L83" s="95"/>
      <c r="M83" s="240">
        <v>22254</v>
      </c>
      <c r="N83" s="240">
        <v>22406</v>
      </c>
      <c r="O83" s="164">
        <v>22000</v>
      </c>
      <c r="P83" s="164">
        <v>22000</v>
      </c>
      <c r="Q83" s="208">
        <v>22000</v>
      </c>
      <c r="R83" s="208">
        <v>22000</v>
      </c>
      <c r="S83" s="208">
        <v>22000</v>
      </c>
      <c r="T83" s="208">
        <v>22000</v>
      </c>
      <c r="U83" s="208">
        <v>22000</v>
      </c>
    </row>
    <row r="84" spans="1:21" ht="24" customHeight="1">
      <c r="B84" s="1" t="s">
        <v>74</v>
      </c>
      <c r="C84" s="89"/>
      <c r="D84" s="89"/>
      <c r="E84" s="304" t="s">
        <v>10</v>
      </c>
      <c r="F84" s="89"/>
      <c r="G84" s="89"/>
      <c r="H84" s="89"/>
      <c r="I84" s="89"/>
      <c r="J84" s="89"/>
      <c r="K84" s="89"/>
      <c r="L84" s="89"/>
      <c r="M84" s="228">
        <v>5576</v>
      </c>
      <c r="N84" s="228">
        <v>10777</v>
      </c>
      <c r="O84" s="165">
        <v>12000</v>
      </c>
      <c r="P84" s="165">
        <v>12000</v>
      </c>
      <c r="Q84" s="223">
        <v>12000</v>
      </c>
      <c r="R84" s="223">
        <v>12000</v>
      </c>
      <c r="S84" s="223">
        <v>12000</v>
      </c>
      <c r="T84" s="223">
        <v>12000</v>
      </c>
      <c r="U84" s="223">
        <v>12000</v>
      </c>
    </row>
    <row r="85" spans="1:21" ht="24" customHeight="1">
      <c r="B85" s="1" t="s">
        <v>73</v>
      </c>
      <c r="C85" s="89"/>
      <c r="D85" s="89"/>
      <c r="E85" s="1" t="s">
        <v>17</v>
      </c>
      <c r="F85" s="89"/>
      <c r="G85" s="89"/>
      <c r="H85" s="89"/>
      <c r="I85" s="89"/>
      <c r="J85" s="89"/>
      <c r="K85" s="89"/>
      <c r="L85" s="89"/>
      <c r="M85" s="228">
        <v>28357</v>
      </c>
      <c r="N85" s="228">
        <v>64458</v>
      </c>
      <c r="O85" s="165">
        <v>33708</v>
      </c>
      <c r="P85" s="165">
        <v>33708</v>
      </c>
      <c r="Q85" s="223">
        <v>35730</v>
      </c>
      <c r="R85" s="223">
        <v>37874</v>
      </c>
      <c r="S85" s="223">
        <v>40146</v>
      </c>
      <c r="T85" s="223">
        <v>42555</v>
      </c>
      <c r="U85" s="223">
        <v>45108</v>
      </c>
    </row>
    <row r="86" spans="1:21" ht="24" customHeight="1">
      <c r="B86" s="1" t="s">
        <v>513</v>
      </c>
      <c r="C86" s="89"/>
      <c r="D86" s="89"/>
      <c r="E86" s="304" t="s">
        <v>81</v>
      </c>
      <c r="F86" s="89"/>
      <c r="G86" s="89"/>
      <c r="H86" s="89"/>
      <c r="I86" s="89"/>
      <c r="J86" s="89"/>
      <c r="K86" s="89"/>
      <c r="L86" s="89"/>
      <c r="M86" s="228">
        <v>2597</v>
      </c>
      <c r="N86" s="228">
        <v>2709</v>
      </c>
      <c r="O86" s="165">
        <v>3000</v>
      </c>
      <c r="P86" s="165">
        <v>2792</v>
      </c>
      <c r="Q86" s="223">
        <v>7500</v>
      </c>
      <c r="R86" s="223">
        <v>7500</v>
      </c>
      <c r="S86" s="223">
        <v>7500</v>
      </c>
      <c r="T86" s="223">
        <v>7500</v>
      </c>
      <c r="U86" s="223">
        <v>7500</v>
      </c>
    </row>
    <row r="87" spans="1:21" ht="24" customHeight="1">
      <c r="B87" s="1" t="s">
        <v>183</v>
      </c>
      <c r="C87" s="89"/>
      <c r="D87" s="89"/>
      <c r="E87" s="304" t="s">
        <v>82</v>
      </c>
      <c r="F87" s="89"/>
      <c r="G87" s="89"/>
      <c r="H87" s="89"/>
      <c r="I87" s="89"/>
      <c r="J87" s="89"/>
      <c r="K87" s="89"/>
      <c r="L87" s="89"/>
      <c r="M87" s="228">
        <v>11607</v>
      </c>
      <c r="N87" s="228">
        <v>13089</v>
      </c>
      <c r="O87" s="165">
        <v>13743</v>
      </c>
      <c r="P87" s="165">
        <v>13011</v>
      </c>
      <c r="Q87" s="228">
        <v>26022</v>
      </c>
      <c r="R87" s="228">
        <v>26803</v>
      </c>
      <c r="S87" s="228">
        <v>27607</v>
      </c>
      <c r="T87" s="228">
        <v>28435</v>
      </c>
      <c r="U87" s="228">
        <v>29288</v>
      </c>
    </row>
    <row r="88" spans="1:21" ht="24" customHeight="1">
      <c r="B88" s="1" t="s">
        <v>88</v>
      </c>
      <c r="C88" s="89"/>
      <c r="D88" s="89"/>
      <c r="E88" s="1" t="s">
        <v>11</v>
      </c>
      <c r="F88" s="89"/>
      <c r="G88" s="89"/>
      <c r="H88" s="89"/>
      <c r="I88" s="89"/>
      <c r="J88" s="89"/>
      <c r="K88" s="89"/>
      <c r="L88" s="89"/>
      <c r="M88" s="385">
        <v>8727</v>
      </c>
      <c r="N88" s="385">
        <v>11598</v>
      </c>
      <c r="O88" s="170">
        <v>10000</v>
      </c>
      <c r="P88" s="170">
        <v>10000</v>
      </c>
      <c r="Q88" s="230">
        <v>10000</v>
      </c>
      <c r="R88" s="230">
        <v>10000</v>
      </c>
      <c r="S88" s="230">
        <v>10000</v>
      </c>
      <c r="T88" s="230">
        <v>10000</v>
      </c>
      <c r="U88" s="230">
        <v>10000</v>
      </c>
    </row>
    <row r="89" spans="1:21" s="89" customFormat="1" ht="24" customHeight="1">
      <c r="A89" s="576"/>
      <c r="B89" s="1"/>
      <c r="C89" s="689" t="s">
        <v>1199</v>
      </c>
      <c r="D89" s="689"/>
      <c r="E89" s="689"/>
      <c r="F89" s="689"/>
      <c r="G89" s="689"/>
      <c r="H89" s="689"/>
      <c r="I89" s="689"/>
      <c r="J89" s="689"/>
      <c r="K89" s="689"/>
      <c r="L89" s="689"/>
      <c r="M89" s="410">
        <f t="shared" ref="M89:U89" si="4">SUM(M64:M88)</f>
        <v>931316</v>
      </c>
      <c r="N89" s="410">
        <f t="shared" si="4"/>
        <v>966619</v>
      </c>
      <c r="O89" s="407">
        <f t="shared" si="4"/>
        <v>996443</v>
      </c>
      <c r="P89" s="597">
        <f t="shared" si="4"/>
        <v>831711</v>
      </c>
      <c r="Q89" s="410">
        <f t="shared" si="4"/>
        <v>892366</v>
      </c>
      <c r="R89" s="410">
        <f t="shared" si="4"/>
        <v>944553</v>
      </c>
      <c r="S89" s="410">
        <f t="shared" si="4"/>
        <v>977085</v>
      </c>
      <c r="T89" s="410">
        <f t="shared" si="4"/>
        <v>1010612</v>
      </c>
      <c r="U89" s="410">
        <f t="shared" si="4"/>
        <v>1034501</v>
      </c>
    </row>
    <row r="90" spans="1:21" ht="15" customHeight="1">
      <c r="B90" s="1"/>
      <c r="C90" s="89"/>
      <c r="D90" s="89"/>
      <c r="E90" s="1"/>
      <c r="F90" s="89"/>
      <c r="G90" s="89"/>
      <c r="H90" s="89"/>
      <c r="I90" s="89"/>
      <c r="J90" s="89"/>
      <c r="K90" s="89"/>
      <c r="L90" s="89"/>
      <c r="M90" s="222"/>
      <c r="N90" s="222"/>
      <c r="O90" s="165"/>
      <c r="P90" s="165"/>
      <c r="Q90" s="223"/>
      <c r="R90" s="223"/>
      <c r="S90" s="223"/>
      <c r="T90" s="223"/>
      <c r="U90" s="223"/>
    </row>
    <row r="91" spans="1:21" ht="24" customHeight="1">
      <c r="B91" s="98" t="s">
        <v>422</v>
      </c>
      <c r="C91" s="89"/>
      <c r="D91" s="89"/>
      <c r="E91" s="89"/>
      <c r="F91" s="89"/>
      <c r="G91" s="89"/>
      <c r="H91" s="89"/>
      <c r="I91" s="89"/>
      <c r="J91" s="89"/>
      <c r="K91" s="89"/>
      <c r="L91" s="89"/>
      <c r="M91" s="226"/>
      <c r="N91" s="226"/>
      <c r="O91" s="168"/>
      <c r="P91" s="168"/>
      <c r="Q91" s="267"/>
      <c r="R91" s="219"/>
      <c r="S91" s="219"/>
      <c r="T91" s="219"/>
      <c r="U91" s="219"/>
    </row>
    <row r="92" spans="1:21" ht="24" customHeight="1">
      <c r="B92" s="1" t="s">
        <v>90</v>
      </c>
      <c r="C92" s="97"/>
      <c r="D92" s="97"/>
      <c r="E92" s="1" t="s">
        <v>722</v>
      </c>
      <c r="F92" s="97"/>
      <c r="G92" s="97"/>
      <c r="H92" s="97"/>
      <c r="I92" s="97"/>
      <c r="J92" s="97"/>
      <c r="K92" s="97"/>
      <c r="L92" s="97"/>
      <c r="M92" s="404">
        <v>291239</v>
      </c>
      <c r="N92" s="404">
        <v>283247</v>
      </c>
      <c r="O92" s="405">
        <v>326735</v>
      </c>
      <c r="P92" s="405">
        <v>318000</v>
      </c>
      <c r="Q92" s="404">
        <v>336380</v>
      </c>
      <c r="R92" s="404">
        <v>336171</v>
      </c>
      <c r="S92" s="404">
        <v>346256</v>
      </c>
      <c r="T92" s="404">
        <v>356644</v>
      </c>
      <c r="U92" s="404">
        <v>367343</v>
      </c>
    </row>
    <row r="93" spans="1:21" ht="24" customHeight="1">
      <c r="B93" s="1" t="s">
        <v>92</v>
      </c>
      <c r="C93" s="95"/>
      <c r="D93" s="95"/>
      <c r="E93" s="1" t="s">
        <v>8</v>
      </c>
      <c r="F93" s="95"/>
      <c r="G93" s="95"/>
      <c r="H93" s="95"/>
      <c r="I93" s="95"/>
      <c r="J93" s="95"/>
      <c r="K93" s="95"/>
      <c r="L93" s="95"/>
      <c r="M93" s="228">
        <v>28738</v>
      </c>
      <c r="N93" s="228">
        <v>31395</v>
      </c>
      <c r="O93" s="165">
        <v>34006</v>
      </c>
      <c r="P93" s="165">
        <v>34006</v>
      </c>
      <c r="Q93" s="228">
        <v>30321</v>
      </c>
      <c r="R93" s="240">
        <v>31129</v>
      </c>
      <c r="S93" s="240">
        <v>33033</v>
      </c>
      <c r="T93" s="240">
        <v>35022</v>
      </c>
      <c r="U93" s="240">
        <v>37175</v>
      </c>
    </row>
    <row r="94" spans="1:21" ht="24" customHeight="1">
      <c r="B94" s="1" t="s">
        <v>91</v>
      </c>
      <c r="C94" s="89"/>
      <c r="D94" s="89"/>
      <c r="E94" s="1" t="s">
        <v>9</v>
      </c>
      <c r="F94" s="89"/>
      <c r="G94" s="89"/>
      <c r="H94" s="89"/>
      <c r="I94" s="89"/>
      <c r="J94" s="89"/>
      <c r="K94" s="89"/>
      <c r="L94" s="89"/>
      <c r="M94" s="228">
        <v>20882</v>
      </c>
      <c r="N94" s="228">
        <v>20418</v>
      </c>
      <c r="O94" s="165">
        <v>23676</v>
      </c>
      <c r="P94" s="165">
        <v>23250</v>
      </c>
      <c r="Q94" s="228">
        <v>24548</v>
      </c>
      <c r="R94" s="228">
        <v>25284</v>
      </c>
      <c r="S94" s="228">
        <v>26043</v>
      </c>
      <c r="T94" s="228">
        <v>26824</v>
      </c>
      <c r="U94" s="228">
        <v>27629</v>
      </c>
    </row>
    <row r="95" spans="1:21" ht="24" customHeight="1">
      <c r="B95" s="1" t="s">
        <v>440</v>
      </c>
      <c r="C95" s="89"/>
      <c r="D95" s="89"/>
      <c r="E95" s="1" t="s">
        <v>13</v>
      </c>
      <c r="F95" s="89"/>
      <c r="G95" s="89"/>
      <c r="H95" s="89"/>
      <c r="I95" s="89"/>
      <c r="J95" s="89"/>
      <c r="K95" s="89"/>
      <c r="L95" s="89"/>
      <c r="M95" s="228">
        <v>54957</v>
      </c>
      <c r="N95" s="228">
        <v>41116</v>
      </c>
      <c r="O95" s="165">
        <v>48081</v>
      </c>
      <c r="P95" s="165">
        <v>41958</v>
      </c>
      <c r="Q95" s="228">
        <v>74496</v>
      </c>
      <c r="R95" s="240">
        <v>80456</v>
      </c>
      <c r="S95" s="240">
        <v>86892</v>
      </c>
      <c r="T95" s="240">
        <v>93843</v>
      </c>
      <c r="U95" s="240">
        <v>101350</v>
      </c>
    </row>
    <row r="96" spans="1:21" ht="24" customHeight="1">
      <c r="B96" s="1" t="s">
        <v>441</v>
      </c>
      <c r="C96" s="89"/>
      <c r="D96" s="89"/>
      <c r="E96" s="1" t="s">
        <v>161</v>
      </c>
      <c r="F96" s="89"/>
      <c r="G96" s="89"/>
      <c r="H96" s="89"/>
      <c r="I96" s="89"/>
      <c r="J96" s="89"/>
      <c r="K96" s="89"/>
      <c r="L96" s="89"/>
      <c r="M96" s="228">
        <v>246</v>
      </c>
      <c r="N96" s="228">
        <v>225</v>
      </c>
      <c r="O96" s="165">
        <v>361</v>
      </c>
      <c r="P96" s="165">
        <v>362</v>
      </c>
      <c r="Q96" s="228">
        <v>382</v>
      </c>
      <c r="R96" s="240">
        <v>386</v>
      </c>
      <c r="S96" s="240">
        <v>390</v>
      </c>
      <c r="T96" s="240">
        <v>394</v>
      </c>
      <c r="U96" s="240">
        <v>398</v>
      </c>
    </row>
    <row r="97" spans="1:21" ht="24" customHeight="1">
      <c r="B97" s="1" t="s">
        <v>442</v>
      </c>
      <c r="C97" s="89"/>
      <c r="D97" s="89"/>
      <c r="E97" s="1" t="s">
        <v>461</v>
      </c>
      <c r="F97" s="89"/>
      <c r="G97" s="89"/>
      <c r="H97" s="89"/>
      <c r="I97" s="89"/>
      <c r="J97" s="89"/>
      <c r="K97" s="89"/>
      <c r="L97" s="89"/>
      <c r="M97" s="228">
        <v>5192</v>
      </c>
      <c r="N97" s="228">
        <v>4125</v>
      </c>
      <c r="O97" s="165">
        <v>4132</v>
      </c>
      <c r="P97" s="165">
        <v>4132</v>
      </c>
      <c r="Q97" s="228">
        <v>4339</v>
      </c>
      <c r="R97" s="240">
        <v>4556</v>
      </c>
      <c r="S97" s="240">
        <v>4784</v>
      </c>
      <c r="T97" s="240">
        <v>5023</v>
      </c>
      <c r="U97" s="240">
        <v>5274</v>
      </c>
    </row>
    <row r="98" spans="1:21" ht="24" customHeight="1">
      <c r="B98" s="1" t="s">
        <v>464</v>
      </c>
      <c r="C98" s="89"/>
      <c r="D98" s="89"/>
      <c r="E98" s="1" t="s">
        <v>463</v>
      </c>
      <c r="F98" s="89"/>
      <c r="G98" s="89"/>
      <c r="H98" s="89"/>
      <c r="I98" s="89"/>
      <c r="J98" s="89"/>
      <c r="K98" s="89"/>
      <c r="L98" s="89"/>
      <c r="M98" s="228">
        <v>707</v>
      </c>
      <c r="N98" s="228">
        <v>629</v>
      </c>
      <c r="O98" s="164">
        <v>624</v>
      </c>
      <c r="P98" s="165">
        <v>624</v>
      </c>
      <c r="Q98" s="240">
        <v>643</v>
      </c>
      <c r="R98" s="240">
        <v>662</v>
      </c>
      <c r="S98" s="240">
        <v>682</v>
      </c>
      <c r="T98" s="240">
        <v>702</v>
      </c>
      <c r="U98" s="240">
        <v>723</v>
      </c>
    </row>
    <row r="99" spans="1:21" ht="24" customHeight="1">
      <c r="B99" s="1" t="s">
        <v>99</v>
      </c>
      <c r="C99" s="95"/>
      <c r="D99" s="95"/>
      <c r="E99" s="1" t="s">
        <v>86</v>
      </c>
      <c r="F99" s="95"/>
      <c r="G99" s="95"/>
      <c r="H99" s="95"/>
      <c r="I99" s="95"/>
      <c r="J99" s="95"/>
      <c r="K99" s="95"/>
      <c r="L99" s="95"/>
      <c r="M99" s="240">
        <v>1257</v>
      </c>
      <c r="N99" s="240">
        <v>1220</v>
      </c>
      <c r="O99" s="164">
        <v>3500</v>
      </c>
      <c r="P99" s="164">
        <v>2500</v>
      </c>
      <c r="Q99" s="240">
        <v>3500</v>
      </c>
      <c r="R99" s="240">
        <v>3500</v>
      </c>
      <c r="S99" s="240">
        <v>3500</v>
      </c>
      <c r="T99" s="240">
        <v>3500</v>
      </c>
      <c r="U99" s="240">
        <v>3500</v>
      </c>
    </row>
    <row r="100" spans="1:21" ht="24" customHeight="1">
      <c r="B100" s="1" t="s">
        <v>184</v>
      </c>
      <c r="C100" s="89"/>
      <c r="D100" s="89"/>
      <c r="E100" s="1" t="s">
        <v>100</v>
      </c>
      <c r="F100" s="89"/>
      <c r="G100" s="89"/>
      <c r="H100" s="89"/>
      <c r="I100" s="89"/>
      <c r="J100" s="89"/>
      <c r="K100" s="89"/>
      <c r="L100" s="89"/>
      <c r="M100" s="240">
        <v>30600</v>
      </c>
      <c r="N100" s="240">
        <v>31400</v>
      </c>
      <c r="O100" s="164">
        <v>35900</v>
      </c>
      <c r="P100" s="164">
        <v>35900</v>
      </c>
      <c r="Q100" s="240">
        <v>28695</v>
      </c>
      <c r="R100" s="240">
        <v>29300</v>
      </c>
      <c r="S100" s="240">
        <v>29905</v>
      </c>
      <c r="T100" s="240">
        <v>30510</v>
      </c>
      <c r="U100" s="240">
        <v>31115</v>
      </c>
    </row>
    <row r="101" spans="1:21" ht="24" customHeight="1">
      <c r="B101" s="1" t="s">
        <v>98</v>
      </c>
      <c r="C101" s="89"/>
      <c r="D101" s="89"/>
      <c r="E101" s="1" t="s">
        <v>828</v>
      </c>
      <c r="F101" s="89"/>
      <c r="G101" s="89"/>
      <c r="H101" s="89"/>
      <c r="I101" s="89"/>
      <c r="J101" s="89"/>
      <c r="K101" s="89"/>
      <c r="L101" s="89"/>
      <c r="M101" s="240">
        <v>188</v>
      </c>
      <c r="N101" s="240">
        <v>0</v>
      </c>
      <c r="O101" s="164">
        <v>600</v>
      </c>
      <c r="P101" s="164">
        <v>50</v>
      </c>
      <c r="Q101" s="208">
        <v>600</v>
      </c>
      <c r="R101" s="208">
        <v>600</v>
      </c>
      <c r="S101" s="208">
        <v>600</v>
      </c>
      <c r="T101" s="208">
        <v>600</v>
      </c>
      <c r="U101" s="208">
        <v>600</v>
      </c>
    </row>
    <row r="102" spans="1:21" ht="24" customHeight="1">
      <c r="B102" s="1" t="s">
        <v>1046</v>
      </c>
      <c r="C102" s="89"/>
      <c r="D102" s="89"/>
      <c r="E102" s="316" t="s">
        <v>1045</v>
      </c>
      <c r="F102" s="89"/>
      <c r="G102" s="89"/>
      <c r="H102" s="89"/>
      <c r="I102" s="89"/>
      <c r="J102" s="89"/>
      <c r="K102" s="89"/>
      <c r="L102" s="89"/>
      <c r="M102" s="228">
        <v>1900</v>
      </c>
      <c r="N102" s="228">
        <v>1454</v>
      </c>
      <c r="O102" s="165">
        <v>1895</v>
      </c>
      <c r="P102" s="165">
        <v>1895</v>
      </c>
      <c r="Q102" s="228">
        <v>2223</v>
      </c>
      <c r="R102" s="228">
        <v>2290</v>
      </c>
      <c r="S102" s="228">
        <v>2359</v>
      </c>
      <c r="T102" s="228">
        <v>2430</v>
      </c>
      <c r="U102" s="228">
        <v>2502</v>
      </c>
    </row>
    <row r="103" spans="1:21" ht="24" customHeight="1">
      <c r="B103" s="1" t="s">
        <v>97</v>
      </c>
      <c r="C103" s="95"/>
      <c r="D103" s="95"/>
      <c r="E103" s="1" t="s">
        <v>829</v>
      </c>
      <c r="F103" s="95"/>
      <c r="G103" s="95"/>
      <c r="H103" s="89"/>
      <c r="I103" s="89"/>
      <c r="J103" s="89"/>
      <c r="K103" s="89"/>
      <c r="L103" s="89"/>
      <c r="M103" s="240">
        <v>3182</v>
      </c>
      <c r="N103" s="240">
        <v>2344</v>
      </c>
      <c r="O103" s="164">
        <v>3500</v>
      </c>
      <c r="P103" s="164">
        <v>3000</v>
      </c>
      <c r="Q103" s="208">
        <v>3250</v>
      </c>
      <c r="R103" s="208">
        <v>3250</v>
      </c>
      <c r="S103" s="208">
        <v>3250</v>
      </c>
      <c r="T103" s="208">
        <v>3250</v>
      </c>
      <c r="U103" s="208">
        <v>3250</v>
      </c>
    </row>
    <row r="104" spans="1:21" ht="24" customHeight="1">
      <c r="B104" s="1" t="s">
        <v>96</v>
      </c>
      <c r="C104" s="89"/>
      <c r="D104" s="89"/>
      <c r="E104" s="1" t="s">
        <v>209</v>
      </c>
      <c r="F104" s="89"/>
      <c r="G104" s="89"/>
      <c r="H104" s="89"/>
      <c r="I104" s="89"/>
      <c r="J104" s="89"/>
      <c r="K104" s="89"/>
      <c r="L104" s="89"/>
      <c r="M104" s="240">
        <v>941</v>
      </c>
      <c r="N104" s="240">
        <v>1593</v>
      </c>
      <c r="O104" s="164">
        <v>1980</v>
      </c>
      <c r="P104" s="164">
        <v>2200</v>
      </c>
      <c r="Q104" s="208">
        <v>2250</v>
      </c>
      <c r="R104" s="208">
        <v>2250</v>
      </c>
      <c r="S104" s="208">
        <v>2250</v>
      </c>
      <c r="T104" s="208">
        <v>2250</v>
      </c>
      <c r="U104" s="208">
        <v>2250</v>
      </c>
    </row>
    <row r="105" spans="1:21" ht="24" customHeight="1">
      <c r="B105" s="1" t="s">
        <v>95</v>
      </c>
      <c r="C105" s="89"/>
      <c r="D105" s="89"/>
      <c r="E105" s="1" t="s">
        <v>84</v>
      </c>
      <c r="F105" s="89"/>
      <c r="G105" s="89"/>
      <c r="H105" s="95"/>
      <c r="I105" s="95"/>
      <c r="J105" s="95"/>
      <c r="K105" s="95"/>
      <c r="L105" s="95"/>
      <c r="M105" s="240">
        <v>1015</v>
      </c>
      <c r="N105" s="240">
        <v>912</v>
      </c>
      <c r="O105" s="164">
        <v>1200</v>
      </c>
      <c r="P105" s="164">
        <v>1100</v>
      </c>
      <c r="Q105" s="208">
        <v>1200</v>
      </c>
      <c r="R105" s="208">
        <v>1200</v>
      </c>
      <c r="S105" s="208">
        <v>1200</v>
      </c>
      <c r="T105" s="208">
        <v>1200</v>
      </c>
      <c r="U105" s="208">
        <v>1200</v>
      </c>
    </row>
    <row r="106" spans="1:21" ht="24" customHeight="1">
      <c r="B106" s="1" t="s">
        <v>185</v>
      </c>
      <c r="C106" s="95"/>
      <c r="D106" s="95"/>
      <c r="E106" s="304" t="s">
        <v>830</v>
      </c>
      <c r="F106" s="95"/>
      <c r="G106" s="95"/>
      <c r="H106" s="95"/>
      <c r="I106" s="95"/>
      <c r="J106" s="95"/>
      <c r="K106" s="89"/>
      <c r="L106" s="89"/>
      <c r="M106" s="240">
        <v>1071</v>
      </c>
      <c r="N106" s="240">
        <v>745</v>
      </c>
      <c r="O106" s="164">
        <v>1500</v>
      </c>
      <c r="P106" s="164">
        <v>1500</v>
      </c>
      <c r="Q106" s="208">
        <v>1500</v>
      </c>
      <c r="R106" s="208">
        <v>1500</v>
      </c>
      <c r="S106" s="208">
        <v>1500</v>
      </c>
      <c r="T106" s="208">
        <v>1500</v>
      </c>
      <c r="U106" s="208">
        <v>1500</v>
      </c>
    </row>
    <row r="107" spans="1:21" ht="24" customHeight="1">
      <c r="B107" s="1" t="s">
        <v>94</v>
      </c>
      <c r="C107" s="95"/>
      <c r="D107" s="95"/>
      <c r="E107" s="304" t="s">
        <v>10</v>
      </c>
      <c r="F107" s="95"/>
      <c r="G107" s="95"/>
      <c r="H107" s="89"/>
      <c r="I107" s="89"/>
      <c r="J107" s="89"/>
      <c r="K107" s="89"/>
      <c r="L107" s="89"/>
      <c r="M107" s="308">
        <v>54792</v>
      </c>
      <c r="N107" s="308">
        <v>87031</v>
      </c>
      <c r="O107" s="172">
        <v>65000</v>
      </c>
      <c r="P107" s="172">
        <v>75000</v>
      </c>
      <c r="Q107" s="308">
        <v>80000</v>
      </c>
      <c r="R107" s="308">
        <v>80000</v>
      </c>
      <c r="S107" s="308">
        <v>80000</v>
      </c>
      <c r="T107" s="308">
        <v>80000</v>
      </c>
      <c r="U107" s="308">
        <v>80000</v>
      </c>
    </row>
    <row r="108" spans="1:21" ht="24" customHeight="1">
      <c r="B108" s="1" t="s">
        <v>93</v>
      </c>
      <c r="C108" s="89"/>
      <c r="D108" s="89"/>
      <c r="E108" s="304" t="s">
        <v>81</v>
      </c>
      <c r="F108" s="89"/>
      <c r="G108" s="89"/>
      <c r="H108" s="89"/>
      <c r="I108" s="89"/>
      <c r="J108" s="89"/>
      <c r="K108" s="95"/>
      <c r="L108" s="95"/>
      <c r="M108" s="240">
        <v>1542</v>
      </c>
      <c r="N108" s="240">
        <v>2059</v>
      </c>
      <c r="O108" s="165">
        <v>2200</v>
      </c>
      <c r="P108" s="165">
        <v>2100</v>
      </c>
      <c r="Q108" s="223">
        <v>2200</v>
      </c>
      <c r="R108" s="208">
        <v>2200</v>
      </c>
      <c r="S108" s="208">
        <v>2200</v>
      </c>
      <c r="T108" s="208">
        <v>2200</v>
      </c>
      <c r="U108" s="208">
        <v>2200</v>
      </c>
    </row>
    <row r="109" spans="1:21" ht="24" customHeight="1">
      <c r="B109" s="1" t="s">
        <v>101</v>
      </c>
      <c r="C109" s="89"/>
      <c r="D109" s="89"/>
      <c r="E109" s="1" t="s">
        <v>11</v>
      </c>
      <c r="F109" s="89"/>
      <c r="G109" s="89"/>
      <c r="H109" s="89"/>
      <c r="I109" s="89"/>
      <c r="J109" s="89"/>
      <c r="K109" s="89"/>
      <c r="L109" s="89"/>
      <c r="M109" s="261">
        <v>1519</v>
      </c>
      <c r="N109" s="261">
        <v>3153</v>
      </c>
      <c r="O109" s="167">
        <v>2500</v>
      </c>
      <c r="P109" s="167">
        <v>2000</v>
      </c>
      <c r="Q109" s="225">
        <v>2500</v>
      </c>
      <c r="R109" s="225">
        <v>2500</v>
      </c>
      <c r="S109" s="225">
        <v>2500</v>
      </c>
      <c r="T109" s="225">
        <v>2500</v>
      </c>
      <c r="U109" s="225">
        <v>2500</v>
      </c>
    </row>
    <row r="110" spans="1:21" s="89" customFormat="1" ht="24" customHeight="1">
      <c r="A110" s="576"/>
      <c r="B110" s="1"/>
      <c r="C110" s="689" t="s">
        <v>1200</v>
      </c>
      <c r="D110" s="689"/>
      <c r="E110" s="689"/>
      <c r="F110" s="689"/>
      <c r="G110" s="689"/>
      <c r="H110" s="689"/>
      <c r="I110" s="689"/>
      <c r="J110" s="689"/>
      <c r="K110" s="689"/>
      <c r="L110" s="689"/>
      <c r="M110" s="410">
        <f>SUM(M92:M109)</f>
        <v>499968</v>
      </c>
      <c r="N110" s="410">
        <f t="shared" ref="N110:U110" si="5">SUM(N92:N109)</f>
        <v>513066</v>
      </c>
      <c r="O110" s="407">
        <f t="shared" si="5"/>
        <v>557390</v>
      </c>
      <c r="P110" s="597">
        <f>SUM(P92:P109)</f>
        <v>549577</v>
      </c>
      <c r="Q110" s="410">
        <f t="shared" si="5"/>
        <v>599027</v>
      </c>
      <c r="R110" s="410">
        <f t="shared" si="5"/>
        <v>607234</v>
      </c>
      <c r="S110" s="410">
        <f t="shared" si="5"/>
        <v>627344</v>
      </c>
      <c r="T110" s="410">
        <f t="shared" si="5"/>
        <v>648392</v>
      </c>
      <c r="U110" s="410">
        <f t="shared" si="5"/>
        <v>670509</v>
      </c>
    </row>
    <row r="111" spans="1:21" ht="15" customHeight="1">
      <c r="B111" s="302"/>
      <c r="C111" s="303"/>
      <c r="D111" s="303"/>
      <c r="E111" s="302"/>
      <c r="F111" s="303"/>
      <c r="G111" s="303"/>
      <c r="H111" s="303"/>
      <c r="I111" s="303"/>
      <c r="J111" s="303"/>
      <c r="K111" s="303"/>
      <c r="L111" s="303"/>
      <c r="M111" s="220"/>
      <c r="N111" s="220"/>
      <c r="O111" s="164"/>
      <c r="P111" s="164"/>
      <c r="Q111" s="208"/>
      <c r="R111" s="208"/>
      <c r="S111" s="208"/>
      <c r="T111" s="208"/>
      <c r="U111" s="208"/>
    </row>
    <row r="112" spans="1:21" ht="24" customHeight="1">
      <c r="B112" s="98" t="s">
        <v>423</v>
      </c>
      <c r="C112" s="89"/>
      <c r="D112" s="89"/>
      <c r="E112" s="89"/>
      <c r="F112" s="89"/>
      <c r="G112" s="89"/>
      <c r="H112" s="89"/>
      <c r="I112" s="89"/>
      <c r="J112" s="89"/>
      <c r="K112" s="89"/>
      <c r="L112" s="89"/>
      <c r="M112" s="226"/>
      <c r="N112" s="267"/>
      <c r="O112" s="168"/>
      <c r="P112" s="168"/>
      <c r="Q112" s="267"/>
      <c r="R112" s="267"/>
      <c r="S112" s="267"/>
      <c r="T112" s="267"/>
      <c r="U112" s="267"/>
    </row>
    <row r="113" spans="2:21" ht="24" customHeight="1">
      <c r="B113" s="1" t="s">
        <v>822</v>
      </c>
      <c r="C113" s="97"/>
      <c r="D113" s="97"/>
      <c r="E113" s="1" t="s">
        <v>109</v>
      </c>
      <c r="F113" s="97"/>
      <c r="G113" s="97"/>
      <c r="H113" s="97"/>
      <c r="I113" s="97"/>
      <c r="J113" s="97"/>
      <c r="K113" s="97"/>
      <c r="L113" s="97"/>
      <c r="M113" s="404">
        <v>1881771</v>
      </c>
      <c r="N113" s="404">
        <v>1912488</v>
      </c>
      <c r="O113" s="405">
        <v>1975199</v>
      </c>
      <c r="P113" s="405">
        <v>1980000</v>
      </c>
      <c r="Q113" s="404">
        <v>2132588</v>
      </c>
      <c r="R113" s="404">
        <v>2266305</v>
      </c>
      <c r="S113" s="404">
        <v>2405951</v>
      </c>
      <c r="T113" s="404">
        <v>2551757</v>
      </c>
      <c r="U113" s="404">
        <v>2703962</v>
      </c>
    </row>
    <row r="114" spans="2:21" ht="24" customHeight="1">
      <c r="B114" s="1" t="s">
        <v>564</v>
      </c>
      <c r="C114" s="97"/>
      <c r="D114" s="97"/>
      <c r="E114" s="96" t="s">
        <v>1162</v>
      </c>
      <c r="F114" s="97"/>
      <c r="G114" s="97"/>
      <c r="H114" s="97"/>
      <c r="I114" s="97"/>
      <c r="J114" s="97"/>
      <c r="K114" s="97"/>
      <c r="L114" s="97"/>
      <c r="M114" s="228">
        <v>474577</v>
      </c>
      <c r="N114" s="228">
        <v>394701</v>
      </c>
      <c r="O114" s="165">
        <v>525732</v>
      </c>
      <c r="P114" s="165">
        <v>470000</v>
      </c>
      <c r="Q114" s="228">
        <v>551192</v>
      </c>
      <c r="R114" s="228">
        <v>567728</v>
      </c>
      <c r="S114" s="228">
        <v>584760</v>
      </c>
      <c r="T114" s="228">
        <v>602303</v>
      </c>
      <c r="U114" s="228">
        <v>620372</v>
      </c>
    </row>
    <row r="115" spans="2:21" ht="24" customHeight="1">
      <c r="B115" s="1" t="s">
        <v>106</v>
      </c>
      <c r="C115" s="97"/>
      <c r="D115" s="97"/>
      <c r="E115" s="304" t="s">
        <v>565</v>
      </c>
      <c r="F115" s="311"/>
      <c r="G115" s="311"/>
      <c r="H115" s="311"/>
      <c r="I115" s="311"/>
      <c r="J115" s="311"/>
      <c r="K115" s="311"/>
      <c r="L115" s="311"/>
      <c r="M115" s="228">
        <v>691635</v>
      </c>
      <c r="N115" s="228">
        <v>388883</v>
      </c>
      <c r="O115" s="165">
        <v>559921</v>
      </c>
      <c r="P115" s="165">
        <v>559921</v>
      </c>
      <c r="Q115" s="228">
        <v>574834</v>
      </c>
      <c r="R115" s="228">
        <v>592079</v>
      </c>
      <c r="S115" s="228">
        <v>609841</v>
      </c>
      <c r="T115" s="228">
        <v>628136</v>
      </c>
      <c r="U115" s="228">
        <v>646980</v>
      </c>
    </row>
    <row r="116" spans="2:21" ht="24" customHeight="1">
      <c r="B116" s="1" t="s">
        <v>105</v>
      </c>
      <c r="C116" s="97"/>
      <c r="D116" s="97"/>
      <c r="E116" s="1" t="s">
        <v>108</v>
      </c>
      <c r="F116" s="97"/>
      <c r="G116" s="97"/>
      <c r="H116" s="97"/>
      <c r="I116" s="97"/>
      <c r="J116" s="97"/>
      <c r="K116" s="97"/>
      <c r="L116" s="97"/>
      <c r="M116" s="228">
        <v>170286</v>
      </c>
      <c r="N116" s="228">
        <v>167504</v>
      </c>
      <c r="O116" s="165">
        <v>182926</v>
      </c>
      <c r="P116" s="165">
        <v>167000</v>
      </c>
      <c r="Q116" s="228">
        <v>166921</v>
      </c>
      <c r="R116" s="228">
        <v>171929</v>
      </c>
      <c r="S116" s="228">
        <v>177087</v>
      </c>
      <c r="T116" s="228">
        <v>182400</v>
      </c>
      <c r="U116" s="228">
        <v>187872</v>
      </c>
    </row>
    <row r="117" spans="2:21" ht="24" customHeight="1">
      <c r="B117" s="1" t="s">
        <v>104</v>
      </c>
      <c r="C117" s="97"/>
      <c r="D117" s="97"/>
      <c r="E117" s="1" t="s">
        <v>107</v>
      </c>
      <c r="F117" s="97"/>
      <c r="G117" s="97"/>
      <c r="H117" s="97"/>
      <c r="I117" s="97"/>
      <c r="J117" s="97"/>
      <c r="K117" s="97"/>
      <c r="L117" s="97"/>
      <c r="M117" s="240">
        <v>26914</v>
      </c>
      <c r="N117" s="240">
        <v>22490</v>
      </c>
      <c r="O117" s="164">
        <v>30000</v>
      </c>
      <c r="P117" s="164">
        <v>30000</v>
      </c>
      <c r="Q117" s="240">
        <v>30000</v>
      </c>
      <c r="R117" s="240">
        <v>30000</v>
      </c>
      <c r="S117" s="240">
        <v>30000</v>
      </c>
      <c r="T117" s="240">
        <v>30000</v>
      </c>
      <c r="U117" s="240">
        <v>30000</v>
      </c>
    </row>
    <row r="118" spans="2:21" ht="24" customHeight="1">
      <c r="B118" s="1" t="s">
        <v>103</v>
      </c>
      <c r="C118" s="97"/>
      <c r="D118" s="97"/>
      <c r="E118" s="1" t="s">
        <v>66</v>
      </c>
      <c r="F118" s="97"/>
      <c r="G118" s="97"/>
      <c r="H118" s="97"/>
      <c r="I118" s="97"/>
      <c r="J118" s="97"/>
      <c r="K118" s="97"/>
      <c r="L118" s="97"/>
      <c r="M118" s="240">
        <v>67160</v>
      </c>
      <c r="N118" s="240">
        <v>53925</v>
      </c>
      <c r="O118" s="164">
        <v>70000</v>
      </c>
      <c r="P118" s="164">
        <v>70000</v>
      </c>
      <c r="Q118" s="240">
        <v>70000</v>
      </c>
      <c r="R118" s="240">
        <v>70000</v>
      </c>
      <c r="S118" s="240">
        <v>70000</v>
      </c>
      <c r="T118" s="240">
        <v>70000</v>
      </c>
      <c r="U118" s="240">
        <v>70000</v>
      </c>
    </row>
    <row r="119" spans="2:21" ht="24" customHeight="1">
      <c r="B119" s="1" t="s">
        <v>102</v>
      </c>
      <c r="C119" s="95"/>
      <c r="D119" s="95"/>
      <c r="E119" s="1" t="s">
        <v>14</v>
      </c>
      <c r="F119" s="95"/>
      <c r="G119" s="95"/>
      <c r="H119" s="95"/>
      <c r="I119" s="95"/>
      <c r="J119" s="95"/>
      <c r="K119" s="95"/>
      <c r="L119" s="95"/>
      <c r="M119" s="240">
        <v>97739</v>
      </c>
      <c r="N119" s="240">
        <v>87155</v>
      </c>
      <c r="O119" s="164">
        <v>111000</v>
      </c>
      <c r="P119" s="164">
        <v>111000</v>
      </c>
      <c r="Q119" s="240">
        <v>111000</v>
      </c>
      <c r="R119" s="240">
        <v>111000</v>
      </c>
      <c r="S119" s="240">
        <v>111000</v>
      </c>
      <c r="T119" s="240">
        <v>111000</v>
      </c>
      <c r="U119" s="240">
        <v>111000</v>
      </c>
    </row>
    <row r="120" spans="2:21" ht="24" customHeight="1">
      <c r="B120" s="1" t="s">
        <v>112</v>
      </c>
      <c r="C120" s="95"/>
      <c r="D120" s="95"/>
      <c r="E120" s="1" t="s">
        <v>8</v>
      </c>
      <c r="F120" s="95"/>
      <c r="G120" s="95"/>
      <c r="H120" s="95"/>
      <c r="I120" s="95"/>
      <c r="J120" s="95"/>
      <c r="K120" s="95"/>
      <c r="L120" s="95"/>
      <c r="M120" s="228">
        <v>16734</v>
      </c>
      <c r="N120" s="228">
        <v>18723</v>
      </c>
      <c r="O120" s="164">
        <v>19039</v>
      </c>
      <c r="P120" s="164">
        <v>19039</v>
      </c>
      <c r="Q120" s="240">
        <v>15046</v>
      </c>
      <c r="R120" s="240">
        <v>15921</v>
      </c>
      <c r="S120" s="240">
        <v>16894</v>
      </c>
      <c r="T120" s="240">
        <v>17912</v>
      </c>
      <c r="U120" s="240">
        <v>19013</v>
      </c>
    </row>
    <row r="121" spans="2:21" ht="24" customHeight="1">
      <c r="B121" s="1" t="s">
        <v>111</v>
      </c>
      <c r="C121" s="89"/>
      <c r="D121" s="89"/>
      <c r="E121" s="712" t="s">
        <v>877</v>
      </c>
      <c r="F121" s="712"/>
      <c r="G121" s="712"/>
      <c r="H121" s="712"/>
      <c r="I121" s="712"/>
      <c r="J121" s="712"/>
      <c r="K121" s="712"/>
      <c r="L121" s="712"/>
      <c r="M121" s="221">
        <v>1111484</v>
      </c>
      <c r="N121" s="221">
        <v>1230604</v>
      </c>
      <c r="O121" s="166">
        <v>1334771</v>
      </c>
      <c r="P121" s="166">
        <v>1334771</v>
      </c>
      <c r="Q121" s="221">
        <v>1334771</v>
      </c>
      <c r="R121" s="221">
        <v>1405767</v>
      </c>
      <c r="S121" s="221">
        <v>1480767</v>
      </c>
      <c r="T121" s="221">
        <v>1530767</v>
      </c>
      <c r="U121" s="221">
        <v>1580767</v>
      </c>
    </row>
    <row r="122" spans="2:21" ht="24" customHeight="1">
      <c r="B122" s="1" t="s">
        <v>110</v>
      </c>
      <c r="C122" s="95"/>
      <c r="D122" s="95"/>
      <c r="E122" s="1" t="s">
        <v>9</v>
      </c>
      <c r="F122" s="95"/>
      <c r="G122" s="95"/>
      <c r="H122" s="95"/>
      <c r="I122" s="95"/>
      <c r="J122" s="95"/>
      <c r="K122" s="95"/>
      <c r="L122" s="95"/>
      <c r="M122" s="228">
        <v>247668</v>
      </c>
      <c r="N122" s="228">
        <v>225698</v>
      </c>
      <c r="O122" s="165">
        <v>257542</v>
      </c>
      <c r="P122" s="165">
        <v>255000</v>
      </c>
      <c r="Q122" s="228">
        <v>270666</v>
      </c>
      <c r="R122" s="228">
        <v>283464</v>
      </c>
      <c r="S122" s="228">
        <v>296774</v>
      </c>
      <c r="T122" s="228">
        <v>310616</v>
      </c>
      <c r="U122" s="228">
        <v>347125</v>
      </c>
    </row>
    <row r="123" spans="2:21" ht="24" customHeight="1">
      <c r="B123" s="1" t="s">
        <v>443</v>
      </c>
      <c r="C123" s="95"/>
      <c r="D123" s="95"/>
      <c r="E123" s="1" t="s">
        <v>13</v>
      </c>
      <c r="F123" s="95"/>
      <c r="G123" s="95"/>
      <c r="H123" s="95"/>
      <c r="I123" s="95"/>
      <c r="J123" s="95"/>
      <c r="K123" s="95"/>
      <c r="L123" s="95"/>
      <c r="M123" s="228">
        <v>609034</v>
      </c>
      <c r="N123" s="228">
        <v>544727</v>
      </c>
      <c r="O123" s="165">
        <v>572407</v>
      </c>
      <c r="P123" s="165">
        <v>583224</v>
      </c>
      <c r="Q123" s="228">
        <v>649929</v>
      </c>
      <c r="R123" s="240">
        <v>730611</v>
      </c>
      <c r="S123" s="240">
        <v>820043</v>
      </c>
      <c r="T123" s="240">
        <v>919108</v>
      </c>
      <c r="U123" s="240">
        <v>1028775</v>
      </c>
    </row>
    <row r="124" spans="2:21" ht="24" customHeight="1">
      <c r="B124" s="1" t="s">
        <v>444</v>
      </c>
      <c r="C124" s="95"/>
      <c r="D124" s="95"/>
      <c r="E124" s="1" t="s">
        <v>161</v>
      </c>
      <c r="F124" s="95"/>
      <c r="G124" s="95"/>
      <c r="H124" s="95"/>
      <c r="I124" s="95"/>
      <c r="J124" s="95"/>
      <c r="K124" s="95"/>
      <c r="L124" s="95"/>
      <c r="M124" s="228">
        <v>2557</v>
      </c>
      <c r="N124" s="228">
        <v>2546</v>
      </c>
      <c r="O124" s="165">
        <v>4269</v>
      </c>
      <c r="P124" s="165">
        <v>4217</v>
      </c>
      <c r="Q124" s="228">
        <v>4331</v>
      </c>
      <c r="R124" s="240">
        <v>4506</v>
      </c>
      <c r="S124" s="240">
        <v>4684</v>
      </c>
      <c r="T124" s="240">
        <v>4865</v>
      </c>
      <c r="U124" s="240">
        <v>5049</v>
      </c>
    </row>
    <row r="125" spans="2:21" ht="24" customHeight="1">
      <c r="B125" s="1" t="s">
        <v>445</v>
      </c>
      <c r="C125" s="95"/>
      <c r="D125" s="95"/>
      <c r="E125" s="1" t="s">
        <v>461</v>
      </c>
      <c r="F125" s="95"/>
      <c r="G125" s="95"/>
      <c r="H125" s="95"/>
      <c r="I125" s="95"/>
      <c r="J125" s="95"/>
      <c r="K125" s="95"/>
      <c r="L125" s="95"/>
      <c r="M125" s="228">
        <v>43911</v>
      </c>
      <c r="N125" s="228">
        <v>37173</v>
      </c>
      <c r="O125" s="165">
        <v>39409</v>
      </c>
      <c r="P125" s="165">
        <v>50835</v>
      </c>
      <c r="Q125" s="228">
        <v>44463</v>
      </c>
      <c r="R125" s="240">
        <v>48474</v>
      </c>
      <c r="S125" s="240">
        <v>52775</v>
      </c>
      <c r="T125" s="240">
        <v>57385</v>
      </c>
      <c r="U125" s="240">
        <v>62324</v>
      </c>
    </row>
    <row r="126" spans="2:21" ht="24" customHeight="1">
      <c r="B126" s="1" t="s">
        <v>465</v>
      </c>
      <c r="C126" s="95"/>
      <c r="D126" s="95"/>
      <c r="E126" s="1" t="s">
        <v>463</v>
      </c>
      <c r="F126" s="95"/>
      <c r="G126" s="95"/>
      <c r="H126" s="95"/>
      <c r="I126" s="95"/>
      <c r="J126" s="95"/>
      <c r="K126" s="95"/>
      <c r="L126" s="95"/>
      <c r="M126" s="228">
        <v>6212</v>
      </c>
      <c r="N126" s="228">
        <v>6065</v>
      </c>
      <c r="O126" s="164">
        <v>5987</v>
      </c>
      <c r="P126" s="165">
        <v>6014</v>
      </c>
      <c r="Q126" s="240">
        <v>6573</v>
      </c>
      <c r="R126" s="240">
        <v>7020</v>
      </c>
      <c r="S126" s="240">
        <v>7488</v>
      </c>
      <c r="T126" s="240">
        <v>7978</v>
      </c>
      <c r="U126" s="240">
        <v>8491</v>
      </c>
    </row>
    <row r="127" spans="2:21" ht="24" customHeight="1">
      <c r="B127" s="1" t="s">
        <v>186</v>
      </c>
      <c r="C127" s="89"/>
      <c r="D127" s="89"/>
      <c r="E127" s="304" t="s">
        <v>87</v>
      </c>
      <c r="F127" s="89"/>
      <c r="G127" s="89"/>
      <c r="H127" s="89"/>
      <c r="I127" s="89"/>
      <c r="J127" s="89"/>
      <c r="K127" s="89"/>
      <c r="L127" s="89"/>
      <c r="M127" s="240">
        <v>8444</v>
      </c>
      <c r="N127" s="240">
        <v>14665</v>
      </c>
      <c r="O127" s="164">
        <v>13350</v>
      </c>
      <c r="P127" s="164">
        <v>13350</v>
      </c>
      <c r="Q127" s="240">
        <v>6250</v>
      </c>
      <c r="R127" s="240">
        <v>8700</v>
      </c>
      <c r="S127" s="240">
        <v>8700</v>
      </c>
      <c r="T127" s="240">
        <v>0</v>
      </c>
      <c r="U127" s="240">
        <v>0</v>
      </c>
    </row>
    <row r="128" spans="2:21" ht="24" customHeight="1">
      <c r="B128" s="1" t="s">
        <v>216</v>
      </c>
      <c r="C128" s="89"/>
      <c r="D128" s="89"/>
      <c r="E128" s="304" t="s">
        <v>215</v>
      </c>
      <c r="F128" s="89"/>
      <c r="G128" s="89"/>
      <c r="H128" s="89"/>
      <c r="I128" s="89"/>
      <c r="J128" s="89"/>
      <c r="K128" s="89"/>
      <c r="L128" s="89"/>
      <c r="M128" s="240">
        <v>5611</v>
      </c>
      <c r="N128" s="240">
        <v>15865</v>
      </c>
      <c r="O128" s="164">
        <v>5780</v>
      </c>
      <c r="P128" s="164">
        <v>5780</v>
      </c>
      <c r="Q128" s="307">
        <v>7810</v>
      </c>
      <c r="R128" s="240">
        <v>18000</v>
      </c>
      <c r="S128" s="240">
        <v>10000</v>
      </c>
      <c r="T128" s="240">
        <v>8000</v>
      </c>
      <c r="U128" s="307">
        <v>22400</v>
      </c>
    </row>
    <row r="129" spans="2:21" ht="24" customHeight="1">
      <c r="B129" s="1" t="s">
        <v>187</v>
      </c>
      <c r="C129" s="89"/>
      <c r="D129" s="89"/>
      <c r="E129" s="1" t="s">
        <v>121</v>
      </c>
      <c r="F129" s="89"/>
      <c r="G129" s="89"/>
      <c r="H129" s="89"/>
      <c r="I129" s="89"/>
      <c r="J129" s="89"/>
      <c r="K129" s="89"/>
      <c r="L129" s="89"/>
      <c r="M129" s="240">
        <v>14767</v>
      </c>
      <c r="N129" s="240">
        <v>49891</v>
      </c>
      <c r="O129" s="164">
        <v>24500</v>
      </c>
      <c r="P129" s="164">
        <v>24500</v>
      </c>
      <c r="Q129" s="240">
        <v>24500</v>
      </c>
      <c r="R129" s="240">
        <v>24500</v>
      </c>
      <c r="S129" s="240">
        <v>24500</v>
      </c>
      <c r="T129" s="240">
        <v>24500</v>
      </c>
      <c r="U129" s="240">
        <v>24500</v>
      </c>
    </row>
    <row r="130" spans="2:21" ht="24" customHeight="1">
      <c r="B130" s="1" t="s">
        <v>119</v>
      </c>
      <c r="C130" s="89"/>
      <c r="D130" s="89"/>
      <c r="E130" s="1" t="s">
        <v>828</v>
      </c>
      <c r="F130" s="89"/>
      <c r="G130" s="89"/>
      <c r="H130" s="89"/>
      <c r="I130" s="89"/>
      <c r="J130" s="89"/>
      <c r="K130" s="89"/>
      <c r="L130" s="89"/>
      <c r="M130" s="240">
        <v>1938</v>
      </c>
      <c r="N130" s="240">
        <v>2763</v>
      </c>
      <c r="O130" s="164">
        <v>10000</v>
      </c>
      <c r="P130" s="164">
        <v>10000</v>
      </c>
      <c r="Q130" s="240">
        <v>10000</v>
      </c>
      <c r="R130" s="240">
        <v>10000</v>
      </c>
      <c r="S130" s="240">
        <v>10000</v>
      </c>
      <c r="T130" s="240">
        <v>10000</v>
      </c>
      <c r="U130" s="240">
        <v>10000</v>
      </c>
    </row>
    <row r="131" spans="2:21" ht="24" customHeight="1">
      <c r="B131" s="1" t="s">
        <v>784</v>
      </c>
      <c r="C131" s="89"/>
      <c r="D131" s="89"/>
      <c r="E131" s="1" t="s">
        <v>785</v>
      </c>
      <c r="F131" s="89"/>
      <c r="G131" s="89"/>
      <c r="H131" s="89"/>
      <c r="I131" s="89"/>
      <c r="J131" s="89"/>
      <c r="K131" s="89"/>
      <c r="L131" s="89"/>
      <c r="M131" s="240">
        <v>24032</v>
      </c>
      <c r="N131" s="240">
        <v>218334</v>
      </c>
      <c r="O131" s="164">
        <v>91732</v>
      </c>
      <c r="P131" s="164">
        <v>91732</v>
      </c>
      <c r="Q131" s="240">
        <v>47825</v>
      </c>
      <c r="R131" s="240">
        <v>203456</v>
      </c>
      <c r="S131" s="240">
        <v>195350</v>
      </c>
      <c r="T131" s="240">
        <v>201650</v>
      </c>
      <c r="U131" s="240">
        <v>217500</v>
      </c>
    </row>
    <row r="132" spans="2:21" ht="24" customHeight="1">
      <c r="B132" s="1" t="s">
        <v>1047</v>
      </c>
      <c r="C132" s="89"/>
      <c r="D132" s="89"/>
      <c r="E132" s="316" t="s">
        <v>1045</v>
      </c>
      <c r="F132" s="89"/>
      <c r="G132" s="89"/>
      <c r="H132" s="89"/>
      <c r="I132" s="89"/>
      <c r="J132" s="89"/>
      <c r="K132" s="89"/>
      <c r="L132" s="89"/>
      <c r="M132" s="228">
        <v>15714</v>
      </c>
      <c r="N132" s="228">
        <v>208</v>
      </c>
      <c r="O132" s="165">
        <v>3336</v>
      </c>
      <c r="P132" s="165">
        <v>3336</v>
      </c>
      <c r="Q132" s="228">
        <v>21276</v>
      </c>
      <c r="R132" s="228">
        <v>3312</v>
      </c>
      <c r="S132" s="228">
        <v>3845</v>
      </c>
      <c r="T132" s="228">
        <v>18718</v>
      </c>
      <c r="U132" s="228">
        <v>3619</v>
      </c>
    </row>
    <row r="133" spans="2:21" ht="24" customHeight="1">
      <c r="B133" s="1" t="s">
        <v>118</v>
      </c>
      <c r="C133" s="89"/>
      <c r="D133" s="89"/>
      <c r="E133" s="1" t="s">
        <v>829</v>
      </c>
      <c r="F133" s="89"/>
      <c r="G133" s="89"/>
      <c r="H133" s="89"/>
      <c r="I133" s="89"/>
      <c r="J133" s="89"/>
      <c r="K133" s="89"/>
      <c r="L133" s="89"/>
      <c r="M133" s="240">
        <v>5243</v>
      </c>
      <c r="N133" s="240">
        <v>2448</v>
      </c>
      <c r="O133" s="164">
        <v>5000</v>
      </c>
      <c r="P133" s="164">
        <v>5000</v>
      </c>
      <c r="Q133" s="208">
        <v>5000</v>
      </c>
      <c r="R133" s="208">
        <v>5000</v>
      </c>
      <c r="S133" s="208">
        <v>5000</v>
      </c>
      <c r="T133" s="208">
        <v>5000</v>
      </c>
      <c r="U133" s="208">
        <v>5000</v>
      </c>
    </row>
    <row r="134" spans="2:21" ht="24" customHeight="1">
      <c r="B134" s="1" t="s">
        <v>117</v>
      </c>
      <c r="C134" s="89"/>
      <c r="D134" s="89"/>
      <c r="E134" s="1" t="s">
        <v>209</v>
      </c>
      <c r="F134" s="89"/>
      <c r="G134" s="89"/>
      <c r="H134" s="89"/>
      <c r="I134" s="89"/>
      <c r="J134" s="89"/>
      <c r="K134" s="89"/>
      <c r="L134" s="89"/>
      <c r="M134" s="240">
        <v>45828</v>
      </c>
      <c r="N134" s="240">
        <v>41696</v>
      </c>
      <c r="O134" s="165">
        <v>43500</v>
      </c>
      <c r="P134" s="165">
        <v>43500</v>
      </c>
      <c r="Q134" s="228">
        <v>43500</v>
      </c>
      <c r="R134" s="228">
        <v>43500</v>
      </c>
      <c r="S134" s="228">
        <v>43500</v>
      </c>
      <c r="T134" s="228">
        <v>43500</v>
      </c>
      <c r="U134" s="228">
        <v>43500</v>
      </c>
    </row>
    <row r="135" spans="2:21" ht="24" customHeight="1">
      <c r="B135" s="1" t="s">
        <v>116</v>
      </c>
      <c r="C135" s="89"/>
      <c r="D135" s="89"/>
      <c r="E135" s="1" t="s">
        <v>84</v>
      </c>
      <c r="F135" s="89"/>
      <c r="G135" s="89"/>
      <c r="H135" s="89"/>
      <c r="I135" s="89"/>
      <c r="J135" s="89"/>
      <c r="K135" s="89"/>
      <c r="L135" s="89"/>
      <c r="M135" s="240">
        <v>998</v>
      </c>
      <c r="N135" s="240">
        <v>854</v>
      </c>
      <c r="O135" s="164">
        <v>1200</v>
      </c>
      <c r="P135" s="164">
        <v>1000</v>
      </c>
      <c r="Q135" s="208">
        <v>1600</v>
      </c>
      <c r="R135" s="208">
        <v>1200</v>
      </c>
      <c r="S135" s="208">
        <v>1200</v>
      </c>
      <c r="T135" s="208">
        <v>1200</v>
      </c>
      <c r="U135" s="208">
        <v>1200</v>
      </c>
    </row>
    <row r="136" spans="2:21" ht="24" customHeight="1">
      <c r="B136" s="1" t="s">
        <v>188</v>
      </c>
      <c r="C136" s="89"/>
      <c r="D136" s="89"/>
      <c r="E136" s="304" t="s">
        <v>830</v>
      </c>
      <c r="F136" s="89"/>
      <c r="G136" s="89"/>
      <c r="H136" s="89"/>
      <c r="I136" s="89"/>
      <c r="J136" s="89"/>
      <c r="K136" s="89"/>
      <c r="L136" s="89"/>
      <c r="M136" s="240">
        <v>12713</v>
      </c>
      <c r="N136" s="240">
        <v>14602</v>
      </c>
      <c r="O136" s="164">
        <v>10700</v>
      </c>
      <c r="P136" s="164">
        <v>10700</v>
      </c>
      <c r="Q136" s="240">
        <v>11000</v>
      </c>
      <c r="R136" s="240">
        <v>11000</v>
      </c>
      <c r="S136" s="240">
        <v>11000</v>
      </c>
      <c r="T136" s="240">
        <v>11000</v>
      </c>
      <c r="U136" s="240">
        <v>11000</v>
      </c>
    </row>
    <row r="137" spans="2:21" ht="24" customHeight="1">
      <c r="B137" s="304" t="s">
        <v>115</v>
      </c>
      <c r="C137" s="89"/>
      <c r="D137" s="89"/>
      <c r="E137" s="304" t="s">
        <v>10</v>
      </c>
      <c r="F137" s="89"/>
      <c r="G137" s="89"/>
      <c r="H137" s="89"/>
      <c r="I137" s="89"/>
      <c r="J137" s="89"/>
      <c r="K137" s="89"/>
      <c r="L137" s="89"/>
      <c r="M137" s="240">
        <v>27228</v>
      </c>
      <c r="N137" s="240">
        <v>34992</v>
      </c>
      <c r="O137" s="164">
        <v>39950</v>
      </c>
      <c r="P137" s="164">
        <v>39950</v>
      </c>
      <c r="Q137" s="240">
        <v>45115</v>
      </c>
      <c r="R137" s="240">
        <v>46000</v>
      </c>
      <c r="S137" s="240">
        <v>46000</v>
      </c>
      <c r="T137" s="240">
        <v>46000</v>
      </c>
      <c r="U137" s="240">
        <v>46000</v>
      </c>
    </row>
    <row r="138" spans="2:21" ht="24" customHeight="1">
      <c r="B138" s="1" t="s">
        <v>114</v>
      </c>
      <c r="C138" s="89"/>
      <c r="D138" s="89"/>
      <c r="E138" s="1" t="s">
        <v>778</v>
      </c>
      <c r="F138" s="89"/>
      <c r="G138" s="89"/>
      <c r="H138" s="89"/>
      <c r="I138" s="89"/>
      <c r="J138" s="89"/>
      <c r="K138" s="89"/>
      <c r="L138" s="89"/>
      <c r="M138" s="240">
        <v>16265</v>
      </c>
      <c r="N138" s="240">
        <v>13206</v>
      </c>
      <c r="O138" s="164">
        <v>20750</v>
      </c>
      <c r="P138" s="164">
        <v>18000</v>
      </c>
      <c r="Q138" s="240">
        <v>22050</v>
      </c>
      <c r="R138" s="240">
        <v>22050</v>
      </c>
      <c r="S138" s="240">
        <v>22050</v>
      </c>
      <c r="T138" s="240">
        <v>22050</v>
      </c>
      <c r="U138" s="240">
        <v>22050</v>
      </c>
    </row>
    <row r="139" spans="2:21" ht="24" customHeight="1">
      <c r="B139" s="1" t="s">
        <v>113</v>
      </c>
      <c r="C139" s="89"/>
      <c r="D139" s="89"/>
      <c r="E139" s="1" t="s">
        <v>974</v>
      </c>
      <c r="F139" s="89"/>
      <c r="G139" s="95"/>
      <c r="H139" s="95"/>
      <c r="I139" s="95"/>
      <c r="J139" s="95"/>
      <c r="K139" s="95"/>
      <c r="L139" s="95"/>
      <c r="M139" s="240">
        <v>0</v>
      </c>
      <c r="N139" s="240">
        <v>0</v>
      </c>
      <c r="O139" s="164">
        <v>2000</v>
      </c>
      <c r="P139" s="164">
        <v>2000</v>
      </c>
      <c r="Q139" s="208">
        <v>2000</v>
      </c>
      <c r="R139" s="208">
        <v>2000</v>
      </c>
      <c r="S139" s="208">
        <v>2000</v>
      </c>
      <c r="T139" s="208">
        <v>2000</v>
      </c>
      <c r="U139" s="208">
        <v>2000</v>
      </c>
    </row>
    <row r="140" spans="2:21" ht="24" customHeight="1">
      <c r="B140" s="1" t="s">
        <v>227</v>
      </c>
      <c r="C140" s="89"/>
      <c r="D140" s="89"/>
      <c r="E140" s="1" t="s">
        <v>958</v>
      </c>
      <c r="F140" s="89"/>
      <c r="G140" s="89"/>
      <c r="H140" s="89"/>
      <c r="I140" s="89"/>
      <c r="J140" s="89"/>
      <c r="K140" s="89"/>
      <c r="L140" s="89"/>
      <c r="M140" s="240">
        <v>4000</v>
      </c>
      <c r="N140" s="240">
        <v>1793</v>
      </c>
      <c r="O140" s="164">
        <v>4600</v>
      </c>
      <c r="P140" s="164">
        <v>4600</v>
      </c>
      <c r="Q140" s="240">
        <v>6500</v>
      </c>
      <c r="R140" s="240">
        <v>6500</v>
      </c>
      <c r="S140" s="240">
        <v>6500</v>
      </c>
      <c r="T140" s="240">
        <v>6500</v>
      </c>
      <c r="U140" s="240">
        <v>6500</v>
      </c>
    </row>
    <row r="141" spans="2:21" ht="24" customHeight="1">
      <c r="B141" s="1" t="s">
        <v>514</v>
      </c>
      <c r="C141" s="95"/>
      <c r="D141" s="95"/>
      <c r="E141" s="304" t="s">
        <v>81</v>
      </c>
      <c r="F141" s="95"/>
      <c r="G141" s="89"/>
      <c r="H141" s="89"/>
      <c r="I141" s="89"/>
      <c r="J141" s="89"/>
      <c r="K141" s="89"/>
      <c r="L141" s="89"/>
      <c r="M141" s="240">
        <v>5205</v>
      </c>
      <c r="N141" s="240">
        <v>4857</v>
      </c>
      <c r="O141" s="165">
        <v>5600</v>
      </c>
      <c r="P141" s="165">
        <v>5000</v>
      </c>
      <c r="Q141" s="223">
        <v>6000</v>
      </c>
      <c r="R141" s="223">
        <v>6000</v>
      </c>
      <c r="S141" s="223">
        <v>6000</v>
      </c>
      <c r="T141" s="223">
        <v>6000</v>
      </c>
      <c r="U141" s="223">
        <v>6000</v>
      </c>
    </row>
    <row r="142" spans="2:21" ht="24" customHeight="1">
      <c r="B142" s="1" t="s">
        <v>986</v>
      </c>
      <c r="C142" s="89"/>
      <c r="D142" s="89"/>
      <c r="E142" s="155" t="s">
        <v>82</v>
      </c>
      <c r="F142" s="89"/>
      <c r="G142" s="89"/>
      <c r="H142" s="89"/>
      <c r="I142" s="89"/>
      <c r="J142" s="89"/>
      <c r="K142" s="89"/>
      <c r="L142" s="89"/>
      <c r="M142" s="228">
        <v>11607</v>
      </c>
      <c r="N142" s="228">
        <v>13089</v>
      </c>
      <c r="O142" s="165">
        <v>13806</v>
      </c>
      <c r="P142" s="165">
        <v>13011</v>
      </c>
      <c r="Q142" s="228">
        <v>26022</v>
      </c>
      <c r="R142" s="228">
        <v>26803</v>
      </c>
      <c r="S142" s="228">
        <v>27607</v>
      </c>
      <c r="T142" s="228">
        <v>28435</v>
      </c>
      <c r="U142" s="228">
        <v>29288</v>
      </c>
    </row>
    <row r="143" spans="2:21" ht="24" customHeight="1">
      <c r="B143" s="1" t="s">
        <v>198</v>
      </c>
      <c r="C143" s="89"/>
      <c r="D143" s="89"/>
      <c r="E143" s="1" t="s">
        <v>832</v>
      </c>
      <c r="F143" s="89"/>
      <c r="G143" s="89"/>
      <c r="H143" s="89"/>
      <c r="I143" s="89"/>
      <c r="J143" s="89"/>
      <c r="K143" s="89"/>
      <c r="L143" s="89"/>
      <c r="M143" s="240">
        <v>49370</v>
      </c>
      <c r="N143" s="240">
        <v>47922</v>
      </c>
      <c r="O143" s="164">
        <v>60000</v>
      </c>
      <c r="P143" s="164">
        <v>60000</v>
      </c>
      <c r="Q143" s="208">
        <v>57000</v>
      </c>
      <c r="R143" s="208">
        <v>57000</v>
      </c>
      <c r="S143" s="208">
        <v>57000</v>
      </c>
      <c r="T143" s="208">
        <v>57000</v>
      </c>
      <c r="U143" s="208">
        <v>57000</v>
      </c>
    </row>
    <row r="144" spans="2:21" ht="24" customHeight="1">
      <c r="B144" s="1" t="s">
        <v>126</v>
      </c>
      <c r="C144" s="89"/>
      <c r="D144" s="89"/>
      <c r="E144" s="304" t="s">
        <v>89</v>
      </c>
      <c r="F144" s="89"/>
      <c r="G144" s="89"/>
      <c r="H144" s="89"/>
      <c r="I144" s="89"/>
      <c r="J144" s="89"/>
      <c r="K144" s="89"/>
      <c r="L144" s="89"/>
      <c r="M144" s="240">
        <v>22820</v>
      </c>
      <c r="N144" s="240">
        <v>21088</v>
      </c>
      <c r="O144" s="164">
        <v>15000</v>
      </c>
      <c r="P144" s="164">
        <v>15000</v>
      </c>
      <c r="Q144" s="208">
        <v>15000</v>
      </c>
      <c r="R144" s="208">
        <v>15000</v>
      </c>
      <c r="S144" s="208">
        <v>15000</v>
      </c>
      <c r="T144" s="208">
        <v>15000</v>
      </c>
      <c r="U144" s="208">
        <v>15000</v>
      </c>
    </row>
    <row r="145" spans="1:21" ht="24" customHeight="1">
      <c r="B145" s="1" t="s">
        <v>125</v>
      </c>
      <c r="C145" s="89"/>
      <c r="D145" s="89"/>
      <c r="E145" s="1" t="s">
        <v>11</v>
      </c>
      <c r="F145" s="89"/>
      <c r="G145" s="89"/>
      <c r="H145" s="89"/>
      <c r="I145" s="89"/>
      <c r="J145" s="89"/>
      <c r="K145" s="89"/>
      <c r="L145" s="89"/>
      <c r="M145" s="240">
        <v>2865</v>
      </c>
      <c r="N145" s="240">
        <v>4344</v>
      </c>
      <c r="O145" s="164">
        <v>4500</v>
      </c>
      <c r="P145" s="164">
        <v>4500</v>
      </c>
      <c r="Q145" s="208">
        <v>4500</v>
      </c>
      <c r="R145" s="208">
        <v>4500</v>
      </c>
      <c r="S145" s="208">
        <v>4500</v>
      </c>
      <c r="T145" s="208">
        <v>4500</v>
      </c>
      <c r="U145" s="208">
        <v>4500</v>
      </c>
    </row>
    <row r="146" spans="1:21" ht="24" customHeight="1">
      <c r="B146" s="1" t="s">
        <v>124</v>
      </c>
      <c r="C146" s="89"/>
      <c r="D146" s="89"/>
      <c r="E146" s="1" t="s">
        <v>12</v>
      </c>
      <c r="F146" s="89"/>
      <c r="G146" s="89"/>
      <c r="H146" s="89"/>
      <c r="I146" s="89"/>
      <c r="J146" s="89"/>
      <c r="K146" s="89"/>
      <c r="L146" s="89"/>
      <c r="M146" s="240">
        <v>19864</v>
      </c>
      <c r="N146" s="240">
        <v>20763</v>
      </c>
      <c r="O146" s="164">
        <v>16500</v>
      </c>
      <c r="P146" s="164">
        <v>16500</v>
      </c>
      <c r="Q146" s="208">
        <v>17100</v>
      </c>
      <c r="R146" s="208">
        <v>17100</v>
      </c>
      <c r="S146" s="208">
        <v>17100</v>
      </c>
      <c r="T146" s="208">
        <v>17100</v>
      </c>
      <c r="U146" s="208">
        <v>17100</v>
      </c>
    </row>
    <row r="147" spans="1:21" ht="24" customHeight="1">
      <c r="B147" s="1" t="s">
        <v>567</v>
      </c>
      <c r="C147" s="89"/>
      <c r="D147" s="89"/>
      <c r="E147" s="1" t="s">
        <v>568</v>
      </c>
      <c r="F147" s="89"/>
      <c r="G147" s="89"/>
      <c r="H147" s="89"/>
      <c r="I147" s="89"/>
      <c r="J147" s="89"/>
      <c r="K147" s="89"/>
      <c r="L147" s="89"/>
      <c r="M147" s="240">
        <v>1579</v>
      </c>
      <c r="N147" s="240">
        <v>1368</v>
      </c>
      <c r="O147" s="164">
        <v>3000</v>
      </c>
      <c r="P147" s="164">
        <v>2000</v>
      </c>
      <c r="Q147" s="240">
        <v>3000</v>
      </c>
      <c r="R147" s="240">
        <v>3000</v>
      </c>
      <c r="S147" s="240">
        <v>3000</v>
      </c>
      <c r="T147" s="240">
        <v>3000</v>
      </c>
      <c r="U147" s="240">
        <v>3000</v>
      </c>
    </row>
    <row r="148" spans="1:21" ht="24" customHeight="1">
      <c r="B148" s="1" t="s">
        <v>204</v>
      </c>
      <c r="C148" s="89"/>
      <c r="D148" s="89"/>
      <c r="E148" s="1" t="s">
        <v>1128</v>
      </c>
      <c r="F148" s="89"/>
      <c r="G148" s="89"/>
      <c r="H148" s="89"/>
      <c r="I148" s="89"/>
      <c r="J148" s="89"/>
      <c r="K148" s="89"/>
      <c r="L148" s="89"/>
      <c r="M148" s="240">
        <v>4659</v>
      </c>
      <c r="N148" s="240">
        <v>6865</v>
      </c>
      <c r="O148" s="164">
        <v>4550</v>
      </c>
      <c r="P148" s="164">
        <v>4550</v>
      </c>
      <c r="Q148" s="240">
        <v>3375</v>
      </c>
      <c r="R148" s="240">
        <v>8775</v>
      </c>
      <c r="S148" s="240">
        <v>6075</v>
      </c>
      <c r="T148" s="240">
        <v>3375</v>
      </c>
      <c r="U148" s="240">
        <v>3375</v>
      </c>
    </row>
    <row r="149" spans="1:21" ht="24" customHeight="1">
      <c r="B149" s="1" t="s">
        <v>123</v>
      </c>
      <c r="C149" s="89"/>
      <c r="D149" s="89"/>
      <c r="E149" s="1" t="s">
        <v>128</v>
      </c>
      <c r="F149" s="89"/>
      <c r="G149" s="89"/>
      <c r="H149" s="89"/>
      <c r="I149" s="89"/>
      <c r="J149" s="89"/>
      <c r="K149" s="89"/>
      <c r="L149" s="89"/>
      <c r="M149" s="240">
        <v>55494</v>
      </c>
      <c r="N149" s="240">
        <v>53119</v>
      </c>
      <c r="O149" s="164">
        <v>62348</v>
      </c>
      <c r="P149" s="164">
        <v>65000</v>
      </c>
      <c r="Q149" s="240">
        <v>78000</v>
      </c>
      <c r="R149" s="240">
        <v>83460</v>
      </c>
      <c r="S149" s="240">
        <v>89302</v>
      </c>
      <c r="T149" s="240">
        <v>95553</v>
      </c>
      <c r="U149" s="240">
        <v>102242</v>
      </c>
    </row>
    <row r="150" spans="1:21" ht="24" customHeight="1">
      <c r="B150" s="1" t="s">
        <v>122</v>
      </c>
      <c r="C150" s="89"/>
      <c r="D150" s="89"/>
      <c r="E150" s="1" t="s">
        <v>127</v>
      </c>
      <c r="F150" s="89"/>
      <c r="G150" s="89"/>
      <c r="H150" s="89"/>
      <c r="I150" s="89"/>
      <c r="J150" s="89"/>
      <c r="K150" s="89"/>
      <c r="L150" s="89"/>
      <c r="M150" s="261">
        <v>9848</v>
      </c>
      <c r="N150" s="261">
        <v>9002</v>
      </c>
      <c r="O150" s="167">
        <v>9000</v>
      </c>
      <c r="P150" s="167">
        <v>9000</v>
      </c>
      <c r="Q150" s="225">
        <v>9000</v>
      </c>
      <c r="R150" s="225">
        <v>9000</v>
      </c>
      <c r="S150" s="225">
        <v>9000</v>
      </c>
      <c r="T150" s="225">
        <v>9000</v>
      </c>
      <c r="U150" s="225">
        <v>9000</v>
      </c>
    </row>
    <row r="151" spans="1:21" s="89" customFormat="1" ht="24" customHeight="1">
      <c r="A151" s="576"/>
      <c r="B151" s="1"/>
      <c r="C151" s="689" t="s">
        <v>1201</v>
      </c>
      <c r="D151" s="689"/>
      <c r="E151" s="689"/>
      <c r="F151" s="689"/>
      <c r="G151" s="689"/>
      <c r="H151" s="689"/>
      <c r="I151" s="689"/>
      <c r="J151" s="689"/>
      <c r="K151" s="689"/>
      <c r="L151" s="689"/>
      <c r="M151" s="412">
        <f t="shared" ref="M151:U151" si="6">SUM(M113:M150)</f>
        <v>5813774</v>
      </c>
      <c r="N151" s="412">
        <f t="shared" si="6"/>
        <v>5686416</v>
      </c>
      <c r="O151" s="413">
        <f t="shared" si="6"/>
        <v>6158904</v>
      </c>
      <c r="P151" s="598">
        <f t="shared" si="6"/>
        <v>6109030</v>
      </c>
      <c r="Q151" s="412">
        <f t="shared" si="6"/>
        <v>6435737</v>
      </c>
      <c r="R151" s="412">
        <f t="shared" si="6"/>
        <v>6940660</v>
      </c>
      <c r="S151" s="412">
        <f t="shared" si="6"/>
        <v>7292293</v>
      </c>
      <c r="T151" s="412">
        <f t="shared" si="6"/>
        <v>7663308</v>
      </c>
      <c r="U151" s="412">
        <f t="shared" si="6"/>
        <v>8083504</v>
      </c>
    </row>
    <row r="152" spans="1:21" ht="15" customHeight="1">
      <c r="B152" s="302"/>
      <c r="C152" s="303"/>
      <c r="D152" s="303"/>
      <c r="E152" s="302"/>
      <c r="F152" s="303"/>
      <c r="G152" s="303"/>
      <c r="H152" s="303"/>
      <c r="I152" s="303"/>
      <c r="J152" s="303"/>
      <c r="K152" s="303"/>
      <c r="L152" s="303"/>
      <c r="M152" s="220"/>
      <c r="N152" s="220"/>
      <c r="O152" s="164"/>
      <c r="P152" s="164"/>
      <c r="Q152" s="208"/>
      <c r="R152" s="208"/>
      <c r="S152" s="208"/>
      <c r="T152" s="208"/>
      <c r="U152" s="208"/>
    </row>
    <row r="153" spans="1:21" ht="24" customHeight="1">
      <c r="B153" s="98" t="s">
        <v>476</v>
      </c>
      <c r="C153" s="89"/>
      <c r="D153" s="89"/>
      <c r="E153" s="89"/>
      <c r="F153" s="89"/>
      <c r="G153" s="89"/>
      <c r="H153" s="89"/>
      <c r="I153" s="89"/>
      <c r="J153" s="89"/>
      <c r="K153" s="89"/>
      <c r="L153" s="89"/>
      <c r="M153" s="226"/>
      <c r="N153" s="226"/>
      <c r="O153" s="168"/>
      <c r="P153" s="168"/>
      <c r="Q153" s="219"/>
      <c r="R153" s="219"/>
      <c r="S153" s="219"/>
      <c r="T153" s="219"/>
      <c r="U153" s="219"/>
    </row>
    <row r="154" spans="1:21" ht="24" customHeight="1">
      <c r="B154" s="1" t="s">
        <v>129</v>
      </c>
      <c r="C154" s="95"/>
      <c r="D154" s="95"/>
      <c r="E154" s="1" t="s">
        <v>722</v>
      </c>
      <c r="F154" s="95"/>
      <c r="G154" s="95"/>
      <c r="H154" s="95"/>
      <c r="I154" s="95"/>
      <c r="J154" s="95"/>
      <c r="K154" s="95"/>
      <c r="L154" s="95"/>
      <c r="M154" s="404">
        <v>507395</v>
      </c>
      <c r="N154" s="404">
        <v>530591</v>
      </c>
      <c r="O154" s="405">
        <v>561611</v>
      </c>
      <c r="P154" s="405">
        <v>613000</v>
      </c>
      <c r="Q154" s="404">
        <v>743420</v>
      </c>
      <c r="R154" s="404">
        <v>765723</v>
      </c>
      <c r="S154" s="404">
        <v>788695</v>
      </c>
      <c r="T154" s="404">
        <v>812356</v>
      </c>
      <c r="U154" s="404">
        <v>836727</v>
      </c>
    </row>
    <row r="155" spans="1:21" ht="24" customHeight="1">
      <c r="B155" s="1" t="s">
        <v>131</v>
      </c>
      <c r="C155" s="95"/>
      <c r="D155" s="95"/>
      <c r="E155" s="1" t="s">
        <v>8</v>
      </c>
      <c r="F155" s="95"/>
      <c r="G155" s="95"/>
      <c r="H155" s="95"/>
      <c r="I155" s="95"/>
      <c r="J155" s="95"/>
      <c r="K155" s="95"/>
      <c r="L155" s="95"/>
      <c r="M155" s="228">
        <v>50185</v>
      </c>
      <c r="N155" s="228">
        <v>59535</v>
      </c>
      <c r="O155" s="165">
        <v>58451</v>
      </c>
      <c r="P155" s="165">
        <v>63500</v>
      </c>
      <c r="Q155" s="228">
        <v>67011</v>
      </c>
      <c r="R155" s="240">
        <v>70906</v>
      </c>
      <c r="S155" s="240">
        <v>75242</v>
      </c>
      <c r="T155" s="240">
        <v>79773</v>
      </c>
      <c r="U155" s="240">
        <v>84677</v>
      </c>
    </row>
    <row r="156" spans="1:21" ht="24" customHeight="1">
      <c r="B156" s="1" t="s">
        <v>130</v>
      </c>
      <c r="C156" s="89"/>
      <c r="D156" s="89"/>
      <c r="E156" s="1" t="s">
        <v>9</v>
      </c>
      <c r="F156" s="89"/>
      <c r="G156" s="89"/>
      <c r="H156" s="89"/>
      <c r="I156" s="89"/>
      <c r="J156" s="89"/>
      <c r="K156" s="89"/>
      <c r="L156" s="89"/>
      <c r="M156" s="228">
        <v>37593</v>
      </c>
      <c r="N156" s="228">
        <v>39361</v>
      </c>
      <c r="O156" s="165">
        <v>41374</v>
      </c>
      <c r="P156" s="165">
        <v>45500</v>
      </c>
      <c r="Q156" s="228">
        <v>55572</v>
      </c>
      <c r="R156" s="228">
        <v>57239</v>
      </c>
      <c r="S156" s="228">
        <v>58956</v>
      </c>
      <c r="T156" s="228">
        <v>60725</v>
      </c>
      <c r="U156" s="228">
        <v>62547</v>
      </c>
    </row>
    <row r="157" spans="1:21" ht="24" customHeight="1">
      <c r="B157" s="1" t="s">
        <v>446</v>
      </c>
      <c r="C157" s="89"/>
      <c r="D157" s="89"/>
      <c r="E157" s="1" t="s">
        <v>13</v>
      </c>
      <c r="F157" s="89"/>
      <c r="G157" s="89"/>
      <c r="H157" s="89"/>
      <c r="I157" s="89"/>
      <c r="J157" s="89"/>
      <c r="K157" s="89"/>
      <c r="L157" s="89"/>
      <c r="M157" s="228">
        <v>93330</v>
      </c>
      <c r="N157" s="228">
        <v>76505</v>
      </c>
      <c r="O157" s="165">
        <v>85991</v>
      </c>
      <c r="P157" s="165">
        <v>87530</v>
      </c>
      <c r="Q157" s="228">
        <v>121479</v>
      </c>
      <c r="R157" s="240">
        <v>131197</v>
      </c>
      <c r="S157" s="240">
        <v>141693</v>
      </c>
      <c r="T157" s="240">
        <v>153028</v>
      </c>
      <c r="U157" s="240">
        <v>165270</v>
      </c>
    </row>
    <row r="158" spans="1:21" ht="24" customHeight="1">
      <c r="B158" s="1" t="s">
        <v>447</v>
      </c>
      <c r="C158" s="89"/>
      <c r="D158" s="89"/>
      <c r="E158" s="1" t="s">
        <v>161</v>
      </c>
      <c r="F158" s="89"/>
      <c r="G158" s="89"/>
      <c r="H158" s="89"/>
      <c r="I158" s="89"/>
      <c r="J158" s="89"/>
      <c r="K158" s="89"/>
      <c r="L158" s="89"/>
      <c r="M158" s="228">
        <v>439</v>
      </c>
      <c r="N158" s="228">
        <v>420</v>
      </c>
      <c r="O158" s="165">
        <v>707</v>
      </c>
      <c r="P158" s="165">
        <v>651</v>
      </c>
      <c r="Q158" s="228">
        <v>940</v>
      </c>
      <c r="R158" s="240">
        <v>949</v>
      </c>
      <c r="S158" s="240">
        <v>958</v>
      </c>
      <c r="T158" s="240">
        <v>968</v>
      </c>
      <c r="U158" s="240">
        <v>978</v>
      </c>
    </row>
    <row r="159" spans="1:21" ht="24" customHeight="1">
      <c r="B159" s="1" t="s">
        <v>448</v>
      </c>
      <c r="C159" s="89"/>
      <c r="D159" s="89"/>
      <c r="E159" s="1" t="s">
        <v>461</v>
      </c>
      <c r="F159" s="89"/>
      <c r="G159" s="89"/>
      <c r="H159" s="89"/>
      <c r="I159" s="89"/>
      <c r="J159" s="89"/>
      <c r="K159" s="89"/>
      <c r="L159" s="89"/>
      <c r="M159" s="228">
        <v>7052</v>
      </c>
      <c r="N159" s="228">
        <v>6371</v>
      </c>
      <c r="O159" s="165">
        <v>7034</v>
      </c>
      <c r="P159" s="165">
        <v>7474</v>
      </c>
      <c r="Q159" s="228">
        <v>9733</v>
      </c>
      <c r="R159" s="240">
        <v>10220</v>
      </c>
      <c r="S159" s="240">
        <v>10731</v>
      </c>
      <c r="T159" s="240">
        <v>11268</v>
      </c>
      <c r="U159" s="240">
        <v>11831</v>
      </c>
    </row>
    <row r="160" spans="1:21" ht="24" customHeight="1">
      <c r="B160" s="1" t="s">
        <v>466</v>
      </c>
      <c r="C160" s="89"/>
      <c r="D160" s="89"/>
      <c r="E160" s="1" t="s">
        <v>463</v>
      </c>
      <c r="F160" s="89"/>
      <c r="G160" s="89"/>
      <c r="H160" s="89"/>
      <c r="I160" s="89"/>
      <c r="J160" s="89"/>
      <c r="K160" s="89"/>
      <c r="L160" s="89"/>
      <c r="M160" s="228">
        <v>1081</v>
      </c>
      <c r="N160" s="228">
        <v>1081</v>
      </c>
      <c r="O160" s="164">
        <v>1115</v>
      </c>
      <c r="P160" s="165">
        <v>1186</v>
      </c>
      <c r="Q160" s="240">
        <v>1499</v>
      </c>
      <c r="R160" s="240">
        <v>1544</v>
      </c>
      <c r="S160" s="240">
        <v>1590</v>
      </c>
      <c r="T160" s="240">
        <v>1638</v>
      </c>
      <c r="U160" s="240">
        <v>1687</v>
      </c>
    </row>
    <row r="161" spans="2:21" ht="24" customHeight="1">
      <c r="B161" s="1" t="s">
        <v>138</v>
      </c>
      <c r="C161" s="95"/>
      <c r="D161" s="95"/>
      <c r="E161" s="1" t="s">
        <v>86</v>
      </c>
      <c r="F161" s="95"/>
      <c r="G161" s="95"/>
      <c r="H161" s="95"/>
      <c r="I161" s="95"/>
      <c r="J161" s="95"/>
      <c r="K161" s="95"/>
      <c r="L161" s="95"/>
      <c r="M161" s="240">
        <v>1624</v>
      </c>
      <c r="N161" s="240">
        <v>3277</v>
      </c>
      <c r="O161" s="164">
        <v>7300</v>
      </c>
      <c r="P161" s="164">
        <v>4500</v>
      </c>
      <c r="Q161" s="240">
        <v>7850</v>
      </c>
      <c r="R161" s="240">
        <v>7850</v>
      </c>
      <c r="S161" s="240">
        <v>7850</v>
      </c>
      <c r="T161" s="240">
        <v>7850</v>
      </c>
      <c r="U161" s="240">
        <v>7850</v>
      </c>
    </row>
    <row r="162" spans="2:21" ht="24" customHeight="1">
      <c r="B162" s="1" t="s">
        <v>137</v>
      </c>
      <c r="C162" s="89"/>
      <c r="D162" s="89"/>
      <c r="E162" s="1" t="s">
        <v>828</v>
      </c>
      <c r="F162" s="89"/>
      <c r="G162" s="89"/>
      <c r="H162" s="89"/>
      <c r="I162" s="89"/>
      <c r="J162" s="89"/>
      <c r="K162" s="89"/>
      <c r="L162" s="89"/>
      <c r="M162" s="240">
        <v>40</v>
      </c>
      <c r="N162" s="240">
        <v>3</v>
      </c>
      <c r="O162" s="164">
        <v>6500</v>
      </c>
      <c r="P162" s="164">
        <v>3000</v>
      </c>
      <c r="Q162" s="240">
        <v>7000</v>
      </c>
      <c r="R162" s="240">
        <v>7000</v>
      </c>
      <c r="S162" s="240">
        <v>7000</v>
      </c>
      <c r="T162" s="240">
        <v>7000</v>
      </c>
      <c r="U162" s="240">
        <v>7000</v>
      </c>
    </row>
    <row r="163" spans="2:21" ht="24" customHeight="1">
      <c r="B163" s="1" t="s">
        <v>1034</v>
      </c>
      <c r="C163" s="89"/>
      <c r="D163" s="89"/>
      <c r="E163" s="1" t="s">
        <v>785</v>
      </c>
      <c r="F163" s="89"/>
      <c r="G163" s="89"/>
      <c r="H163" s="89"/>
      <c r="I163" s="89"/>
      <c r="J163" s="89"/>
      <c r="K163" s="89"/>
      <c r="L163" s="89"/>
      <c r="M163" s="240">
        <v>0</v>
      </c>
      <c r="N163" s="240">
        <v>0</v>
      </c>
      <c r="O163" s="164">
        <v>31000</v>
      </c>
      <c r="P163" s="164">
        <v>109154</v>
      </c>
      <c r="Q163" s="240">
        <v>0</v>
      </c>
      <c r="R163" s="240">
        <v>0</v>
      </c>
      <c r="S163" s="240">
        <v>0</v>
      </c>
      <c r="T163" s="240">
        <v>0</v>
      </c>
      <c r="U163" s="240">
        <v>0</v>
      </c>
    </row>
    <row r="164" spans="2:21" ht="24" customHeight="1">
      <c r="B164" s="1" t="s">
        <v>1048</v>
      </c>
      <c r="C164" s="89"/>
      <c r="D164" s="89"/>
      <c r="E164" s="316" t="s">
        <v>1045</v>
      </c>
      <c r="F164" s="89"/>
      <c r="G164" s="89"/>
      <c r="H164" s="89"/>
      <c r="I164" s="89"/>
      <c r="J164" s="89"/>
      <c r="K164" s="89"/>
      <c r="L164" s="89"/>
      <c r="M164" s="228">
        <v>3115</v>
      </c>
      <c r="N164" s="228">
        <v>0</v>
      </c>
      <c r="O164" s="165">
        <v>0</v>
      </c>
      <c r="P164" s="165">
        <v>0</v>
      </c>
      <c r="Q164" s="228">
        <v>8518</v>
      </c>
      <c r="R164" s="228">
        <v>1394</v>
      </c>
      <c r="S164" s="228">
        <v>3342</v>
      </c>
      <c r="T164" s="240">
        <v>9308</v>
      </c>
      <c r="U164" s="228">
        <v>1523</v>
      </c>
    </row>
    <row r="165" spans="2:21" ht="24" customHeight="1">
      <c r="B165" s="1" t="s">
        <v>136</v>
      </c>
      <c r="C165" s="95"/>
      <c r="D165" s="95"/>
      <c r="E165" s="1" t="s">
        <v>85</v>
      </c>
      <c r="F165" s="95"/>
      <c r="G165" s="95"/>
      <c r="H165" s="95"/>
      <c r="I165" s="95"/>
      <c r="J165" s="95"/>
      <c r="K165" s="95"/>
      <c r="L165" s="95"/>
      <c r="M165" s="240">
        <v>2308</v>
      </c>
      <c r="N165" s="240">
        <v>696</v>
      </c>
      <c r="O165" s="164">
        <v>2500</v>
      </c>
      <c r="P165" s="164">
        <v>2500</v>
      </c>
      <c r="Q165" s="240">
        <v>2500</v>
      </c>
      <c r="R165" s="240">
        <v>2500</v>
      </c>
      <c r="S165" s="240">
        <v>2500</v>
      </c>
      <c r="T165" s="240">
        <v>2500</v>
      </c>
      <c r="U165" s="240">
        <v>2500</v>
      </c>
    </row>
    <row r="166" spans="2:21" ht="24" customHeight="1">
      <c r="B166" s="1" t="s">
        <v>135</v>
      </c>
      <c r="C166" s="89"/>
      <c r="D166" s="89"/>
      <c r="E166" s="1" t="s">
        <v>829</v>
      </c>
      <c r="F166" s="89"/>
      <c r="G166" s="89"/>
      <c r="H166" s="89"/>
      <c r="I166" s="89"/>
      <c r="J166" s="89"/>
      <c r="K166" s="89"/>
      <c r="L166" s="89"/>
      <c r="M166" s="240">
        <v>1110</v>
      </c>
      <c r="N166" s="240">
        <v>1007</v>
      </c>
      <c r="O166" s="164">
        <v>1500</v>
      </c>
      <c r="P166" s="164">
        <v>1100</v>
      </c>
      <c r="Q166" s="223">
        <v>3000</v>
      </c>
      <c r="R166" s="240">
        <v>3000</v>
      </c>
      <c r="S166" s="240">
        <v>3000</v>
      </c>
      <c r="T166" s="240">
        <v>3000</v>
      </c>
      <c r="U166" s="240">
        <v>3000</v>
      </c>
    </row>
    <row r="167" spans="2:21" ht="24" customHeight="1">
      <c r="B167" s="1" t="s">
        <v>134</v>
      </c>
      <c r="C167" s="95"/>
      <c r="D167" s="95"/>
      <c r="E167" s="1" t="s">
        <v>209</v>
      </c>
      <c r="F167" s="95"/>
      <c r="G167" s="95"/>
      <c r="H167" s="95"/>
      <c r="I167" s="95"/>
      <c r="J167" s="95"/>
      <c r="K167" s="95"/>
      <c r="L167" s="95"/>
      <c r="M167" s="240">
        <v>3229</v>
      </c>
      <c r="N167" s="240">
        <v>2986</v>
      </c>
      <c r="O167" s="164">
        <v>4000</v>
      </c>
      <c r="P167" s="164">
        <v>4000</v>
      </c>
      <c r="Q167" s="240">
        <v>5000</v>
      </c>
      <c r="R167" s="240">
        <v>5000</v>
      </c>
      <c r="S167" s="240">
        <v>5000</v>
      </c>
      <c r="T167" s="240">
        <v>5000</v>
      </c>
      <c r="U167" s="240">
        <v>5000</v>
      </c>
    </row>
    <row r="168" spans="2:21" ht="24" customHeight="1">
      <c r="B168" s="1" t="s">
        <v>133</v>
      </c>
      <c r="C168" s="89"/>
      <c r="D168" s="89"/>
      <c r="E168" s="1" t="s">
        <v>84</v>
      </c>
      <c r="F168" s="89"/>
      <c r="G168" s="89"/>
      <c r="H168" s="89"/>
      <c r="I168" s="89"/>
      <c r="J168" s="89"/>
      <c r="K168" s="89"/>
      <c r="L168" s="89"/>
      <c r="M168" s="240">
        <v>324</v>
      </c>
      <c r="N168" s="240">
        <v>103</v>
      </c>
      <c r="O168" s="164">
        <v>500</v>
      </c>
      <c r="P168" s="164">
        <v>500</v>
      </c>
      <c r="Q168" s="240">
        <v>500</v>
      </c>
      <c r="R168" s="240">
        <v>1000</v>
      </c>
      <c r="S168" s="240">
        <v>1000</v>
      </c>
      <c r="T168" s="240">
        <v>1000</v>
      </c>
      <c r="U168" s="240">
        <v>1000</v>
      </c>
    </row>
    <row r="169" spans="2:21" ht="24" customHeight="1">
      <c r="B169" s="1" t="s">
        <v>211</v>
      </c>
      <c r="C169" s="89"/>
      <c r="D169" s="89"/>
      <c r="E169" s="304" t="s">
        <v>212</v>
      </c>
      <c r="F169" s="89"/>
      <c r="G169" s="89"/>
      <c r="H169" s="89"/>
      <c r="I169" s="89"/>
      <c r="J169" s="89"/>
      <c r="K169" s="89"/>
      <c r="L169" s="89"/>
      <c r="M169" s="240">
        <v>40010</v>
      </c>
      <c r="N169" s="240">
        <v>79895</v>
      </c>
      <c r="O169" s="164">
        <v>70000</v>
      </c>
      <c r="P169" s="164">
        <v>150000</v>
      </c>
      <c r="Q169" s="240">
        <v>90000</v>
      </c>
      <c r="R169" s="240">
        <v>90000</v>
      </c>
      <c r="S169" s="240">
        <v>90000</v>
      </c>
      <c r="T169" s="240">
        <v>90000</v>
      </c>
      <c r="U169" s="240">
        <v>90000</v>
      </c>
    </row>
    <row r="170" spans="2:21" ht="24" customHeight="1">
      <c r="B170" s="1" t="s">
        <v>189</v>
      </c>
      <c r="C170" s="95"/>
      <c r="D170" s="95"/>
      <c r="E170" s="1" t="s">
        <v>830</v>
      </c>
      <c r="F170" s="95"/>
      <c r="G170" s="95"/>
      <c r="H170" s="89"/>
      <c r="I170" s="89"/>
      <c r="J170" s="89"/>
      <c r="K170" s="89"/>
      <c r="L170" s="89"/>
      <c r="M170" s="240">
        <v>3391</v>
      </c>
      <c r="N170" s="240">
        <v>1990</v>
      </c>
      <c r="O170" s="164">
        <v>2750</v>
      </c>
      <c r="P170" s="164">
        <v>2750</v>
      </c>
      <c r="Q170" s="240">
        <v>3500</v>
      </c>
      <c r="R170" s="240">
        <v>3500</v>
      </c>
      <c r="S170" s="240">
        <v>3500</v>
      </c>
      <c r="T170" s="240">
        <v>3500</v>
      </c>
      <c r="U170" s="240">
        <v>3500</v>
      </c>
    </row>
    <row r="171" spans="2:21" ht="24" customHeight="1">
      <c r="B171" s="1" t="s">
        <v>132</v>
      </c>
      <c r="C171" s="89"/>
      <c r="D171" s="89"/>
      <c r="E171" s="304" t="s">
        <v>10</v>
      </c>
      <c r="F171" s="89"/>
      <c r="G171" s="89"/>
      <c r="H171" s="89"/>
      <c r="I171" s="89"/>
      <c r="J171" s="89"/>
      <c r="K171" s="89"/>
      <c r="L171" s="161"/>
      <c r="M171" s="240">
        <v>49443</v>
      </c>
      <c r="N171" s="240">
        <v>8368</v>
      </c>
      <c r="O171" s="164">
        <v>89280</v>
      </c>
      <c r="P171" s="164">
        <v>40000</v>
      </c>
      <c r="Q171" s="240">
        <v>75000</v>
      </c>
      <c r="R171" s="240">
        <v>15000</v>
      </c>
      <c r="S171" s="240">
        <v>15000</v>
      </c>
      <c r="T171" s="240">
        <v>15000</v>
      </c>
      <c r="U171" s="240">
        <v>15000</v>
      </c>
    </row>
    <row r="172" spans="2:21" ht="24" customHeight="1">
      <c r="B172" s="1" t="s">
        <v>515</v>
      </c>
      <c r="C172" s="95"/>
      <c r="D172" s="95"/>
      <c r="E172" s="304" t="s">
        <v>81</v>
      </c>
      <c r="F172" s="95"/>
      <c r="G172" s="95"/>
      <c r="H172" s="95"/>
      <c r="I172" s="95"/>
      <c r="J172" s="95"/>
      <c r="K172" s="95"/>
      <c r="L172" s="95"/>
      <c r="M172" s="240">
        <v>2269</v>
      </c>
      <c r="N172" s="240">
        <v>2269</v>
      </c>
      <c r="O172" s="164">
        <v>3150</v>
      </c>
      <c r="P172" s="164">
        <v>3150</v>
      </c>
      <c r="Q172" s="223">
        <v>5500</v>
      </c>
      <c r="R172" s="208">
        <v>5500</v>
      </c>
      <c r="S172" s="208">
        <v>5500</v>
      </c>
      <c r="T172" s="208">
        <v>5500</v>
      </c>
      <c r="U172" s="208">
        <v>5500</v>
      </c>
    </row>
    <row r="173" spans="2:21" ht="24" customHeight="1">
      <c r="B173" s="343" t="s">
        <v>1161</v>
      </c>
      <c r="C173" s="342"/>
      <c r="D173" s="342"/>
      <c r="E173" s="343" t="s">
        <v>767</v>
      </c>
      <c r="F173" s="342"/>
      <c r="G173" s="342"/>
      <c r="H173" s="342"/>
      <c r="I173" s="342"/>
      <c r="J173" s="342"/>
      <c r="K173" s="342"/>
      <c r="L173" s="342"/>
      <c r="M173" s="240">
        <v>0</v>
      </c>
      <c r="N173" s="240">
        <v>1461</v>
      </c>
      <c r="O173" s="164">
        <v>4500</v>
      </c>
      <c r="P173" s="164">
        <v>3000</v>
      </c>
      <c r="Q173" s="240">
        <v>4725</v>
      </c>
      <c r="R173" s="240">
        <v>4725</v>
      </c>
      <c r="S173" s="240">
        <v>4725</v>
      </c>
      <c r="T173" s="240">
        <v>4725</v>
      </c>
      <c r="U173" s="240">
        <v>4725</v>
      </c>
    </row>
    <row r="174" spans="2:21" ht="24" customHeight="1">
      <c r="B174" s="1" t="s">
        <v>140</v>
      </c>
      <c r="C174" s="95"/>
      <c r="D174" s="95"/>
      <c r="E174" s="1" t="s">
        <v>11</v>
      </c>
      <c r="F174" s="95"/>
      <c r="G174" s="95"/>
      <c r="H174" s="95"/>
      <c r="I174" s="95"/>
      <c r="J174" s="95"/>
      <c r="K174" s="95"/>
      <c r="L174" s="95"/>
      <c r="M174" s="240">
        <v>971</v>
      </c>
      <c r="N174" s="240">
        <v>916</v>
      </c>
      <c r="O174" s="164">
        <v>1500</v>
      </c>
      <c r="P174" s="164">
        <v>1500</v>
      </c>
      <c r="Q174" s="240">
        <v>2000</v>
      </c>
      <c r="R174" s="208">
        <v>2000</v>
      </c>
      <c r="S174" s="208">
        <v>2000</v>
      </c>
      <c r="T174" s="208">
        <v>2000</v>
      </c>
      <c r="U174" s="208">
        <v>2000</v>
      </c>
    </row>
    <row r="175" spans="2:21" ht="24" customHeight="1">
      <c r="B175" s="1" t="s">
        <v>139</v>
      </c>
      <c r="C175" s="89"/>
      <c r="D175" s="89"/>
      <c r="E175" s="1" t="s">
        <v>12</v>
      </c>
      <c r="F175" s="89"/>
      <c r="G175" s="89"/>
      <c r="H175" s="89"/>
      <c r="I175" s="89"/>
      <c r="J175" s="89"/>
      <c r="K175" s="89"/>
      <c r="L175" s="89"/>
      <c r="M175" s="240">
        <v>7958</v>
      </c>
      <c r="N175" s="240">
        <v>7248</v>
      </c>
      <c r="O175" s="164">
        <v>5000</v>
      </c>
      <c r="P175" s="164">
        <v>5000</v>
      </c>
      <c r="Q175" s="240">
        <v>18250</v>
      </c>
      <c r="R175" s="240">
        <v>5000</v>
      </c>
      <c r="S175" s="240">
        <v>5000</v>
      </c>
      <c r="T175" s="240">
        <v>5000</v>
      </c>
      <c r="U175" s="240">
        <v>5000</v>
      </c>
    </row>
    <row r="176" spans="2:21" ht="24" customHeight="1">
      <c r="B176" s="1" t="s">
        <v>533</v>
      </c>
      <c r="C176" s="95"/>
      <c r="D176" s="95"/>
      <c r="E176" s="363" t="s">
        <v>128</v>
      </c>
      <c r="F176" s="95"/>
      <c r="G176" s="95"/>
      <c r="H176" s="95"/>
      <c r="I176" s="95"/>
      <c r="J176" s="95"/>
      <c r="K176" s="95"/>
      <c r="L176" s="95"/>
      <c r="M176" s="261">
        <v>3483</v>
      </c>
      <c r="N176" s="261">
        <v>4015</v>
      </c>
      <c r="O176" s="167">
        <v>4752</v>
      </c>
      <c r="P176" s="167">
        <v>4752</v>
      </c>
      <c r="Q176" s="261">
        <v>7750</v>
      </c>
      <c r="R176" s="261">
        <v>8293</v>
      </c>
      <c r="S176" s="261">
        <v>8874</v>
      </c>
      <c r="T176" s="261">
        <v>9495</v>
      </c>
      <c r="U176" s="261">
        <v>10160</v>
      </c>
    </row>
    <row r="177" spans="1:21" s="89" customFormat="1" ht="24" customHeight="1">
      <c r="A177" s="576"/>
      <c r="B177" s="1"/>
      <c r="C177" s="689" t="s">
        <v>1202</v>
      </c>
      <c r="D177" s="689"/>
      <c r="E177" s="689"/>
      <c r="F177" s="689"/>
      <c r="G177" s="689"/>
      <c r="H177" s="689"/>
      <c r="I177" s="689"/>
      <c r="J177" s="689"/>
      <c r="K177" s="689"/>
      <c r="L177" s="689"/>
      <c r="M177" s="412">
        <f t="shared" ref="M177:U177" si="7">SUM(M154:M176)</f>
        <v>816350</v>
      </c>
      <c r="N177" s="412">
        <f t="shared" si="7"/>
        <v>828098</v>
      </c>
      <c r="O177" s="413">
        <f t="shared" si="7"/>
        <v>990515</v>
      </c>
      <c r="P177" s="598">
        <f t="shared" si="7"/>
        <v>1153747</v>
      </c>
      <c r="Q177" s="412">
        <f t="shared" si="7"/>
        <v>1240747</v>
      </c>
      <c r="R177" s="412">
        <f t="shared" si="7"/>
        <v>1199540</v>
      </c>
      <c r="S177" s="412">
        <f t="shared" si="7"/>
        <v>1242156</v>
      </c>
      <c r="T177" s="412">
        <f t="shared" si="7"/>
        <v>1290634</v>
      </c>
      <c r="U177" s="412">
        <f t="shared" si="7"/>
        <v>1327475</v>
      </c>
    </row>
    <row r="178" spans="1:21" ht="15" customHeight="1">
      <c r="B178" s="302"/>
      <c r="C178" s="301"/>
      <c r="D178" s="301"/>
      <c r="E178" s="302"/>
      <c r="F178" s="301"/>
      <c r="G178" s="301"/>
      <c r="H178" s="301"/>
      <c r="I178" s="301"/>
      <c r="J178" s="301"/>
      <c r="K178" s="301"/>
      <c r="L178" s="301"/>
      <c r="M178" s="220"/>
      <c r="N178" s="220"/>
      <c r="O178" s="164"/>
      <c r="P178" s="164"/>
      <c r="Q178" s="208"/>
      <c r="R178" s="208"/>
      <c r="S178" s="208"/>
      <c r="T178" s="208"/>
      <c r="U178" s="208"/>
    </row>
    <row r="179" spans="1:21" ht="24" customHeight="1">
      <c r="B179" s="98" t="s">
        <v>888</v>
      </c>
      <c r="C179" s="89"/>
      <c r="D179" s="89"/>
      <c r="E179" s="89"/>
      <c r="F179" s="89"/>
      <c r="G179" s="89"/>
      <c r="H179" s="89"/>
      <c r="I179" s="89"/>
      <c r="J179" s="89"/>
      <c r="K179" s="89"/>
      <c r="L179" s="89"/>
      <c r="M179" s="226"/>
      <c r="N179" s="226"/>
      <c r="O179" s="168"/>
      <c r="P179" s="168"/>
      <c r="Q179" s="219"/>
      <c r="R179" s="219"/>
      <c r="S179" s="219"/>
      <c r="T179" s="219"/>
      <c r="U179" s="219"/>
    </row>
    <row r="180" spans="1:21" ht="24" customHeight="1">
      <c r="B180" s="1" t="s">
        <v>142</v>
      </c>
      <c r="C180" s="95"/>
      <c r="D180" s="95"/>
      <c r="E180" s="1" t="s">
        <v>722</v>
      </c>
      <c r="F180" s="95"/>
      <c r="G180" s="95"/>
      <c r="H180" s="95"/>
      <c r="I180" s="95"/>
      <c r="J180" s="95"/>
      <c r="K180" s="95"/>
      <c r="L180" s="95"/>
      <c r="M180" s="404">
        <v>380160</v>
      </c>
      <c r="N180" s="404">
        <v>435874</v>
      </c>
      <c r="O180" s="405">
        <v>560857</v>
      </c>
      <c r="P180" s="405">
        <v>530000</v>
      </c>
      <c r="Q180" s="404">
        <v>589189</v>
      </c>
      <c r="R180" s="404">
        <v>606865</v>
      </c>
      <c r="S180" s="404">
        <v>625071</v>
      </c>
      <c r="T180" s="404">
        <v>643823</v>
      </c>
      <c r="U180" s="404">
        <v>663138</v>
      </c>
    </row>
    <row r="181" spans="1:21" ht="24" customHeight="1">
      <c r="B181" s="1" t="s">
        <v>892</v>
      </c>
      <c r="C181" s="95"/>
      <c r="D181" s="95"/>
      <c r="E181" s="1" t="s">
        <v>66</v>
      </c>
      <c r="F181" s="95"/>
      <c r="G181" s="95"/>
      <c r="H181" s="95"/>
      <c r="I181" s="95"/>
      <c r="J181" s="95"/>
      <c r="K181" s="95"/>
      <c r="L181" s="95"/>
      <c r="M181" s="228">
        <v>11665</v>
      </c>
      <c r="N181" s="228">
        <v>0</v>
      </c>
      <c r="O181" s="165">
        <v>13440</v>
      </c>
      <c r="P181" s="165">
        <v>3870</v>
      </c>
      <c r="Q181" s="606">
        <v>16800</v>
      </c>
      <c r="R181" s="228">
        <v>16800</v>
      </c>
      <c r="S181" s="228">
        <v>16800</v>
      </c>
      <c r="T181" s="228">
        <v>16800</v>
      </c>
      <c r="U181" s="228">
        <v>16800</v>
      </c>
    </row>
    <row r="182" spans="1:21" ht="24" customHeight="1">
      <c r="B182" s="1" t="s">
        <v>141</v>
      </c>
      <c r="C182" s="95"/>
      <c r="D182" s="95"/>
      <c r="E182" s="1" t="s">
        <v>14</v>
      </c>
      <c r="F182" s="95"/>
      <c r="G182" s="95"/>
      <c r="H182" s="95"/>
      <c r="I182" s="95"/>
      <c r="J182" s="95"/>
      <c r="K182" s="95"/>
      <c r="L182" s="95"/>
      <c r="M182" s="240">
        <v>21570</v>
      </c>
      <c r="N182" s="240">
        <v>30447</v>
      </c>
      <c r="O182" s="164">
        <v>22500</v>
      </c>
      <c r="P182" s="164">
        <v>22500</v>
      </c>
      <c r="Q182" s="240">
        <v>22500</v>
      </c>
      <c r="R182" s="240">
        <v>22500</v>
      </c>
      <c r="S182" s="240">
        <v>22500</v>
      </c>
      <c r="T182" s="240">
        <v>22500</v>
      </c>
      <c r="U182" s="240">
        <v>22500</v>
      </c>
    </row>
    <row r="183" spans="1:21" ht="24" customHeight="1">
      <c r="B183" s="1" t="s">
        <v>144</v>
      </c>
      <c r="C183" s="95"/>
      <c r="D183" s="95"/>
      <c r="E183" s="1" t="s">
        <v>8</v>
      </c>
      <c r="F183" s="95"/>
      <c r="G183" s="95"/>
      <c r="H183" s="95"/>
      <c r="I183" s="95"/>
      <c r="J183" s="95"/>
      <c r="K183" s="95"/>
      <c r="L183" s="95"/>
      <c r="M183" s="228">
        <v>39814</v>
      </c>
      <c r="N183" s="228">
        <v>50696</v>
      </c>
      <c r="O183" s="165">
        <v>60715</v>
      </c>
      <c r="P183" s="165">
        <v>59000</v>
      </c>
      <c r="Q183" s="228">
        <v>55137</v>
      </c>
      <c r="R183" s="240">
        <v>58279</v>
      </c>
      <c r="S183" s="240">
        <v>61778</v>
      </c>
      <c r="T183" s="240">
        <v>65433</v>
      </c>
      <c r="U183" s="240">
        <v>69387</v>
      </c>
    </row>
    <row r="184" spans="1:21" ht="24" customHeight="1">
      <c r="B184" s="1" t="s">
        <v>143</v>
      </c>
      <c r="C184" s="89"/>
      <c r="D184" s="89"/>
      <c r="E184" s="1" t="s">
        <v>9</v>
      </c>
      <c r="F184" s="89"/>
      <c r="G184" s="89"/>
      <c r="H184" s="89"/>
      <c r="I184" s="89"/>
      <c r="J184" s="89"/>
      <c r="K184" s="89"/>
      <c r="L184" s="89"/>
      <c r="M184" s="228">
        <v>30153</v>
      </c>
      <c r="N184" s="228">
        <v>33576</v>
      </c>
      <c r="O184" s="165">
        <v>43565</v>
      </c>
      <c r="P184" s="165">
        <v>43565</v>
      </c>
      <c r="Q184" s="228">
        <v>46684</v>
      </c>
      <c r="R184" s="228">
        <v>48085</v>
      </c>
      <c r="S184" s="228">
        <v>49528</v>
      </c>
      <c r="T184" s="228">
        <v>51014</v>
      </c>
      <c r="U184" s="228">
        <v>52544</v>
      </c>
    </row>
    <row r="185" spans="1:21" ht="24" customHeight="1">
      <c r="B185" s="1" t="s">
        <v>449</v>
      </c>
      <c r="C185" s="89"/>
      <c r="D185" s="89"/>
      <c r="E185" s="1" t="s">
        <v>13</v>
      </c>
      <c r="F185" s="89"/>
      <c r="G185" s="89"/>
      <c r="H185" s="89"/>
      <c r="I185" s="89"/>
      <c r="J185" s="89"/>
      <c r="K185" s="89"/>
      <c r="L185" s="89"/>
      <c r="M185" s="228">
        <v>107865</v>
      </c>
      <c r="N185" s="228">
        <v>111839</v>
      </c>
      <c r="O185" s="165">
        <v>156120</v>
      </c>
      <c r="P185" s="165">
        <v>128886</v>
      </c>
      <c r="Q185" s="228">
        <v>150660</v>
      </c>
      <c r="R185" s="228">
        <v>162713</v>
      </c>
      <c r="S185" s="228">
        <v>175730</v>
      </c>
      <c r="T185" s="228">
        <v>189788</v>
      </c>
      <c r="U185" s="228">
        <v>204971</v>
      </c>
    </row>
    <row r="186" spans="1:21" ht="24" customHeight="1">
      <c r="B186" s="1" t="s">
        <v>450</v>
      </c>
      <c r="C186" s="89"/>
      <c r="D186" s="89"/>
      <c r="E186" s="1" t="s">
        <v>161</v>
      </c>
      <c r="F186" s="89"/>
      <c r="G186" s="89"/>
      <c r="H186" s="89"/>
      <c r="I186" s="89"/>
      <c r="J186" s="89"/>
      <c r="K186" s="89"/>
      <c r="L186" s="89"/>
      <c r="M186" s="228">
        <v>391</v>
      </c>
      <c r="N186" s="228">
        <v>437</v>
      </c>
      <c r="O186" s="165">
        <v>941</v>
      </c>
      <c r="P186" s="165">
        <v>1072</v>
      </c>
      <c r="Q186" s="228">
        <v>799</v>
      </c>
      <c r="R186" s="240">
        <v>807</v>
      </c>
      <c r="S186" s="240">
        <v>815</v>
      </c>
      <c r="T186" s="240">
        <v>823</v>
      </c>
      <c r="U186" s="240">
        <v>831</v>
      </c>
    </row>
    <row r="187" spans="1:21" ht="24" customHeight="1">
      <c r="B187" s="1" t="s">
        <v>451</v>
      </c>
      <c r="C187" s="89"/>
      <c r="D187" s="89"/>
      <c r="E187" s="1" t="s">
        <v>461</v>
      </c>
      <c r="F187" s="89"/>
      <c r="G187" s="89"/>
      <c r="H187" s="89"/>
      <c r="I187" s="89"/>
      <c r="J187" s="89"/>
      <c r="K187" s="89"/>
      <c r="L187" s="89"/>
      <c r="M187" s="228">
        <v>7256</v>
      </c>
      <c r="N187" s="228">
        <v>7171</v>
      </c>
      <c r="O187" s="165">
        <v>10663</v>
      </c>
      <c r="P187" s="165">
        <v>8601</v>
      </c>
      <c r="Q187" s="228">
        <v>10908</v>
      </c>
      <c r="R187" s="240">
        <v>11453</v>
      </c>
      <c r="S187" s="240">
        <v>12026</v>
      </c>
      <c r="T187" s="240">
        <v>12627</v>
      </c>
      <c r="U187" s="240">
        <v>13258</v>
      </c>
    </row>
    <row r="188" spans="1:21" ht="24" customHeight="1">
      <c r="B188" s="1" t="s">
        <v>467</v>
      </c>
      <c r="C188" s="89"/>
      <c r="D188" s="89"/>
      <c r="E188" s="1" t="s">
        <v>463</v>
      </c>
      <c r="F188" s="89"/>
      <c r="G188" s="89"/>
      <c r="H188" s="89"/>
      <c r="I188" s="89"/>
      <c r="J188" s="89"/>
      <c r="K188" s="89"/>
      <c r="L188" s="89"/>
      <c r="M188" s="228">
        <v>1018</v>
      </c>
      <c r="N188" s="228">
        <v>1149</v>
      </c>
      <c r="O188" s="164">
        <v>1576</v>
      </c>
      <c r="P188" s="165">
        <v>1267</v>
      </c>
      <c r="Q188" s="240">
        <v>1728</v>
      </c>
      <c r="R188" s="240">
        <v>1780</v>
      </c>
      <c r="S188" s="240">
        <v>1833</v>
      </c>
      <c r="T188" s="240">
        <v>1888</v>
      </c>
      <c r="U188" s="240">
        <v>1945</v>
      </c>
    </row>
    <row r="189" spans="1:21" ht="24" customHeight="1">
      <c r="B189" s="1" t="s">
        <v>148</v>
      </c>
      <c r="C189" s="95"/>
      <c r="D189" s="95"/>
      <c r="E189" s="1" t="s">
        <v>86</v>
      </c>
      <c r="F189" s="95"/>
      <c r="G189" s="95"/>
      <c r="H189" s="95"/>
      <c r="I189" s="95"/>
      <c r="J189" s="95"/>
      <c r="K189" s="95"/>
      <c r="L189" s="95"/>
      <c r="M189" s="240">
        <v>2423</v>
      </c>
      <c r="N189" s="240">
        <v>210</v>
      </c>
      <c r="O189" s="164">
        <v>6000</v>
      </c>
      <c r="P189" s="164">
        <v>3000</v>
      </c>
      <c r="Q189" s="240">
        <v>6000</v>
      </c>
      <c r="R189" s="240">
        <v>6000</v>
      </c>
      <c r="S189" s="240">
        <v>6000</v>
      </c>
      <c r="T189" s="240">
        <v>6000</v>
      </c>
      <c r="U189" s="240">
        <v>6000</v>
      </c>
    </row>
    <row r="190" spans="1:21" ht="24" customHeight="1">
      <c r="B190" s="1" t="s">
        <v>956</v>
      </c>
      <c r="C190" s="95"/>
      <c r="D190" s="95"/>
      <c r="E190" s="1" t="s">
        <v>828</v>
      </c>
      <c r="F190" s="95"/>
      <c r="G190" s="95"/>
      <c r="H190" s="95"/>
      <c r="I190" s="95"/>
      <c r="J190" s="95"/>
      <c r="K190" s="95"/>
      <c r="L190" s="95"/>
      <c r="M190" s="240">
        <v>750</v>
      </c>
      <c r="N190" s="240">
        <v>70</v>
      </c>
      <c r="O190" s="164">
        <v>3000</v>
      </c>
      <c r="P190" s="164">
        <v>1000</v>
      </c>
      <c r="Q190" s="240">
        <v>3000</v>
      </c>
      <c r="R190" s="240">
        <v>3000</v>
      </c>
      <c r="S190" s="240">
        <v>3000</v>
      </c>
      <c r="T190" s="240">
        <v>3000</v>
      </c>
      <c r="U190" s="240">
        <v>3000</v>
      </c>
    </row>
    <row r="191" spans="1:21" ht="24" customHeight="1">
      <c r="B191" s="1" t="s">
        <v>788</v>
      </c>
      <c r="C191" s="95"/>
      <c r="D191" s="95"/>
      <c r="E191" s="1" t="s">
        <v>785</v>
      </c>
      <c r="F191" s="95"/>
      <c r="G191" s="95"/>
      <c r="H191" s="95"/>
      <c r="I191" s="95"/>
      <c r="J191" s="95"/>
      <c r="K191" s="95"/>
      <c r="L191" s="95"/>
      <c r="M191" s="240">
        <v>0</v>
      </c>
      <c r="N191" s="240">
        <v>622551</v>
      </c>
      <c r="O191" s="164">
        <v>100000</v>
      </c>
      <c r="P191" s="164">
        <v>108000</v>
      </c>
      <c r="Q191" s="240">
        <v>549408</v>
      </c>
      <c r="R191" s="240">
        <v>363497</v>
      </c>
      <c r="S191" s="240">
        <v>393646</v>
      </c>
      <c r="T191" s="240">
        <v>393646</v>
      </c>
      <c r="U191" s="240">
        <v>393646</v>
      </c>
    </row>
    <row r="192" spans="1:21" ht="24" customHeight="1">
      <c r="B192" s="1" t="s">
        <v>1049</v>
      </c>
      <c r="C192" s="89"/>
      <c r="D192" s="89"/>
      <c r="E192" s="316" t="s">
        <v>1045</v>
      </c>
      <c r="F192" s="89"/>
      <c r="G192" s="89"/>
      <c r="H192" s="89"/>
      <c r="I192" s="89"/>
      <c r="J192" s="89"/>
      <c r="K192" s="89"/>
      <c r="L192" s="89"/>
      <c r="M192" s="228">
        <v>7395</v>
      </c>
      <c r="N192" s="228">
        <v>0</v>
      </c>
      <c r="O192" s="165">
        <v>0</v>
      </c>
      <c r="P192" s="165">
        <v>0</v>
      </c>
      <c r="Q192" s="228">
        <v>8780</v>
      </c>
      <c r="R192" s="228">
        <v>0</v>
      </c>
      <c r="S192" s="228">
        <v>2972</v>
      </c>
      <c r="T192" s="228">
        <v>9594</v>
      </c>
      <c r="U192" s="228">
        <v>0</v>
      </c>
    </row>
    <row r="193" spans="2:21" ht="24" customHeight="1">
      <c r="B193" s="1" t="s">
        <v>776</v>
      </c>
      <c r="C193" s="95"/>
      <c r="D193" s="95"/>
      <c r="E193" s="1" t="s">
        <v>777</v>
      </c>
      <c r="F193" s="95"/>
      <c r="G193" s="95"/>
      <c r="H193" s="95"/>
      <c r="I193" s="95"/>
      <c r="J193" s="95"/>
      <c r="K193" s="95"/>
      <c r="L193" s="95"/>
      <c r="M193" s="240">
        <v>26083</v>
      </c>
      <c r="N193" s="240">
        <v>4690</v>
      </c>
      <c r="O193" s="164">
        <v>30000</v>
      </c>
      <c r="P193" s="164">
        <v>20000</v>
      </c>
      <c r="Q193" s="240">
        <v>20000</v>
      </c>
      <c r="R193" s="240">
        <v>20000</v>
      </c>
      <c r="S193" s="240">
        <v>20000</v>
      </c>
      <c r="T193" s="240">
        <v>20000</v>
      </c>
      <c r="U193" s="240">
        <v>20000</v>
      </c>
    </row>
    <row r="194" spans="2:21" ht="24" customHeight="1">
      <c r="B194" s="1" t="s">
        <v>147</v>
      </c>
      <c r="C194" s="89"/>
      <c r="D194" s="89"/>
      <c r="E194" s="1" t="s">
        <v>209</v>
      </c>
      <c r="F194" s="89"/>
      <c r="G194" s="89"/>
      <c r="H194" s="89"/>
      <c r="I194" s="89"/>
      <c r="J194" s="89"/>
      <c r="K194" s="89"/>
      <c r="L194" s="89"/>
      <c r="M194" s="240">
        <v>3363</v>
      </c>
      <c r="N194" s="240">
        <v>3610</v>
      </c>
      <c r="O194" s="164">
        <v>7600</v>
      </c>
      <c r="P194" s="164">
        <v>7600</v>
      </c>
      <c r="Q194" s="240">
        <v>7600</v>
      </c>
      <c r="R194" s="240">
        <v>7600</v>
      </c>
      <c r="S194" s="240">
        <v>7600</v>
      </c>
      <c r="T194" s="240">
        <v>7600</v>
      </c>
      <c r="U194" s="240">
        <v>7600</v>
      </c>
    </row>
    <row r="195" spans="2:21" ht="24" customHeight="1">
      <c r="B195" s="1" t="s">
        <v>217</v>
      </c>
      <c r="C195" s="89"/>
      <c r="D195" s="89"/>
      <c r="E195" s="304" t="s">
        <v>152</v>
      </c>
      <c r="F195" s="89"/>
      <c r="G195" s="89"/>
      <c r="H195" s="89"/>
      <c r="I195" s="89"/>
      <c r="J195" s="89"/>
      <c r="K195" s="89"/>
      <c r="L195" s="89"/>
      <c r="M195" s="240">
        <v>0</v>
      </c>
      <c r="N195" s="240">
        <v>0</v>
      </c>
      <c r="O195" s="164">
        <v>6615</v>
      </c>
      <c r="P195" s="164">
        <v>0</v>
      </c>
      <c r="Q195" s="240">
        <v>6615</v>
      </c>
      <c r="R195" s="240">
        <v>6946</v>
      </c>
      <c r="S195" s="240">
        <v>7293</v>
      </c>
      <c r="T195" s="240">
        <v>7658</v>
      </c>
      <c r="U195" s="240">
        <v>8041</v>
      </c>
    </row>
    <row r="196" spans="2:21" ht="24" customHeight="1">
      <c r="B196" s="1" t="s">
        <v>213</v>
      </c>
      <c r="C196" s="89"/>
      <c r="D196" s="89"/>
      <c r="E196" s="1" t="s">
        <v>925</v>
      </c>
      <c r="F196" s="95"/>
      <c r="G196" s="95"/>
      <c r="H196" s="95"/>
      <c r="I196" s="95"/>
      <c r="J196" s="95"/>
      <c r="K196" s="95"/>
      <c r="L196" s="95"/>
      <c r="M196" s="240">
        <v>5091</v>
      </c>
      <c r="N196" s="240">
        <v>17000</v>
      </c>
      <c r="O196" s="164">
        <v>15000</v>
      </c>
      <c r="P196" s="164">
        <v>15000</v>
      </c>
      <c r="Q196" s="240">
        <v>30000</v>
      </c>
      <c r="R196" s="240">
        <v>30000</v>
      </c>
      <c r="S196" s="240">
        <v>30000</v>
      </c>
      <c r="T196" s="240">
        <v>30000</v>
      </c>
      <c r="U196" s="240">
        <v>30000</v>
      </c>
    </row>
    <row r="197" spans="2:21" ht="24" customHeight="1">
      <c r="B197" s="1" t="s">
        <v>146</v>
      </c>
      <c r="C197" s="89"/>
      <c r="D197" s="89"/>
      <c r="E197" s="304" t="s">
        <v>10</v>
      </c>
      <c r="F197" s="161"/>
      <c r="G197" s="161"/>
      <c r="H197" s="161"/>
      <c r="I197" s="161"/>
      <c r="J197" s="161"/>
      <c r="K197" s="161"/>
      <c r="L197" s="161"/>
      <c r="M197" s="240">
        <v>10042</v>
      </c>
      <c r="N197" s="240">
        <v>12287</v>
      </c>
      <c r="O197" s="164">
        <v>9225</v>
      </c>
      <c r="P197" s="164">
        <v>9225</v>
      </c>
      <c r="Q197" s="240">
        <v>9225</v>
      </c>
      <c r="R197" s="240">
        <v>9225</v>
      </c>
      <c r="S197" s="240">
        <v>9225</v>
      </c>
      <c r="T197" s="240">
        <v>9225</v>
      </c>
      <c r="U197" s="240">
        <v>9225</v>
      </c>
    </row>
    <row r="198" spans="2:21" ht="24" customHeight="1">
      <c r="B198" s="1" t="s">
        <v>1039</v>
      </c>
      <c r="C198" s="89"/>
      <c r="D198" s="89"/>
      <c r="E198" s="1" t="s">
        <v>289</v>
      </c>
      <c r="F198" s="89"/>
      <c r="G198" s="89"/>
      <c r="H198" s="89"/>
      <c r="I198" s="89"/>
      <c r="J198" s="89"/>
      <c r="K198" s="89"/>
      <c r="L198" s="89"/>
      <c r="M198" s="325">
        <v>3114</v>
      </c>
      <c r="N198" s="325">
        <v>1097</v>
      </c>
      <c r="O198" s="175">
        <v>4500</v>
      </c>
      <c r="P198" s="175">
        <v>4500</v>
      </c>
      <c r="Q198" s="325">
        <v>4500</v>
      </c>
      <c r="R198" s="325">
        <v>4500</v>
      </c>
      <c r="S198" s="325">
        <v>4500</v>
      </c>
      <c r="T198" s="325">
        <v>4500</v>
      </c>
      <c r="U198" s="325">
        <v>4500</v>
      </c>
    </row>
    <row r="199" spans="2:21" ht="24" customHeight="1">
      <c r="B199" s="1" t="s">
        <v>145</v>
      </c>
      <c r="C199" s="95"/>
      <c r="D199" s="95"/>
      <c r="E199" s="304" t="s">
        <v>81</v>
      </c>
      <c r="F199" s="89"/>
      <c r="G199" s="89"/>
      <c r="H199" s="89"/>
      <c r="I199" s="89"/>
      <c r="J199" s="89"/>
      <c r="K199" s="89"/>
      <c r="L199" s="89"/>
      <c r="M199" s="325">
        <v>4052</v>
      </c>
      <c r="N199" s="325">
        <v>3536</v>
      </c>
      <c r="O199" s="165">
        <v>6000</v>
      </c>
      <c r="P199" s="165">
        <v>5000</v>
      </c>
      <c r="Q199" s="223">
        <v>6000</v>
      </c>
      <c r="R199" s="237">
        <v>6000</v>
      </c>
      <c r="S199" s="237">
        <v>6000</v>
      </c>
      <c r="T199" s="237">
        <v>6000</v>
      </c>
      <c r="U199" s="237">
        <v>6000</v>
      </c>
    </row>
    <row r="200" spans="2:21" ht="24" customHeight="1">
      <c r="B200" s="1" t="s">
        <v>987</v>
      </c>
      <c r="C200" s="89"/>
      <c r="D200" s="89"/>
      <c r="E200" s="304" t="s">
        <v>82</v>
      </c>
      <c r="F200" s="89"/>
      <c r="G200" s="89"/>
      <c r="H200" s="89"/>
      <c r="I200" s="89"/>
      <c r="J200" s="89"/>
      <c r="K200" s="89"/>
      <c r="L200" s="89"/>
      <c r="M200" s="228">
        <v>791</v>
      </c>
      <c r="N200" s="228">
        <v>1290</v>
      </c>
      <c r="O200" s="165">
        <v>1329</v>
      </c>
      <c r="P200" s="165">
        <v>1390</v>
      </c>
      <c r="Q200" s="228">
        <v>1460</v>
      </c>
      <c r="R200" s="228">
        <v>1504</v>
      </c>
      <c r="S200" s="228">
        <v>1549</v>
      </c>
      <c r="T200" s="228">
        <v>1595</v>
      </c>
      <c r="U200" s="228">
        <v>1643</v>
      </c>
    </row>
    <row r="201" spans="2:21" ht="24" customHeight="1">
      <c r="B201" s="1" t="s">
        <v>766</v>
      </c>
      <c r="C201" s="95"/>
      <c r="D201" s="95"/>
      <c r="E201" s="1" t="s">
        <v>767</v>
      </c>
      <c r="F201" s="95"/>
      <c r="G201" s="95"/>
      <c r="H201" s="95"/>
      <c r="I201" s="95"/>
      <c r="J201" s="95"/>
      <c r="K201" s="95"/>
      <c r="L201" s="95"/>
      <c r="M201" s="352">
        <v>70059</v>
      </c>
      <c r="N201" s="352">
        <v>75004</v>
      </c>
      <c r="O201" s="176">
        <v>65000</v>
      </c>
      <c r="P201" s="176">
        <v>65000</v>
      </c>
      <c r="Q201" s="207">
        <v>65000</v>
      </c>
      <c r="R201" s="207">
        <v>65000</v>
      </c>
      <c r="S201" s="207">
        <v>65000</v>
      </c>
      <c r="T201" s="207">
        <v>65000</v>
      </c>
      <c r="U201" s="207">
        <v>65000</v>
      </c>
    </row>
    <row r="202" spans="2:21" ht="24" customHeight="1">
      <c r="B202" s="1" t="s">
        <v>151</v>
      </c>
      <c r="C202" s="95"/>
      <c r="D202" s="95"/>
      <c r="E202" s="304" t="s">
        <v>89</v>
      </c>
      <c r="F202" s="95"/>
      <c r="G202" s="95"/>
      <c r="H202" s="95"/>
      <c r="I202" s="95"/>
      <c r="J202" s="95"/>
      <c r="K202" s="95"/>
      <c r="L202" s="95"/>
      <c r="M202" s="240">
        <v>2524</v>
      </c>
      <c r="N202" s="240">
        <v>3884</v>
      </c>
      <c r="O202" s="164">
        <v>5000</v>
      </c>
      <c r="P202" s="164">
        <v>5000</v>
      </c>
      <c r="Q202" s="208">
        <v>8000</v>
      </c>
      <c r="R202" s="208">
        <v>8000</v>
      </c>
      <c r="S202" s="208">
        <v>8000</v>
      </c>
      <c r="T202" s="208">
        <v>8000</v>
      </c>
      <c r="U202" s="208">
        <v>8000</v>
      </c>
    </row>
    <row r="203" spans="2:21" ht="24" customHeight="1">
      <c r="B203" s="1" t="s">
        <v>150</v>
      </c>
      <c r="C203" s="95"/>
      <c r="D203" s="95"/>
      <c r="E203" s="304" t="s">
        <v>12</v>
      </c>
      <c r="F203" s="324"/>
      <c r="G203" s="324"/>
      <c r="H203" s="324"/>
      <c r="I203" s="324"/>
      <c r="J203" s="324"/>
      <c r="K203" s="324"/>
      <c r="L203" s="324"/>
      <c r="M203" s="240">
        <v>119082</v>
      </c>
      <c r="N203" s="240">
        <v>5199</v>
      </c>
      <c r="O203" s="164">
        <v>22000</v>
      </c>
      <c r="P203" s="164">
        <v>22000</v>
      </c>
      <c r="Q203" s="240">
        <v>18000</v>
      </c>
      <c r="R203" s="240">
        <v>18000</v>
      </c>
      <c r="S203" s="240">
        <v>18000</v>
      </c>
      <c r="T203" s="240">
        <v>18000</v>
      </c>
      <c r="U203" s="240">
        <v>18000</v>
      </c>
    </row>
    <row r="204" spans="2:21" ht="24" customHeight="1">
      <c r="B204" s="1" t="s">
        <v>768</v>
      </c>
      <c r="C204" s="95"/>
      <c r="D204" s="95"/>
      <c r="E204" s="1" t="s">
        <v>769</v>
      </c>
      <c r="F204" s="95"/>
      <c r="G204" s="95"/>
      <c r="H204" s="95"/>
      <c r="I204" s="95"/>
      <c r="J204" s="95"/>
      <c r="K204" s="95"/>
      <c r="L204" s="95"/>
      <c r="M204" s="240">
        <v>30312</v>
      </c>
      <c r="N204" s="240">
        <v>35523</v>
      </c>
      <c r="O204" s="164">
        <v>30000</v>
      </c>
      <c r="P204" s="164">
        <v>30000</v>
      </c>
      <c r="Q204" s="240">
        <v>30000</v>
      </c>
      <c r="R204" s="208">
        <v>30000</v>
      </c>
      <c r="S204" s="208">
        <v>30000</v>
      </c>
      <c r="T204" s="208">
        <v>30000</v>
      </c>
      <c r="U204" s="208">
        <v>30000</v>
      </c>
    </row>
    <row r="205" spans="2:21" ht="24" customHeight="1">
      <c r="B205" s="1" t="s">
        <v>210</v>
      </c>
      <c r="C205" s="95"/>
      <c r="D205" s="95"/>
      <c r="E205" s="1" t="s">
        <v>16</v>
      </c>
      <c r="F205" s="95"/>
      <c r="G205" s="95"/>
      <c r="H205" s="95"/>
      <c r="I205" s="95"/>
      <c r="J205" s="95"/>
      <c r="K205" s="95"/>
      <c r="L205" s="95"/>
      <c r="M205" s="240">
        <v>13494</v>
      </c>
      <c r="N205" s="240">
        <v>5573</v>
      </c>
      <c r="O205" s="164">
        <v>21500</v>
      </c>
      <c r="P205" s="164">
        <v>19500</v>
      </c>
      <c r="Q205" s="240">
        <v>24000</v>
      </c>
      <c r="R205" s="240">
        <v>10000</v>
      </c>
      <c r="S205" s="240">
        <v>10000</v>
      </c>
      <c r="T205" s="240">
        <v>10000</v>
      </c>
      <c r="U205" s="240">
        <v>10000</v>
      </c>
    </row>
    <row r="206" spans="2:21" ht="24" customHeight="1">
      <c r="B206" s="1" t="s">
        <v>199</v>
      </c>
      <c r="C206" s="95"/>
      <c r="D206" s="95"/>
      <c r="E206" s="304" t="s">
        <v>831</v>
      </c>
      <c r="F206" s="324"/>
      <c r="G206" s="324"/>
      <c r="H206" s="324"/>
      <c r="I206" s="324"/>
      <c r="J206" s="324"/>
      <c r="K206" s="324"/>
      <c r="L206" s="324"/>
      <c r="M206" s="240">
        <v>9762</v>
      </c>
      <c r="N206" s="240">
        <v>8708</v>
      </c>
      <c r="O206" s="164">
        <v>25000</v>
      </c>
      <c r="P206" s="164">
        <v>25000</v>
      </c>
      <c r="Q206" s="240">
        <v>20000</v>
      </c>
      <c r="R206" s="208">
        <v>20000</v>
      </c>
      <c r="S206" s="208">
        <v>20000</v>
      </c>
      <c r="T206" s="208">
        <v>20000</v>
      </c>
      <c r="U206" s="208">
        <v>20000</v>
      </c>
    </row>
    <row r="207" spans="2:21" ht="24" customHeight="1">
      <c r="B207" s="1" t="s">
        <v>1041</v>
      </c>
      <c r="C207" s="89"/>
      <c r="D207" s="89"/>
      <c r="E207" s="1" t="s">
        <v>853</v>
      </c>
      <c r="F207" s="89"/>
      <c r="G207" s="89"/>
      <c r="H207" s="89"/>
      <c r="I207" s="89"/>
      <c r="J207" s="89"/>
      <c r="K207" s="89"/>
      <c r="L207" s="89"/>
      <c r="M207" s="240">
        <v>2681</v>
      </c>
      <c r="N207" s="240">
        <v>1738</v>
      </c>
      <c r="O207" s="175">
        <v>1200</v>
      </c>
      <c r="P207" s="175">
        <v>1200</v>
      </c>
      <c r="Q207" s="325">
        <v>1200</v>
      </c>
      <c r="R207" s="237">
        <v>1200</v>
      </c>
      <c r="S207" s="237">
        <v>1200</v>
      </c>
      <c r="T207" s="237">
        <v>1200</v>
      </c>
      <c r="U207" s="237">
        <v>1200</v>
      </c>
    </row>
    <row r="208" spans="2:21" ht="24" customHeight="1">
      <c r="B208" s="1" t="s">
        <v>149</v>
      </c>
      <c r="C208" s="95"/>
      <c r="D208" s="95"/>
      <c r="E208" s="363" t="s">
        <v>128</v>
      </c>
      <c r="F208" s="95"/>
      <c r="G208" s="95"/>
      <c r="H208" s="95"/>
      <c r="I208" s="95"/>
      <c r="J208" s="95"/>
      <c r="K208" s="95"/>
      <c r="L208" s="95"/>
      <c r="M208" s="261">
        <v>20764</v>
      </c>
      <c r="N208" s="261">
        <v>29965</v>
      </c>
      <c r="O208" s="167">
        <v>25680</v>
      </c>
      <c r="P208" s="167">
        <v>30000</v>
      </c>
      <c r="Q208" s="261">
        <v>32100</v>
      </c>
      <c r="R208" s="261">
        <v>34347</v>
      </c>
      <c r="S208" s="261">
        <v>36751</v>
      </c>
      <c r="T208" s="261">
        <v>39324</v>
      </c>
      <c r="U208" s="261">
        <v>42077</v>
      </c>
    </row>
    <row r="209" spans="1:21" s="89" customFormat="1" ht="24" customHeight="1">
      <c r="A209" s="576"/>
      <c r="B209" s="1"/>
      <c r="C209" s="713" t="s">
        <v>1278</v>
      </c>
      <c r="D209" s="713"/>
      <c r="E209" s="713"/>
      <c r="F209" s="713"/>
      <c r="G209" s="713"/>
      <c r="H209" s="713"/>
      <c r="I209" s="713"/>
      <c r="J209" s="713"/>
      <c r="K209" s="713"/>
      <c r="L209" s="713"/>
      <c r="M209" s="410">
        <f t="shared" ref="M209:U209" si="8">SUM(M180:M208)</f>
        <v>931674</v>
      </c>
      <c r="N209" s="410">
        <f t="shared" si="8"/>
        <v>1503124</v>
      </c>
      <c r="O209" s="407">
        <f t="shared" si="8"/>
        <v>1255026</v>
      </c>
      <c r="P209" s="597">
        <f t="shared" si="8"/>
        <v>1171176</v>
      </c>
      <c r="Q209" s="410">
        <f t="shared" si="8"/>
        <v>1745293</v>
      </c>
      <c r="R209" s="410">
        <f t="shared" si="8"/>
        <v>1574101</v>
      </c>
      <c r="S209" s="410">
        <f t="shared" si="8"/>
        <v>1646817</v>
      </c>
      <c r="T209" s="410">
        <f t="shared" si="8"/>
        <v>1695038</v>
      </c>
      <c r="U209" s="410">
        <f t="shared" si="8"/>
        <v>1729306</v>
      </c>
    </row>
    <row r="210" spans="1:21" s="303" customFormat="1" ht="15" customHeight="1">
      <c r="A210" s="576"/>
      <c r="B210" s="302"/>
      <c r="C210" s="97"/>
      <c r="D210" s="97"/>
      <c r="E210" s="302"/>
      <c r="F210" s="97"/>
      <c r="G210" s="97"/>
      <c r="H210" s="97"/>
      <c r="I210" s="97"/>
      <c r="J210" s="97"/>
      <c r="K210" s="97"/>
      <c r="L210" s="97"/>
      <c r="M210" s="231"/>
      <c r="N210" s="231"/>
      <c r="O210" s="173"/>
      <c r="P210" s="173"/>
      <c r="Q210" s="231"/>
      <c r="R210" s="231"/>
      <c r="S210" s="231"/>
      <c r="T210" s="231"/>
      <c r="U210" s="231"/>
    </row>
    <row r="211" spans="1:21" ht="24" customHeight="1">
      <c r="B211" s="98" t="s">
        <v>889</v>
      </c>
      <c r="C211" s="89"/>
      <c r="D211" s="89"/>
      <c r="E211" s="89"/>
      <c r="F211" s="89"/>
      <c r="G211" s="89"/>
      <c r="H211" s="89"/>
      <c r="I211" s="89"/>
      <c r="J211" s="89"/>
      <c r="K211" s="89"/>
      <c r="L211" s="89"/>
      <c r="M211" s="226"/>
      <c r="N211" s="226"/>
      <c r="O211" s="168"/>
      <c r="P211" s="168"/>
      <c r="Q211" s="219"/>
      <c r="R211" s="219"/>
      <c r="S211" s="219"/>
      <c r="T211" s="219"/>
      <c r="U211" s="219"/>
    </row>
    <row r="212" spans="1:21" ht="24" customHeight="1">
      <c r="B212" s="89" t="s">
        <v>562</v>
      </c>
      <c r="C212" s="89"/>
      <c r="D212" s="89"/>
      <c r="E212" s="1" t="s">
        <v>563</v>
      </c>
      <c r="F212" s="89"/>
      <c r="G212" s="89"/>
      <c r="H212" s="89"/>
      <c r="I212" s="89"/>
      <c r="J212" s="89"/>
      <c r="K212" s="89"/>
      <c r="L212" s="89"/>
      <c r="M212" s="404">
        <v>34472</v>
      </c>
      <c r="N212" s="404">
        <v>41868</v>
      </c>
      <c r="O212" s="405">
        <v>44588</v>
      </c>
      <c r="P212" s="405">
        <v>43478</v>
      </c>
      <c r="Q212" s="404">
        <v>43036</v>
      </c>
      <c r="R212" s="404">
        <v>46096</v>
      </c>
      <c r="S212" s="404">
        <v>49324</v>
      </c>
      <c r="T212" s="404">
        <v>52900</v>
      </c>
      <c r="U212" s="404">
        <v>56677</v>
      </c>
    </row>
    <row r="213" spans="1:21" ht="24" customHeight="1">
      <c r="B213" s="1" t="s">
        <v>155</v>
      </c>
      <c r="C213" s="95"/>
      <c r="D213" s="95"/>
      <c r="E213" s="1" t="s">
        <v>157</v>
      </c>
      <c r="F213" s="95"/>
      <c r="G213" s="95"/>
      <c r="H213" s="95"/>
      <c r="I213" s="95"/>
      <c r="J213" s="95"/>
      <c r="K213" s="95"/>
      <c r="L213" s="95"/>
      <c r="M213" s="240">
        <v>1244648</v>
      </c>
      <c r="N213" s="240">
        <v>1318644</v>
      </c>
      <c r="O213" s="164">
        <v>1340671</v>
      </c>
      <c r="P213" s="405">
        <v>1420895</v>
      </c>
      <c r="Q213" s="240">
        <v>1525021</v>
      </c>
      <c r="R213" s="240">
        <v>1633486</v>
      </c>
      <c r="S213" s="240">
        <v>1749717</v>
      </c>
      <c r="T213" s="240">
        <v>1873990</v>
      </c>
      <c r="U213" s="240">
        <v>2007766</v>
      </c>
    </row>
    <row r="214" spans="1:21" ht="24" customHeight="1">
      <c r="B214" s="1" t="s">
        <v>154</v>
      </c>
      <c r="C214" s="89"/>
      <c r="D214" s="89"/>
      <c r="E214" s="1" t="s">
        <v>156</v>
      </c>
      <c r="F214" s="89"/>
      <c r="G214" s="89"/>
      <c r="H214" s="89"/>
      <c r="I214" s="89"/>
      <c r="J214" s="89"/>
      <c r="K214" s="89"/>
      <c r="L214" s="89"/>
      <c r="M214" s="261">
        <v>5640</v>
      </c>
      <c r="N214" s="261">
        <v>8227</v>
      </c>
      <c r="O214" s="167">
        <v>9000</v>
      </c>
      <c r="P214" s="167">
        <v>9000</v>
      </c>
      <c r="Q214" s="261">
        <v>9000</v>
      </c>
      <c r="R214" s="261">
        <v>9000</v>
      </c>
      <c r="S214" s="261">
        <v>9000</v>
      </c>
      <c r="T214" s="261">
        <v>9000</v>
      </c>
      <c r="U214" s="261">
        <v>9000</v>
      </c>
    </row>
    <row r="215" spans="1:21" s="89" customFormat="1" ht="24" customHeight="1">
      <c r="A215" s="576"/>
      <c r="B215" s="689" t="s">
        <v>1276</v>
      </c>
      <c r="C215" s="689"/>
      <c r="D215" s="689"/>
      <c r="E215" s="689"/>
      <c r="F215" s="689"/>
      <c r="G215" s="689"/>
      <c r="H215" s="689"/>
      <c r="I215" s="689"/>
      <c r="J215" s="689"/>
      <c r="K215" s="689"/>
      <c r="L215" s="689"/>
      <c r="M215" s="412">
        <f>SUM(M212:M214)</f>
        <v>1284760</v>
      </c>
      <c r="N215" s="412">
        <f t="shared" ref="N215:U215" si="9">SUM(N212:N214)</f>
        <v>1368739</v>
      </c>
      <c r="O215" s="413">
        <f t="shared" si="9"/>
        <v>1394259</v>
      </c>
      <c r="P215" s="598">
        <f t="shared" si="9"/>
        <v>1473373</v>
      </c>
      <c r="Q215" s="478">
        <f t="shared" si="9"/>
        <v>1577057</v>
      </c>
      <c r="R215" s="478">
        <f t="shared" si="9"/>
        <v>1688582</v>
      </c>
      <c r="S215" s="478">
        <f t="shared" si="9"/>
        <v>1808041</v>
      </c>
      <c r="T215" s="478">
        <f t="shared" si="9"/>
        <v>1935890</v>
      </c>
      <c r="U215" s="478">
        <f t="shared" si="9"/>
        <v>2073443</v>
      </c>
    </row>
    <row r="216" spans="1:21" s="89" customFormat="1" ht="6.9" customHeight="1">
      <c r="A216" s="576"/>
      <c r="B216" s="1"/>
      <c r="E216" s="1"/>
      <c r="M216" s="235"/>
      <c r="N216" s="235"/>
      <c r="O216" s="174"/>
      <c r="P216" s="174"/>
      <c r="Q216" s="235"/>
      <c r="R216" s="235"/>
      <c r="S216" s="235"/>
      <c r="T216" s="235"/>
      <c r="U216" s="235"/>
    </row>
    <row r="217" spans="1:21" s="89" customFormat="1" ht="24" customHeight="1">
      <c r="A217" s="576"/>
      <c r="B217" s="689" t="s">
        <v>1279</v>
      </c>
      <c r="C217" s="689"/>
      <c r="D217" s="689"/>
      <c r="E217" s="689"/>
      <c r="F217" s="689"/>
      <c r="G217" s="689"/>
      <c r="H217" s="689"/>
      <c r="I217" s="689"/>
      <c r="J217" s="689"/>
      <c r="K217" s="689"/>
      <c r="L217" s="689"/>
      <c r="M217" s="412">
        <f t="shared" ref="M217:U217" si="10">M209+M215</f>
        <v>2216434</v>
      </c>
      <c r="N217" s="412">
        <f t="shared" si="10"/>
        <v>2871863</v>
      </c>
      <c r="O217" s="413">
        <f t="shared" si="10"/>
        <v>2649285</v>
      </c>
      <c r="P217" s="598">
        <f t="shared" si="10"/>
        <v>2644549</v>
      </c>
      <c r="Q217" s="412">
        <f t="shared" si="10"/>
        <v>3322350</v>
      </c>
      <c r="R217" s="412">
        <f t="shared" si="10"/>
        <v>3262683</v>
      </c>
      <c r="S217" s="412">
        <f t="shared" si="10"/>
        <v>3454858</v>
      </c>
      <c r="T217" s="412">
        <f t="shared" si="10"/>
        <v>3630928</v>
      </c>
      <c r="U217" s="412">
        <f t="shared" si="10"/>
        <v>3802749</v>
      </c>
    </row>
    <row r="218" spans="1:21" ht="15" customHeight="1">
      <c r="B218" s="1"/>
      <c r="C218" s="89"/>
      <c r="D218" s="89"/>
      <c r="E218" s="1"/>
      <c r="F218" s="89"/>
      <c r="G218" s="99"/>
      <c r="H218" s="99"/>
      <c r="I218" s="99"/>
      <c r="J218" s="99"/>
      <c r="K218" s="99"/>
      <c r="L218" s="99"/>
      <c r="M218" s="235"/>
      <c r="N218" s="235"/>
      <c r="O218" s="177"/>
      <c r="P218" s="177"/>
      <c r="Q218" s="239"/>
      <c r="R218" s="239"/>
      <c r="S218" s="239"/>
      <c r="T218" s="239"/>
      <c r="U218" s="239"/>
    </row>
    <row r="219" spans="1:21" ht="24" customHeight="1">
      <c r="B219" s="6" t="s">
        <v>474</v>
      </c>
      <c r="C219" s="89"/>
      <c r="D219" s="89"/>
      <c r="E219" s="1"/>
      <c r="F219" s="89"/>
      <c r="G219" s="89"/>
      <c r="H219" s="89"/>
      <c r="I219" s="89"/>
      <c r="J219" s="89"/>
      <c r="K219" s="89"/>
      <c r="L219" s="89"/>
      <c r="M219" s="220"/>
      <c r="N219" s="220"/>
      <c r="O219" s="164"/>
      <c r="P219" s="164"/>
      <c r="Q219" s="208"/>
      <c r="R219" s="208"/>
      <c r="S219" s="208"/>
      <c r="T219" s="208"/>
      <c r="U219" s="208"/>
    </row>
    <row r="220" spans="1:21" ht="24" customHeight="1">
      <c r="B220" s="1" t="s">
        <v>221</v>
      </c>
      <c r="C220" s="95"/>
      <c r="D220" s="95"/>
      <c r="E220" s="1" t="s">
        <v>222</v>
      </c>
      <c r="F220" s="95"/>
      <c r="G220" s="95"/>
      <c r="H220" s="95"/>
      <c r="I220" s="95"/>
      <c r="J220" s="95"/>
      <c r="K220" s="95"/>
      <c r="L220" s="95"/>
      <c r="M220" s="404">
        <v>5615</v>
      </c>
      <c r="N220" s="404">
        <v>1350</v>
      </c>
      <c r="O220" s="405">
        <v>500</v>
      </c>
      <c r="P220" s="405">
        <v>2753</v>
      </c>
      <c r="Q220" s="414">
        <v>2000</v>
      </c>
      <c r="R220" s="414">
        <v>2000</v>
      </c>
      <c r="S220" s="414">
        <v>2000</v>
      </c>
      <c r="T220" s="414">
        <v>2000</v>
      </c>
      <c r="U220" s="414">
        <v>2000</v>
      </c>
    </row>
    <row r="221" spans="1:21" ht="24" customHeight="1">
      <c r="B221" s="1" t="s">
        <v>159</v>
      </c>
      <c r="C221" s="95"/>
      <c r="D221" s="95"/>
      <c r="E221" s="1" t="s">
        <v>160</v>
      </c>
      <c r="F221" s="95"/>
      <c r="G221" s="95"/>
      <c r="H221" s="95"/>
      <c r="I221" s="95"/>
      <c r="J221" s="95"/>
      <c r="K221" s="95"/>
      <c r="L221" s="95"/>
      <c r="M221" s="240">
        <v>13978</v>
      </c>
      <c r="N221" s="240">
        <v>10064</v>
      </c>
      <c r="O221" s="164">
        <v>16500</v>
      </c>
      <c r="P221" s="164">
        <v>12548.73</v>
      </c>
      <c r="Q221" s="240">
        <v>16500</v>
      </c>
      <c r="R221" s="240">
        <v>16500</v>
      </c>
      <c r="S221" s="240">
        <v>16500</v>
      </c>
      <c r="T221" s="240">
        <v>16500</v>
      </c>
      <c r="U221" s="240">
        <v>16500</v>
      </c>
    </row>
    <row r="222" spans="1:21" ht="24" customHeight="1">
      <c r="B222" s="1" t="s">
        <v>158</v>
      </c>
      <c r="C222" s="89"/>
      <c r="D222" s="89"/>
      <c r="E222" s="1" t="s">
        <v>214</v>
      </c>
      <c r="F222" s="89"/>
      <c r="G222" s="89"/>
      <c r="H222" s="89"/>
      <c r="I222" s="89"/>
      <c r="J222" s="89"/>
      <c r="K222" s="89"/>
      <c r="L222" s="1"/>
      <c r="M222" s="240">
        <v>311973</v>
      </c>
      <c r="N222" s="240">
        <v>325209</v>
      </c>
      <c r="O222" s="164">
        <v>346323</v>
      </c>
      <c r="P222" s="164">
        <v>368237</v>
      </c>
      <c r="Q222" s="240">
        <v>405061</v>
      </c>
      <c r="R222" s="240">
        <v>429365</v>
      </c>
      <c r="S222" s="208">
        <v>455127</v>
      </c>
      <c r="T222" s="208">
        <v>482435</v>
      </c>
      <c r="U222" s="208">
        <v>511381</v>
      </c>
    </row>
    <row r="223" spans="1:21" ht="24" customHeight="1">
      <c r="B223" s="1" t="s">
        <v>575</v>
      </c>
      <c r="C223" s="89"/>
      <c r="D223" s="89"/>
      <c r="E223" s="96" t="s">
        <v>578</v>
      </c>
      <c r="F223" s="89"/>
      <c r="G223" s="89"/>
      <c r="H223" s="89"/>
      <c r="I223" s="89"/>
      <c r="J223" s="89"/>
      <c r="K223" s="89"/>
      <c r="L223" s="89"/>
      <c r="M223" s="228">
        <v>31818</v>
      </c>
      <c r="N223" s="228">
        <v>37897</v>
      </c>
      <c r="O223" s="164">
        <v>44302</v>
      </c>
      <c r="P223" s="165">
        <v>44302</v>
      </c>
      <c r="Q223" s="240">
        <v>45420</v>
      </c>
      <c r="R223" s="240">
        <v>45420</v>
      </c>
      <c r="S223" s="240">
        <v>45420</v>
      </c>
      <c r="T223" s="240">
        <v>45420</v>
      </c>
      <c r="U223" s="240">
        <v>45420</v>
      </c>
    </row>
    <row r="224" spans="1:21" ht="24" customHeight="1">
      <c r="B224" s="1" t="s">
        <v>576</v>
      </c>
      <c r="C224" s="89"/>
      <c r="D224" s="89"/>
      <c r="E224" s="96" t="s">
        <v>579</v>
      </c>
      <c r="F224" s="89"/>
      <c r="G224" s="89"/>
      <c r="H224" s="89"/>
      <c r="I224" s="89"/>
      <c r="J224" s="89"/>
      <c r="K224" s="89"/>
      <c r="L224" s="89"/>
      <c r="M224" s="228">
        <v>1091</v>
      </c>
      <c r="N224" s="228">
        <v>122</v>
      </c>
      <c r="O224" s="164">
        <v>333</v>
      </c>
      <c r="P224" s="164">
        <v>333</v>
      </c>
      <c r="Q224" s="240">
        <v>0</v>
      </c>
      <c r="R224" s="240">
        <v>0</v>
      </c>
      <c r="S224" s="240">
        <v>0</v>
      </c>
      <c r="T224" s="240">
        <v>0</v>
      </c>
      <c r="U224" s="240">
        <v>0</v>
      </c>
    </row>
    <row r="225" spans="2:21" ht="24" customHeight="1">
      <c r="B225" s="1" t="s">
        <v>577</v>
      </c>
      <c r="C225" s="89"/>
      <c r="D225" s="89"/>
      <c r="E225" s="96" t="s">
        <v>580</v>
      </c>
      <c r="F225" s="89"/>
      <c r="G225" s="89"/>
      <c r="H225" s="89"/>
      <c r="I225" s="89"/>
      <c r="J225" s="89"/>
      <c r="K225" s="89"/>
      <c r="L225" s="89"/>
      <c r="M225" s="228">
        <v>167</v>
      </c>
      <c r="N225" s="228">
        <v>-1</v>
      </c>
      <c r="O225" s="164">
        <v>62</v>
      </c>
      <c r="P225" s="164">
        <v>62</v>
      </c>
      <c r="Q225" s="240">
        <v>0</v>
      </c>
      <c r="R225" s="240">
        <v>0</v>
      </c>
      <c r="S225" s="240">
        <v>0</v>
      </c>
      <c r="T225" s="240">
        <v>0</v>
      </c>
      <c r="U225" s="240">
        <v>0</v>
      </c>
    </row>
    <row r="226" spans="2:21" ht="24" customHeight="1">
      <c r="B226" s="1" t="s">
        <v>975</v>
      </c>
      <c r="C226" s="89"/>
      <c r="D226" s="89"/>
      <c r="E226" s="96" t="s">
        <v>976</v>
      </c>
      <c r="F226" s="89"/>
      <c r="G226" s="89"/>
      <c r="H226" s="89"/>
      <c r="I226" s="89"/>
      <c r="J226" s="89"/>
      <c r="K226" s="89"/>
      <c r="L226" s="89"/>
      <c r="M226" s="240">
        <v>53064</v>
      </c>
      <c r="N226" s="240">
        <v>56309</v>
      </c>
      <c r="O226" s="164">
        <v>62437</v>
      </c>
      <c r="P226" s="164">
        <v>46252</v>
      </c>
      <c r="Q226" s="240">
        <v>55707</v>
      </c>
      <c r="R226" s="240">
        <v>57703</v>
      </c>
      <c r="S226" s="240">
        <v>59778</v>
      </c>
      <c r="T226" s="240">
        <v>61938</v>
      </c>
      <c r="U226" s="240">
        <v>64184</v>
      </c>
    </row>
    <row r="227" spans="2:21" ht="24" customHeight="1">
      <c r="B227" s="1" t="s">
        <v>1030</v>
      </c>
      <c r="C227" s="89"/>
      <c r="D227" s="89"/>
      <c r="E227" s="310" t="s">
        <v>1055</v>
      </c>
      <c r="F227" s="89"/>
      <c r="G227" s="89"/>
      <c r="H227" s="89"/>
      <c r="I227" s="89"/>
      <c r="J227" s="89"/>
      <c r="K227" s="89"/>
      <c r="L227" s="89"/>
      <c r="M227" s="240">
        <v>45538</v>
      </c>
      <c r="N227" s="240">
        <v>50984</v>
      </c>
      <c r="O227" s="164">
        <v>49556</v>
      </c>
      <c r="P227" s="164">
        <v>62871</v>
      </c>
      <c r="Q227" s="240">
        <v>64411</v>
      </c>
      <c r="R227" s="240">
        <v>66164</v>
      </c>
      <c r="S227" s="240">
        <v>67981</v>
      </c>
      <c r="T227" s="240">
        <v>69863</v>
      </c>
      <c r="U227" s="240">
        <v>71811</v>
      </c>
    </row>
    <row r="228" spans="2:21" ht="24" customHeight="1">
      <c r="B228" s="535" t="s">
        <v>1344</v>
      </c>
      <c r="C228" s="536"/>
      <c r="D228" s="536"/>
      <c r="E228" s="535" t="s">
        <v>1045</v>
      </c>
      <c r="F228" s="536"/>
      <c r="G228" s="536"/>
      <c r="H228" s="536"/>
      <c r="I228" s="536"/>
      <c r="J228" s="536"/>
      <c r="K228" s="536"/>
      <c r="L228" s="536"/>
      <c r="M228" s="240">
        <v>0</v>
      </c>
      <c r="N228" s="240">
        <v>0</v>
      </c>
      <c r="O228" s="164">
        <v>1895</v>
      </c>
      <c r="P228" s="164">
        <v>1895</v>
      </c>
      <c r="Q228" s="240">
        <v>0</v>
      </c>
      <c r="R228" s="240">
        <v>0</v>
      </c>
      <c r="S228" s="240">
        <v>1989</v>
      </c>
      <c r="T228" s="240">
        <v>0</v>
      </c>
      <c r="U228" s="240">
        <v>0</v>
      </c>
    </row>
    <row r="229" spans="2:21" ht="24" customHeight="1">
      <c r="B229" s="1" t="s">
        <v>1005</v>
      </c>
      <c r="C229" s="97"/>
      <c r="D229" s="97"/>
      <c r="E229" s="304" t="s">
        <v>992</v>
      </c>
      <c r="F229" s="97"/>
      <c r="G229" s="97"/>
      <c r="H229" s="97"/>
      <c r="I229" s="97"/>
      <c r="J229" s="97"/>
      <c r="K229" s="97"/>
      <c r="L229" s="97"/>
      <c r="M229" s="240">
        <v>8148</v>
      </c>
      <c r="N229" s="240">
        <v>9348</v>
      </c>
      <c r="O229" s="164">
        <v>10114</v>
      </c>
      <c r="P229" s="164">
        <v>9960</v>
      </c>
      <c r="Q229" s="240">
        <v>10187</v>
      </c>
      <c r="R229" s="240">
        <v>11206</v>
      </c>
      <c r="S229" s="240">
        <v>12327</v>
      </c>
      <c r="T229" s="240">
        <v>13560</v>
      </c>
      <c r="U229" s="240">
        <v>14916</v>
      </c>
    </row>
    <row r="230" spans="2:21" ht="24" customHeight="1">
      <c r="B230" s="1" t="s">
        <v>934</v>
      </c>
      <c r="C230" s="89"/>
      <c r="D230" s="89"/>
      <c r="E230" s="310" t="s">
        <v>935</v>
      </c>
      <c r="F230" s="89"/>
      <c r="G230" s="89"/>
      <c r="H230" s="89"/>
      <c r="I230" s="89"/>
      <c r="J230" s="89"/>
      <c r="K230" s="89"/>
      <c r="L230" s="89"/>
      <c r="M230" s="240">
        <v>6933</v>
      </c>
      <c r="N230" s="240">
        <v>7703</v>
      </c>
      <c r="O230" s="164">
        <v>8000</v>
      </c>
      <c r="P230" s="164">
        <v>8000</v>
      </c>
      <c r="Q230" s="240">
        <v>0</v>
      </c>
      <c r="R230" s="240">
        <v>0</v>
      </c>
      <c r="S230" s="240">
        <v>0</v>
      </c>
      <c r="T230" s="240">
        <v>0</v>
      </c>
      <c r="U230" s="240">
        <v>0</v>
      </c>
    </row>
    <row r="231" spans="2:21" ht="24" customHeight="1">
      <c r="B231" s="391" t="s">
        <v>1186</v>
      </c>
      <c r="C231" s="392"/>
      <c r="D231" s="392"/>
      <c r="E231" s="310" t="s">
        <v>1187</v>
      </c>
      <c r="F231" s="392"/>
      <c r="G231" s="392"/>
      <c r="H231" s="392"/>
      <c r="I231" s="392"/>
      <c r="J231" s="392"/>
      <c r="K231" s="392"/>
      <c r="L231" s="392"/>
      <c r="M231" s="240">
        <v>0</v>
      </c>
      <c r="N231" s="240">
        <v>734250</v>
      </c>
      <c r="O231" s="164">
        <v>0</v>
      </c>
      <c r="P231" s="164">
        <v>0</v>
      </c>
      <c r="Q231" s="240">
        <v>0</v>
      </c>
      <c r="R231" s="240">
        <v>0</v>
      </c>
      <c r="S231" s="240">
        <v>0</v>
      </c>
      <c r="T231" s="240">
        <v>0</v>
      </c>
      <c r="U231" s="240">
        <v>0</v>
      </c>
    </row>
    <row r="232" spans="2:21" ht="24" customHeight="1">
      <c r="B232" s="1" t="s">
        <v>1006</v>
      </c>
      <c r="C232" s="89"/>
      <c r="D232" s="89"/>
      <c r="E232" s="96" t="s">
        <v>1001</v>
      </c>
      <c r="F232" s="89"/>
      <c r="G232" s="89"/>
      <c r="H232" s="89"/>
      <c r="I232" s="89"/>
      <c r="J232" s="89"/>
      <c r="K232" s="89"/>
      <c r="L232" s="89"/>
      <c r="M232" s="240">
        <v>57547</v>
      </c>
      <c r="N232" s="240">
        <v>59348</v>
      </c>
      <c r="O232" s="164">
        <v>0</v>
      </c>
      <c r="P232" s="164">
        <v>0</v>
      </c>
      <c r="Q232" s="240">
        <v>0</v>
      </c>
      <c r="R232" s="240">
        <v>0</v>
      </c>
      <c r="S232" s="240">
        <v>0</v>
      </c>
      <c r="T232" s="240">
        <v>0</v>
      </c>
      <c r="U232" s="240">
        <v>0</v>
      </c>
    </row>
    <row r="233" spans="2:21" ht="24" customHeight="1">
      <c r="B233" s="1" t="s">
        <v>789</v>
      </c>
      <c r="C233" s="89"/>
      <c r="D233" s="89"/>
      <c r="E233" s="304" t="s">
        <v>790</v>
      </c>
      <c r="F233" s="89"/>
      <c r="G233" s="89"/>
      <c r="H233" s="89"/>
      <c r="I233" s="89"/>
      <c r="J233" s="89"/>
      <c r="K233" s="89"/>
      <c r="L233" s="1"/>
      <c r="M233" s="240">
        <v>36334</v>
      </c>
      <c r="N233" s="240">
        <v>5685</v>
      </c>
      <c r="O233" s="164">
        <v>12000</v>
      </c>
      <c r="P233" s="164">
        <v>28595</v>
      </c>
      <c r="Q233" s="240">
        <v>36000</v>
      </c>
      <c r="R233" s="240">
        <v>18000</v>
      </c>
      <c r="S233" s="240">
        <v>0</v>
      </c>
      <c r="T233" s="240">
        <v>0</v>
      </c>
      <c r="U233" s="240">
        <v>0</v>
      </c>
    </row>
    <row r="234" spans="2:21" ht="24" customHeight="1">
      <c r="B234" s="1" t="s">
        <v>520</v>
      </c>
      <c r="C234" s="89"/>
      <c r="D234" s="89"/>
      <c r="E234" s="304" t="s">
        <v>519</v>
      </c>
      <c r="F234" s="89"/>
      <c r="G234" s="89"/>
      <c r="H234" s="89"/>
      <c r="I234" s="89"/>
      <c r="J234" s="89"/>
      <c r="K234" s="89"/>
      <c r="L234" s="1"/>
      <c r="M234" s="240">
        <v>105851</v>
      </c>
      <c r="N234" s="240">
        <v>162842</v>
      </c>
      <c r="O234" s="164">
        <v>124409</v>
      </c>
      <c r="P234" s="164">
        <v>169439</v>
      </c>
      <c r="Q234" s="240">
        <v>178583</v>
      </c>
      <c r="R234" s="240">
        <v>188890</v>
      </c>
      <c r="S234" s="240">
        <v>199773</v>
      </c>
      <c r="T234" s="240">
        <v>211265</v>
      </c>
      <c r="U234" s="240">
        <v>223402</v>
      </c>
    </row>
    <row r="235" spans="2:21" ht="24" customHeight="1">
      <c r="B235" s="1" t="s">
        <v>523</v>
      </c>
      <c r="C235" s="97"/>
      <c r="D235" s="97"/>
      <c r="E235" s="96" t="s">
        <v>524</v>
      </c>
      <c r="F235" s="97"/>
      <c r="G235" s="97"/>
      <c r="H235" s="97"/>
      <c r="I235" s="97"/>
      <c r="J235" s="97"/>
      <c r="K235" s="97"/>
      <c r="L235" s="97"/>
      <c r="M235" s="240">
        <v>223210</v>
      </c>
      <c r="N235" s="240">
        <v>180860</v>
      </c>
      <c r="O235" s="164">
        <v>400000</v>
      </c>
      <c r="P235" s="164">
        <v>200000</v>
      </c>
      <c r="Q235" s="240">
        <v>400000</v>
      </c>
      <c r="R235" s="240">
        <v>382500</v>
      </c>
      <c r="S235" s="240">
        <v>225000</v>
      </c>
      <c r="T235" s="240">
        <v>225000</v>
      </c>
      <c r="U235" s="240">
        <v>225000</v>
      </c>
    </row>
    <row r="236" spans="2:21" ht="24" customHeight="1">
      <c r="B236" s="535" t="s">
        <v>1341</v>
      </c>
      <c r="C236" s="467"/>
      <c r="D236" s="467"/>
      <c r="E236" s="96" t="s">
        <v>1338</v>
      </c>
      <c r="F236" s="467"/>
      <c r="G236" s="467"/>
      <c r="H236" s="467"/>
      <c r="I236" s="467"/>
      <c r="J236" s="467"/>
      <c r="K236" s="467"/>
      <c r="L236" s="467"/>
      <c r="M236" s="240">
        <v>0</v>
      </c>
      <c r="N236" s="240">
        <v>0</v>
      </c>
      <c r="O236" s="164">
        <v>118190</v>
      </c>
      <c r="P236" s="164">
        <v>86963</v>
      </c>
      <c r="Q236" s="240">
        <v>154526</v>
      </c>
      <c r="R236" s="240">
        <v>115658</v>
      </c>
      <c r="S236" s="240">
        <v>118453</v>
      </c>
      <c r="T236" s="240">
        <v>124505</v>
      </c>
      <c r="U236" s="240">
        <v>130329</v>
      </c>
    </row>
    <row r="237" spans="2:21" ht="24" customHeight="1">
      <c r="B237" s="1" t="s">
        <v>190</v>
      </c>
      <c r="C237" s="97"/>
      <c r="D237" s="97"/>
      <c r="E237" s="1" t="s">
        <v>173</v>
      </c>
      <c r="F237" s="97"/>
      <c r="G237" s="97"/>
      <c r="H237" s="97"/>
      <c r="I237" s="97"/>
      <c r="J237" s="97"/>
      <c r="K237" s="97"/>
      <c r="L237" s="97"/>
      <c r="M237" s="240">
        <v>82228</v>
      </c>
      <c r="N237" s="240">
        <v>90090</v>
      </c>
      <c r="O237" s="164">
        <v>110000</v>
      </c>
      <c r="P237" s="164">
        <v>80000</v>
      </c>
      <c r="Q237" s="240">
        <v>110000</v>
      </c>
      <c r="R237" s="240">
        <v>110000</v>
      </c>
      <c r="S237" s="240">
        <v>110000</v>
      </c>
      <c r="T237" s="240">
        <v>110000</v>
      </c>
      <c r="U237" s="240">
        <v>110000</v>
      </c>
    </row>
    <row r="238" spans="2:21" ht="24" customHeight="1">
      <c r="B238" s="1" t="s">
        <v>168</v>
      </c>
      <c r="C238" s="97"/>
      <c r="D238" s="97"/>
      <c r="E238" s="1" t="s">
        <v>172</v>
      </c>
      <c r="F238" s="97"/>
      <c r="G238" s="97"/>
      <c r="H238" s="97"/>
      <c r="I238" s="97"/>
      <c r="J238" s="97"/>
      <c r="K238" s="97"/>
      <c r="L238" s="97"/>
      <c r="M238" s="240">
        <v>78731</v>
      </c>
      <c r="N238" s="240">
        <v>65917</v>
      </c>
      <c r="O238" s="164">
        <v>110000</v>
      </c>
      <c r="P238" s="164">
        <v>80000</v>
      </c>
      <c r="Q238" s="240">
        <v>100000</v>
      </c>
      <c r="R238" s="240">
        <v>100000</v>
      </c>
      <c r="S238" s="240">
        <v>100000</v>
      </c>
      <c r="T238" s="240">
        <v>100000</v>
      </c>
      <c r="U238" s="240">
        <v>100000</v>
      </c>
    </row>
    <row r="239" spans="2:21" ht="24" customHeight="1">
      <c r="B239" s="1" t="s">
        <v>1120</v>
      </c>
      <c r="C239" s="97"/>
      <c r="D239" s="97"/>
      <c r="E239" s="304" t="s">
        <v>10</v>
      </c>
      <c r="F239" s="97"/>
      <c r="G239" s="97"/>
      <c r="H239" s="97"/>
      <c r="I239" s="97"/>
      <c r="J239" s="97"/>
      <c r="K239" s="97"/>
      <c r="L239" s="97"/>
      <c r="M239" s="240">
        <v>47072</v>
      </c>
      <c r="N239" s="240">
        <v>20923</v>
      </c>
      <c r="O239" s="164">
        <v>48150</v>
      </c>
      <c r="P239" s="164">
        <v>34273</v>
      </c>
      <c r="Q239" s="240">
        <v>38400</v>
      </c>
      <c r="R239" s="240">
        <v>38450</v>
      </c>
      <c r="S239" s="240">
        <v>38500</v>
      </c>
      <c r="T239" s="240">
        <v>38550</v>
      </c>
      <c r="U239" s="240">
        <v>38600</v>
      </c>
    </row>
    <row r="240" spans="2:21" ht="24" customHeight="1">
      <c r="B240" s="1" t="s">
        <v>167</v>
      </c>
      <c r="C240" s="97"/>
      <c r="D240" s="97"/>
      <c r="E240" s="1" t="s">
        <v>171</v>
      </c>
      <c r="F240" s="97"/>
      <c r="G240" s="97"/>
      <c r="H240" s="97"/>
      <c r="I240" s="97"/>
      <c r="J240" s="97"/>
      <c r="K240" s="97"/>
      <c r="L240" s="97"/>
      <c r="M240" s="240">
        <v>43207</v>
      </c>
      <c r="N240" s="240">
        <v>36188</v>
      </c>
      <c r="O240" s="164">
        <v>25000</v>
      </c>
      <c r="P240" s="164">
        <v>20000</v>
      </c>
      <c r="Q240" s="240">
        <v>35000</v>
      </c>
      <c r="R240" s="240">
        <v>35000</v>
      </c>
      <c r="S240" s="240">
        <v>35000</v>
      </c>
      <c r="T240" s="240">
        <v>35000</v>
      </c>
      <c r="U240" s="240">
        <v>35000</v>
      </c>
    </row>
    <row r="241" spans="2:21" ht="24" customHeight="1">
      <c r="B241" s="1" t="s">
        <v>228</v>
      </c>
      <c r="C241" s="97"/>
      <c r="D241" s="97"/>
      <c r="E241" s="1" t="s">
        <v>229</v>
      </c>
      <c r="F241" s="97"/>
      <c r="G241" s="97"/>
      <c r="H241" s="97"/>
      <c r="I241" s="97"/>
      <c r="J241" s="97"/>
      <c r="K241" s="97"/>
      <c r="L241" s="97"/>
      <c r="M241" s="240">
        <v>248597</v>
      </c>
      <c r="N241" s="240">
        <v>266979</v>
      </c>
      <c r="O241" s="164">
        <v>300000</v>
      </c>
      <c r="P241" s="164">
        <v>450000</v>
      </c>
      <c r="Q241" s="240">
        <v>450000</v>
      </c>
      <c r="R241" s="240">
        <v>450000</v>
      </c>
      <c r="S241" s="240">
        <v>450000</v>
      </c>
      <c r="T241" s="240">
        <v>450000</v>
      </c>
      <c r="U241" s="240">
        <v>450000</v>
      </c>
    </row>
    <row r="242" spans="2:21" ht="24" customHeight="1">
      <c r="B242" s="1" t="s">
        <v>982</v>
      </c>
      <c r="C242" s="89"/>
      <c r="D242" s="89"/>
      <c r="E242" s="1" t="s">
        <v>873</v>
      </c>
      <c r="F242" s="89"/>
      <c r="G242" s="89"/>
      <c r="H242" s="89"/>
      <c r="I242" s="89"/>
      <c r="J242" s="89"/>
      <c r="K242" s="89"/>
      <c r="L242" s="89"/>
      <c r="M242" s="228">
        <v>23550</v>
      </c>
      <c r="N242" s="228">
        <v>11775</v>
      </c>
      <c r="O242" s="165">
        <v>25000</v>
      </c>
      <c r="P242" s="165">
        <v>35325</v>
      </c>
      <c r="Q242" s="228">
        <v>25000</v>
      </c>
      <c r="R242" s="228">
        <v>25000</v>
      </c>
      <c r="S242" s="228">
        <v>25000</v>
      </c>
      <c r="T242" s="228">
        <v>25000</v>
      </c>
      <c r="U242" s="228">
        <v>25000</v>
      </c>
    </row>
    <row r="243" spans="2:21" ht="24" customHeight="1">
      <c r="B243" s="1" t="s">
        <v>166</v>
      </c>
      <c r="C243" s="97"/>
      <c r="D243" s="97"/>
      <c r="E243" s="1" t="s">
        <v>170</v>
      </c>
      <c r="F243" s="97"/>
      <c r="G243" s="97"/>
      <c r="H243" s="97"/>
      <c r="I243" s="97"/>
      <c r="J243" s="97"/>
      <c r="K243" s="97"/>
      <c r="L243" s="97"/>
      <c r="M243" s="240">
        <v>76777</v>
      </c>
      <c r="N243" s="240">
        <v>0</v>
      </c>
      <c r="O243" s="164">
        <v>65000</v>
      </c>
      <c r="P243" s="164">
        <v>0</v>
      </c>
      <c r="Q243" s="240">
        <v>65000</v>
      </c>
      <c r="R243" s="240">
        <v>65000</v>
      </c>
      <c r="S243" s="240">
        <v>65000</v>
      </c>
      <c r="T243" s="240">
        <v>65000</v>
      </c>
      <c r="U243" s="240">
        <v>65000</v>
      </c>
    </row>
    <row r="244" spans="2:21" ht="24" customHeight="1">
      <c r="B244" s="1" t="s">
        <v>191</v>
      </c>
      <c r="C244" s="97"/>
      <c r="D244" s="97"/>
      <c r="E244" s="1" t="s">
        <v>548</v>
      </c>
      <c r="F244" s="97"/>
      <c r="G244" s="97"/>
      <c r="H244" s="97"/>
      <c r="I244" s="97"/>
      <c r="J244" s="97"/>
      <c r="K244" s="97"/>
      <c r="L244" s="97"/>
      <c r="M244" s="240">
        <v>72272</v>
      </c>
      <c r="N244" s="240">
        <v>60077</v>
      </c>
      <c r="O244" s="164">
        <v>72000</v>
      </c>
      <c r="P244" s="164">
        <v>99000</v>
      </c>
      <c r="Q244" s="240">
        <v>99000</v>
      </c>
      <c r="R244" s="240">
        <v>99000</v>
      </c>
      <c r="S244" s="240">
        <v>99000</v>
      </c>
      <c r="T244" s="240">
        <v>99000</v>
      </c>
      <c r="U244" s="240">
        <v>99000</v>
      </c>
    </row>
    <row r="245" spans="2:21" ht="24" customHeight="1">
      <c r="B245" s="1" t="s">
        <v>983</v>
      </c>
      <c r="C245" s="89"/>
      <c r="D245" s="89"/>
      <c r="E245" s="1" t="s">
        <v>15</v>
      </c>
      <c r="F245" s="89"/>
      <c r="G245" s="89"/>
      <c r="H245" s="95"/>
      <c r="I245" s="95"/>
      <c r="J245" s="95"/>
      <c r="K245" s="95"/>
      <c r="L245" s="95"/>
      <c r="M245" s="240">
        <v>166428</v>
      </c>
      <c r="N245" s="240">
        <v>179317</v>
      </c>
      <c r="O245" s="164">
        <v>165000</v>
      </c>
      <c r="P245" s="164">
        <v>170000</v>
      </c>
      <c r="Q245" s="240">
        <v>175100</v>
      </c>
      <c r="R245" s="240">
        <v>180353</v>
      </c>
      <c r="S245" s="240">
        <v>185764</v>
      </c>
      <c r="T245" s="240">
        <v>191337</v>
      </c>
      <c r="U245" s="240">
        <v>197077</v>
      </c>
    </row>
    <row r="246" spans="2:21" ht="24" customHeight="1">
      <c r="B246" s="1" t="s">
        <v>165</v>
      </c>
      <c r="C246" s="97"/>
      <c r="D246" s="97"/>
      <c r="E246" s="1" t="s">
        <v>224</v>
      </c>
      <c r="F246" s="97"/>
      <c r="G246" s="97"/>
      <c r="H246" s="97"/>
      <c r="I246" s="97"/>
      <c r="J246" s="97"/>
      <c r="K246" s="97"/>
      <c r="L246" s="97"/>
      <c r="M246" s="240">
        <v>1258</v>
      </c>
      <c r="N246" s="240">
        <v>1287</v>
      </c>
      <c r="O246" s="164">
        <v>1326</v>
      </c>
      <c r="P246" s="164">
        <v>1328</v>
      </c>
      <c r="Q246" s="240">
        <v>1368</v>
      </c>
      <c r="R246" s="240">
        <v>1409</v>
      </c>
      <c r="S246" s="240">
        <v>1451</v>
      </c>
      <c r="T246" s="240">
        <v>1495</v>
      </c>
      <c r="U246" s="240">
        <v>1540</v>
      </c>
    </row>
    <row r="247" spans="2:21" ht="24" customHeight="1">
      <c r="B247" s="1" t="s">
        <v>164</v>
      </c>
      <c r="C247" s="97"/>
      <c r="D247" s="97"/>
      <c r="E247" s="304" t="s">
        <v>169</v>
      </c>
      <c r="F247" s="97"/>
      <c r="G247" s="97"/>
      <c r="H247" s="97"/>
      <c r="I247" s="97"/>
      <c r="J247" s="97"/>
      <c r="K247" s="97"/>
      <c r="L247" s="97"/>
      <c r="M247" s="240">
        <v>882297</v>
      </c>
      <c r="N247" s="240">
        <v>877425</v>
      </c>
      <c r="O247" s="164">
        <v>1004700</v>
      </c>
      <c r="P247" s="164">
        <v>1191843</v>
      </c>
      <c r="Q247" s="240">
        <v>950000</v>
      </c>
      <c r="R247" s="240">
        <v>978500</v>
      </c>
      <c r="S247" s="240">
        <v>1007855</v>
      </c>
      <c r="T247" s="240">
        <v>1038091</v>
      </c>
      <c r="U247" s="240">
        <v>919234</v>
      </c>
    </row>
    <row r="248" spans="2:21" ht="24" customHeight="1">
      <c r="B248" s="1" t="s">
        <v>163</v>
      </c>
      <c r="C248" s="97"/>
      <c r="D248" s="97"/>
      <c r="E248" s="304" t="s">
        <v>811</v>
      </c>
      <c r="F248" s="97"/>
      <c r="G248" s="97"/>
      <c r="H248" s="97"/>
      <c r="I248" s="97"/>
      <c r="J248" s="97"/>
      <c r="K248" s="97"/>
      <c r="L248" s="97"/>
      <c r="M248" s="240">
        <v>385475</v>
      </c>
      <c r="N248" s="240">
        <v>429558</v>
      </c>
      <c r="O248" s="164">
        <v>413511</v>
      </c>
      <c r="P248" s="164">
        <v>490490</v>
      </c>
      <c r="Q248" s="240">
        <v>494841</v>
      </c>
      <c r="R248" s="240">
        <v>506893</v>
      </c>
      <c r="S248" s="240">
        <v>519307</v>
      </c>
      <c r="T248" s="240">
        <v>532093</v>
      </c>
      <c r="U248" s="240">
        <v>545263</v>
      </c>
    </row>
    <row r="249" spans="2:21" ht="24" customHeight="1">
      <c r="B249" s="1" t="s">
        <v>162</v>
      </c>
      <c r="C249" s="97"/>
      <c r="D249" s="97"/>
      <c r="E249" s="1" t="s">
        <v>223</v>
      </c>
      <c r="F249" s="97"/>
      <c r="G249" s="97"/>
      <c r="H249" s="97"/>
      <c r="I249" s="97"/>
      <c r="J249" s="97"/>
      <c r="K249" s="97"/>
      <c r="L249" s="97"/>
      <c r="M249" s="240">
        <v>146143</v>
      </c>
      <c r="N249" s="240">
        <v>58105</v>
      </c>
      <c r="O249" s="164">
        <v>145000</v>
      </c>
      <c r="P249" s="164">
        <v>148662</v>
      </c>
      <c r="Q249" s="240">
        <v>145000</v>
      </c>
      <c r="R249" s="240">
        <v>145000</v>
      </c>
      <c r="S249" s="240">
        <v>145000</v>
      </c>
      <c r="T249" s="240">
        <v>145000</v>
      </c>
      <c r="U249" s="240">
        <v>138539</v>
      </c>
    </row>
    <row r="250" spans="2:21" ht="24" customHeight="1">
      <c r="B250" s="1" t="s">
        <v>174</v>
      </c>
      <c r="C250" s="89"/>
      <c r="D250" s="89"/>
      <c r="E250" s="1" t="s">
        <v>18</v>
      </c>
      <c r="F250" s="89"/>
      <c r="G250" s="89"/>
      <c r="H250" s="89"/>
      <c r="I250" s="89"/>
      <c r="J250" s="89"/>
      <c r="K250" s="89"/>
      <c r="L250" s="89"/>
      <c r="M250" s="240">
        <v>651</v>
      </c>
      <c r="N250" s="240">
        <v>835</v>
      </c>
      <c r="O250" s="164">
        <v>1000</v>
      </c>
      <c r="P250" s="164">
        <v>1000</v>
      </c>
      <c r="Q250" s="240">
        <v>1000</v>
      </c>
      <c r="R250" s="240">
        <v>1000</v>
      </c>
      <c r="S250" s="240">
        <v>1000</v>
      </c>
      <c r="T250" s="240">
        <v>1000</v>
      </c>
      <c r="U250" s="240">
        <v>1000</v>
      </c>
    </row>
    <row r="251" spans="2:21" ht="24" customHeight="1">
      <c r="B251" s="1" t="s">
        <v>225</v>
      </c>
      <c r="C251" s="97"/>
      <c r="D251" s="97"/>
      <c r="E251" s="1" t="s">
        <v>226</v>
      </c>
      <c r="F251" s="89"/>
      <c r="G251" s="97"/>
      <c r="H251" s="97"/>
      <c r="I251" s="97"/>
      <c r="J251" s="97"/>
      <c r="K251" s="97"/>
      <c r="L251" s="97"/>
      <c r="M251" s="240">
        <v>5226</v>
      </c>
      <c r="N251" s="240">
        <v>0</v>
      </c>
      <c r="O251" s="164">
        <v>15000</v>
      </c>
      <c r="P251" s="164">
        <v>5000</v>
      </c>
      <c r="Q251" s="240">
        <v>10000</v>
      </c>
      <c r="R251" s="240">
        <v>10000</v>
      </c>
      <c r="S251" s="240">
        <v>10000</v>
      </c>
      <c r="T251" s="240">
        <v>10000</v>
      </c>
      <c r="U251" s="240">
        <v>10000</v>
      </c>
    </row>
    <row r="252" spans="2:21" ht="24" customHeight="1">
      <c r="B252" s="345" t="s">
        <v>1164</v>
      </c>
      <c r="C252" s="344"/>
      <c r="D252" s="344"/>
      <c r="E252" s="345" t="s">
        <v>1163</v>
      </c>
      <c r="F252" s="344"/>
      <c r="G252" s="344"/>
      <c r="H252" s="344"/>
      <c r="I252" s="344"/>
      <c r="J252" s="344"/>
      <c r="K252" s="344"/>
      <c r="L252" s="344"/>
      <c r="M252" s="261">
        <v>0</v>
      </c>
      <c r="N252" s="261">
        <v>0</v>
      </c>
      <c r="O252" s="167">
        <v>44000</v>
      </c>
      <c r="P252" s="167">
        <v>0</v>
      </c>
      <c r="Q252" s="261">
        <v>75000</v>
      </c>
      <c r="R252" s="261">
        <v>75000</v>
      </c>
      <c r="S252" s="261">
        <v>75000</v>
      </c>
      <c r="T252" s="261">
        <v>75000</v>
      </c>
      <c r="U252" s="261">
        <v>75000</v>
      </c>
    </row>
    <row r="253" spans="2:21" ht="24" customHeight="1">
      <c r="B253" s="402"/>
      <c r="C253" s="689" t="s">
        <v>1277</v>
      </c>
      <c r="D253" s="689"/>
      <c r="E253" s="689"/>
      <c r="F253" s="689"/>
      <c r="G253" s="689"/>
      <c r="H253" s="689"/>
      <c r="I253" s="689"/>
      <c r="J253" s="689"/>
      <c r="K253" s="689"/>
      <c r="L253" s="689"/>
      <c r="M253" s="410">
        <f>SUM(M220:M252)</f>
        <v>3161179</v>
      </c>
      <c r="N253" s="410">
        <f t="shared" ref="N253:U253" si="11">SUM(N220:N252)</f>
        <v>3740446</v>
      </c>
      <c r="O253" s="407">
        <f t="shared" si="11"/>
        <v>3739308</v>
      </c>
      <c r="P253" s="597">
        <f t="shared" si="11"/>
        <v>3849131.73</v>
      </c>
      <c r="Q253" s="410">
        <f t="shared" si="11"/>
        <v>4143104</v>
      </c>
      <c r="R253" s="410">
        <f t="shared" si="11"/>
        <v>4154011</v>
      </c>
      <c r="S253" s="410">
        <f t="shared" si="11"/>
        <v>4072225</v>
      </c>
      <c r="T253" s="410">
        <f t="shared" si="11"/>
        <v>4169052</v>
      </c>
      <c r="U253" s="410">
        <f t="shared" si="11"/>
        <v>4115196</v>
      </c>
    </row>
    <row r="254" spans="2:21" ht="6.9" customHeight="1">
      <c r="B254" s="402"/>
      <c r="C254" s="415"/>
      <c r="D254" s="415"/>
      <c r="E254" s="415"/>
      <c r="F254" s="415"/>
      <c r="G254" s="415"/>
      <c r="H254" s="415"/>
      <c r="I254" s="415"/>
      <c r="J254" s="415"/>
      <c r="K254" s="415"/>
      <c r="L254" s="415"/>
      <c r="M254" s="220"/>
      <c r="N254" s="240"/>
      <c r="O254" s="164"/>
      <c r="P254" s="164"/>
      <c r="Q254" s="240"/>
      <c r="R254" s="240"/>
      <c r="S254" s="240"/>
      <c r="T254" s="240"/>
      <c r="U254" s="240"/>
    </row>
    <row r="255" spans="2:21" ht="24" customHeight="1">
      <c r="B255" s="1" t="s">
        <v>1083</v>
      </c>
      <c r="C255" s="89"/>
      <c r="D255" s="89"/>
      <c r="E255" s="1" t="s">
        <v>941</v>
      </c>
      <c r="F255" s="89"/>
      <c r="G255" s="89"/>
      <c r="H255" s="89"/>
      <c r="I255" s="89"/>
      <c r="J255" s="89"/>
      <c r="K255" s="89"/>
      <c r="L255" s="89"/>
      <c r="M255" s="403">
        <v>240663</v>
      </c>
      <c r="N255" s="404">
        <v>1442336</v>
      </c>
      <c r="O255" s="405">
        <v>401250</v>
      </c>
      <c r="P255" s="405">
        <v>914712</v>
      </c>
      <c r="Q255" s="404">
        <v>804352</v>
      </c>
      <c r="R255" s="404">
        <v>1904042</v>
      </c>
      <c r="S255" s="404">
        <v>1209638</v>
      </c>
      <c r="T255" s="404">
        <v>1087670</v>
      </c>
      <c r="U255" s="404">
        <v>951606</v>
      </c>
    </row>
    <row r="256" spans="2:21" ht="24" customHeight="1">
      <c r="B256" s="527" t="s">
        <v>1318</v>
      </c>
      <c r="C256" s="526"/>
      <c r="D256" s="526"/>
      <c r="E256" s="527" t="s">
        <v>1319</v>
      </c>
      <c r="F256" s="526"/>
      <c r="G256" s="526"/>
      <c r="H256" s="526"/>
      <c r="I256" s="526"/>
      <c r="J256" s="526"/>
      <c r="K256" s="526"/>
      <c r="L256" s="526"/>
      <c r="M256" s="295">
        <v>0</v>
      </c>
      <c r="N256" s="265">
        <v>0</v>
      </c>
      <c r="O256" s="523">
        <v>304209</v>
      </c>
      <c r="P256" s="523">
        <v>3342189</v>
      </c>
      <c r="Q256" s="265">
        <v>776443</v>
      </c>
      <c r="R256" s="265">
        <v>68457</v>
      </c>
      <c r="S256" s="265">
        <v>394550</v>
      </c>
      <c r="T256" s="265">
        <v>730862</v>
      </c>
      <c r="U256" s="265">
        <v>1073116</v>
      </c>
    </row>
    <row r="257" spans="1:21" ht="24" customHeight="1">
      <c r="B257" s="1" t="s">
        <v>179</v>
      </c>
      <c r="C257" s="95"/>
      <c r="D257" s="95"/>
      <c r="E257" s="1" t="s">
        <v>192</v>
      </c>
      <c r="F257" s="95"/>
      <c r="G257" s="95"/>
      <c r="H257" s="95"/>
      <c r="I257" s="95"/>
      <c r="J257" s="95"/>
      <c r="K257" s="95"/>
      <c r="L257" s="95"/>
      <c r="M257" s="220">
        <v>315471</v>
      </c>
      <c r="N257" s="240">
        <v>310231</v>
      </c>
      <c r="O257" s="164">
        <v>321375</v>
      </c>
      <c r="P257" s="164">
        <v>319875</v>
      </c>
      <c r="Q257" s="240">
        <v>322075</v>
      </c>
      <c r="R257" s="240">
        <v>0</v>
      </c>
      <c r="S257" s="240">
        <v>0</v>
      </c>
      <c r="T257" s="240">
        <v>0</v>
      </c>
      <c r="U257" s="240">
        <v>0</v>
      </c>
    </row>
    <row r="258" spans="1:21" ht="24" customHeight="1">
      <c r="B258" s="1" t="s">
        <v>180</v>
      </c>
      <c r="C258" s="95"/>
      <c r="D258" s="95"/>
      <c r="E258" s="1" t="s">
        <v>194</v>
      </c>
      <c r="F258" s="95"/>
      <c r="G258" s="95"/>
      <c r="H258" s="95"/>
      <c r="I258" s="95"/>
      <c r="J258" s="95"/>
      <c r="K258" s="95"/>
      <c r="L258" s="95"/>
      <c r="M258" s="220">
        <v>575030</v>
      </c>
      <c r="N258" s="240">
        <v>174744</v>
      </c>
      <c r="O258" s="164">
        <v>519749</v>
      </c>
      <c r="P258" s="164">
        <v>519749</v>
      </c>
      <c r="Q258" s="240">
        <v>1600356</v>
      </c>
      <c r="R258" s="240">
        <v>1065723</v>
      </c>
      <c r="S258" s="240">
        <v>769303</v>
      </c>
      <c r="T258" s="240">
        <v>568980</v>
      </c>
      <c r="U258" s="240">
        <v>0</v>
      </c>
    </row>
    <row r="259" spans="1:21" ht="24" customHeight="1">
      <c r="B259" s="1" t="s">
        <v>181</v>
      </c>
      <c r="C259" s="95"/>
      <c r="D259" s="95"/>
      <c r="E259" s="1" t="s">
        <v>728</v>
      </c>
      <c r="F259" s="95"/>
      <c r="G259" s="95"/>
      <c r="H259" s="95"/>
      <c r="I259" s="95"/>
      <c r="J259" s="95"/>
      <c r="K259" s="95"/>
      <c r="L259" s="95"/>
      <c r="M259" s="220">
        <v>1410988</v>
      </c>
      <c r="N259" s="240">
        <v>1473433</v>
      </c>
      <c r="O259" s="164">
        <v>1434849</v>
      </c>
      <c r="P259" s="164">
        <v>1755955</v>
      </c>
      <c r="Q259" s="240">
        <v>2179541</v>
      </c>
      <c r="R259" s="240">
        <v>2236242</v>
      </c>
      <c r="S259" s="240">
        <v>2367924</v>
      </c>
      <c r="T259" s="240">
        <v>2445661</v>
      </c>
      <c r="U259" s="240">
        <v>2512504</v>
      </c>
    </row>
    <row r="260" spans="1:21" ht="24" customHeight="1">
      <c r="B260" s="1" t="s">
        <v>428</v>
      </c>
      <c r="C260" s="95"/>
      <c r="D260" s="95"/>
      <c r="E260" s="1" t="s">
        <v>429</v>
      </c>
      <c r="F260" s="95"/>
      <c r="G260" s="95"/>
      <c r="H260" s="95"/>
      <c r="I260" s="95"/>
      <c r="J260" s="95"/>
      <c r="K260" s="95"/>
      <c r="L260" s="95"/>
      <c r="M260" s="224">
        <v>24388</v>
      </c>
      <c r="N260" s="261">
        <v>25884</v>
      </c>
      <c r="O260" s="167">
        <v>26993</v>
      </c>
      <c r="P260" s="167">
        <v>21580</v>
      </c>
      <c r="Q260" s="261">
        <v>23638</v>
      </c>
      <c r="R260" s="261">
        <v>24996</v>
      </c>
      <c r="S260" s="261">
        <v>26436</v>
      </c>
      <c r="T260" s="261">
        <v>27962</v>
      </c>
      <c r="U260" s="261">
        <v>29580</v>
      </c>
    </row>
    <row r="261" spans="1:21" ht="24" customHeight="1">
      <c r="B261" s="1"/>
      <c r="C261" s="689" t="s">
        <v>599</v>
      </c>
      <c r="D261" s="689"/>
      <c r="E261" s="689"/>
      <c r="F261" s="689"/>
      <c r="G261" s="689"/>
      <c r="H261" s="689"/>
      <c r="I261" s="689"/>
      <c r="J261" s="689"/>
      <c r="K261" s="689"/>
      <c r="L261" s="689"/>
      <c r="M261" s="410">
        <f>SUM(M255:M260)</f>
        <v>2566540</v>
      </c>
      <c r="N261" s="410">
        <f t="shared" ref="N261:U261" si="12">SUM(N255:N260)</f>
        <v>3426628</v>
      </c>
      <c r="O261" s="407">
        <f t="shared" si="12"/>
        <v>3008425</v>
      </c>
      <c r="P261" s="597">
        <f t="shared" si="12"/>
        <v>6874060</v>
      </c>
      <c r="Q261" s="410">
        <f t="shared" si="12"/>
        <v>5706405</v>
      </c>
      <c r="R261" s="410">
        <f t="shared" si="12"/>
        <v>5299460</v>
      </c>
      <c r="S261" s="410">
        <f t="shared" si="12"/>
        <v>4767851</v>
      </c>
      <c r="T261" s="410">
        <f t="shared" si="12"/>
        <v>4861135</v>
      </c>
      <c r="U261" s="410">
        <f t="shared" si="12"/>
        <v>4566806</v>
      </c>
    </row>
    <row r="262" spans="1:21" s="401" customFormat="1" ht="15" customHeight="1">
      <c r="A262" s="576"/>
      <c r="B262" s="416"/>
      <c r="C262" s="417"/>
      <c r="D262" s="417"/>
      <c r="E262" s="416"/>
      <c r="F262" s="417"/>
      <c r="G262" s="417"/>
      <c r="H262" s="417"/>
      <c r="I262" s="417"/>
      <c r="J262" s="417"/>
      <c r="K262" s="417"/>
      <c r="L262" s="417"/>
      <c r="M262" s="418"/>
      <c r="N262" s="418"/>
      <c r="O262" s="419"/>
      <c r="P262" s="419"/>
      <c r="Q262" s="418"/>
      <c r="R262" s="418"/>
      <c r="S262" s="418"/>
      <c r="T262" s="418"/>
      <c r="U262" s="418"/>
    </row>
    <row r="263" spans="1:21" s="98" customFormat="1" ht="24" customHeight="1">
      <c r="A263" s="576"/>
      <c r="B263" s="360"/>
      <c r="C263" s="691" t="s">
        <v>1203</v>
      </c>
      <c r="D263" s="691"/>
      <c r="E263" s="691"/>
      <c r="F263" s="691"/>
      <c r="G263" s="691"/>
      <c r="H263" s="691"/>
      <c r="I263" s="691"/>
      <c r="J263" s="691"/>
      <c r="K263" s="691"/>
      <c r="L263" s="691"/>
      <c r="M263" s="409">
        <f t="shared" ref="M263:U263" si="13">M89+M110+M151+M177+M217+M253</f>
        <v>13439021</v>
      </c>
      <c r="N263" s="409">
        <f t="shared" si="13"/>
        <v>14606508</v>
      </c>
      <c r="O263" s="409">
        <f t="shared" si="13"/>
        <v>15091845</v>
      </c>
      <c r="P263" s="409">
        <f t="shared" si="13"/>
        <v>15137745.73</v>
      </c>
      <c r="Q263" s="409">
        <f t="shared" si="13"/>
        <v>16633331</v>
      </c>
      <c r="R263" s="409">
        <f t="shared" si="13"/>
        <v>17108681</v>
      </c>
      <c r="S263" s="409">
        <f t="shared" si="13"/>
        <v>17665961</v>
      </c>
      <c r="T263" s="409">
        <f t="shared" si="13"/>
        <v>18412926</v>
      </c>
      <c r="U263" s="409">
        <f t="shared" si="13"/>
        <v>19033934</v>
      </c>
    </row>
    <row r="264" spans="1:21" s="98" customFormat="1" ht="15" customHeight="1">
      <c r="A264" s="576"/>
      <c r="B264" s="420"/>
      <c r="C264" s="360"/>
      <c r="D264" s="360"/>
      <c r="E264" s="360"/>
      <c r="F264" s="360"/>
      <c r="G264" s="360"/>
      <c r="H264" s="360"/>
      <c r="I264" s="360"/>
      <c r="J264" s="360"/>
      <c r="K264" s="360"/>
      <c r="L264" s="360"/>
      <c r="M264" s="169"/>
      <c r="N264" s="169"/>
      <c r="O264" s="169"/>
      <c r="P264" s="169"/>
      <c r="Q264" s="169"/>
      <c r="R264" s="169"/>
      <c r="S264" s="169"/>
      <c r="T264" s="169"/>
      <c r="U264" s="169"/>
    </row>
    <row r="265" spans="1:21" s="98" customFormat="1" ht="24" customHeight="1">
      <c r="A265" s="576"/>
      <c r="B265" s="420"/>
      <c r="C265" s="692" t="s">
        <v>838</v>
      </c>
      <c r="D265" s="692"/>
      <c r="E265" s="692"/>
      <c r="F265" s="692"/>
      <c r="G265" s="692"/>
      <c r="H265" s="692"/>
      <c r="I265" s="692"/>
      <c r="J265" s="692"/>
      <c r="K265" s="692"/>
      <c r="L265" s="692"/>
      <c r="M265" s="428">
        <f t="shared" ref="M265:U265" si="14">M59</f>
        <v>32092</v>
      </c>
      <c r="N265" s="428">
        <f t="shared" si="14"/>
        <v>132689</v>
      </c>
      <c r="O265" s="428">
        <f t="shared" si="14"/>
        <v>35000</v>
      </c>
      <c r="P265" s="428">
        <f t="shared" si="14"/>
        <v>25000</v>
      </c>
      <c r="Q265" s="428">
        <f t="shared" si="14"/>
        <v>0</v>
      </c>
      <c r="R265" s="428">
        <f t="shared" si="14"/>
        <v>0</v>
      </c>
      <c r="S265" s="428">
        <f t="shared" si="14"/>
        <v>0</v>
      </c>
      <c r="T265" s="428">
        <f t="shared" si="14"/>
        <v>0</v>
      </c>
      <c r="U265" s="428">
        <f t="shared" si="14"/>
        <v>0</v>
      </c>
    </row>
    <row r="266" spans="1:21" s="98" customFormat="1" ht="24" customHeight="1">
      <c r="A266" s="576"/>
      <c r="B266" s="421"/>
      <c r="C266" s="693" t="s">
        <v>1204</v>
      </c>
      <c r="D266" s="693"/>
      <c r="E266" s="693"/>
      <c r="F266" s="693"/>
      <c r="G266" s="693"/>
      <c r="H266" s="693"/>
      <c r="I266" s="693"/>
      <c r="J266" s="693"/>
      <c r="K266" s="693"/>
      <c r="L266" s="693"/>
      <c r="M266" s="427">
        <f t="shared" ref="M266:U266" si="15">-M261</f>
        <v>-2566540</v>
      </c>
      <c r="N266" s="427">
        <f t="shared" si="15"/>
        <v>-3426628</v>
      </c>
      <c r="O266" s="427">
        <f t="shared" si="15"/>
        <v>-3008425</v>
      </c>
      <c r="P266" s="427">
        <f t="shared" si="15"/>
        <v>-6874060</v>
      </c>
      <c r="Q266" s="427">
        <f t="shared" si="15"/>
        <v>-5706405</v>
      </c>
      <c r="R266" s="427">
        <f t="shared" si="15"/>
        <v>-5299460</v>
      </c>
      <c r="S266" s="427">
        <f t="shared" si="15"/>
        <v>-4767851</v>
      </c>
      <c r="T266" s="427">
        <f t="shared" si="15"/>
        <v>-4861135</v>
      </c>
      <c r="U266" s="427">
        <f t="shared" si="15"/>
        <v>-4566806</v>
      </c>
    </row>
    <row r="267" spans="1:21" s="98" customFormat="1" ht="24" customHeight="1">
      <c r="A267" s="576"/>
      <c r="B267" s="426"/>
      <c r="C267" s="691" t="s">
        <v>1205</v>
      </c>
      <c r="D267" s="691"/>
      <c r="E267" s="691"/>
      <c r="F267" s="691"/>
      <c r="G267" s="691"/>
      <c r="H267" s="691"/>
      <c r="I267" s="691"/>
      <c r="J267" s="691"/>
      <c r="K267" s="691"/>
      <c r="L267" s="691"/>
      <c r="M267" s="409">
        <f>M265+M266</f>
        <v>-2534448</v>
      </c>
      <c r="N267" s="409">
        <f t="shared" ref="N267:U267" si="16">N265+N266</f>
        <v>-3293939</v>
      </c>
      <c r="O267" s="409">
        <f t="shared" si="16"/>
        <v>-2973425</v>
      </c>
      <c r="P267" s="280">
        <f t="shared" si="16"/>
        <v>-6849060</v>
      </c>
      <c r="Q267" s="409">
        <f t="shared" si="16"/>
        <v>-5706405</v>
      </c>
      <c r="R267" s="409">
        <f t="shared" si="16"/>
        <v>-5299460</v>
      </c>
      <c r="S267" s="409">
        <f t="shared" si="16"/>
        <v>-4767851</v>
      </c>
      <c r="T267" s="409">
        <f t="shared" si="16"/>
        <v>-4861135</v>
      </c>
      <c r="U267" s="409">
        <f t="shared" si="16"/>
        <v>-4566806</v>
      </c>
    </row>
    <row r="268" spans="1:21" s="98" customFormat="1" ht="15" customHeight="1">
      <c r="A268" s="576"/>
      <c r="B268" s="420"/>
      <c r="C268" s="360"/>
      <c r="D268" s="360"/>
      <c r="E268" s="360"/>
      <c r="F268" s="360"/>
      <c r="G268" s="360"/>
      <c r="H268" s="360"/>
      <c r="I268" s="360"/>
      <c r="J268" s="360"/>
      <c r="K268" s="360"/>
      <c r="L268" s="360"/>
      <c r="M268" s="169"/>
      <c r="N268" s="169"/>
      <c r="O268" s="169"/>
      <c r="P268" s="169"/>
      <c r="Q268" s="169"/>
      <c r="R268" s="169"/>
      <c r="S268" s="169"/>
      <c r="T268" s="169"/>
      <c r="U268" s="169"/>
    </row>
    <row r="269" spans="1:21" s="98" customFormat="1" ht="24" customHeight="1">
      <c r="A269" s="576"/>
      <c r="B269" s="422"/>
      <c r="C269" s="360"/>
      <c r="D269" s="360"/>
      <c r="E269" s="360"/>
      <c r="F269" s="360"/>
      <c r="G269" s="360"/>
      <c r="H269" s="360"/>
      <c r="I269" s="360"/>
      <c r="J269" s="360"/>
      <c r="K269" s="360"/>
      <c r="L269" s="360" t="s">
        <v>425</v>
      </c>
      <c r="M269" s="280">
        <f t="shared" ref="M269:U269" si="17">M55-M263+M267</f>
        <v>632238</v>
      </c>
      <c r="N269" s="280">
        <f t="shared" si="17"/>
        <v>1660294</v>
      </c>
      <c r="O269" s="280">
        <f t="shared" si="17"/>
        <v>0</v>
      </c>
      <c r="P269" s="280">
        <f t="shared" si="17"/>
        <v>226112.26999999955</v>
      </c>
      <c r="Q269" s="280">
        <f t="shared" si="17"/>
        <v>0</v>
      </c>
      <c r="R269" s="280">
        <f t="shared" si="17"/>
        <v>-1093921</v>
      </c>
      <c r="S269" s="280">
        <f t="shared" si="17"/>
        <v>-623671</v>
      </c>
      <c r="T269" s="280">
        <f t="shared" si="17"/>
        <v>-901588</v>
      </c>
      <c r="U269" s="280">
        <f t="shared" si="17"/>
        <v>-634101</v>
      </c>
    </row>
    <row r="270" spans="1:21" s="98" customFormat="1" ht="15" customHeight="1">
      <c r="A270" s="576"/>
      <c r="B270" s="422"/>
      <c r="C270" s="360"/>
      <c r="D270" s="360"/>
      <c r="E270" s="360"/>
      <c r="F270" s="360"/>
      <c r="G270" s="360"/>
      <c r="H270" s="360"/>
      <c r="I270" s="360"/>
      <c r="J270" s="360"/>
      <c r="K270" s="360"/>
      <c r="L270" s="360"/>
      <c r="M270" s="169"/>
      <c r="N270" s="169"/>
      <c r="O270" s="169"/>
      <c r="P270" s="171"/>
      <c r="Q270" s="171"/>
      <c r="R270" s="171"/>
      <c r="S270" s="171"/>
      <c r="T270" s="171"/>
      <c r="U270" s="171"/>
    </row>
    <row r="271" spans="1:21" s="100" customFormat="1" ht="24" customHeight="1">
      <c r="A271" s="583"/>
      <c r="B271" s="423"/>
      <c r="C271" s="423"/>
      <c r="D271" s="423"/>
      <c r="E271" s="423"/>
      <c r="F271" s="423"/>
      <c r="G271" s="423"/>
      <c r="H271" s="423"/>
      <c r="I271" s="423"/>
      <c r="J271" s="423"/>
      <c r="K271" s="423"/>
      <c r="L271" s="423" t="s">
        <v>427</v>
      </c>
      <c r="M271" s="409">
        <v>7512060</v>
      </c>
      <c r="N271" s="280">
        <v>9172354</v>
      </c>
      <c r="O271" s="409">
        <v>7512060</v>
      </c>
      <c r="P271" s="597">
        <f>N271+P269</f>
        <v>9398466.2699999996</v>
      </c>
      <c r="Q271" s="407">
        <f>P271+Q269</f>
        <v>9398466.2699999996</v>
      </c>
      <c r="R271" s="407">
        <f>Q271+R269</f>
        <v>8304545.2699999996</v>
      </c>
      <c r="S271" s="407">
        <f>R271+S269</f>
        <v>7680874.2699999996</v>
      </c>
      <c r="T271" s="407">
        <f>S271+T269</f>
        <v>6779286.2699999996</v>
      </c>
      <c r="U271" s="407">
        <f>T271+U269</f>
        <v>6145185.2699999996</v>
      </c>
    </row>
    <row r="272" spans="1:21" s="101" customFormat="1" ht="24" customHeight="1">
      <c r="A272" s="584"/>
      <c r="B272" s="424"/>
      <c r="C272" s="424"/>
      <c r="D272" s="424"/>
      <c r="E272" s="424"/>
      <c r="F272" s="424"/>
      <c r="G272" s="424"/>
      <c r="H272" s="424"/>
      <c r="I272" s="424"/>
      <c r="J272" s="424"/>
      <c r="K272" s="424"/>
      <c r="L272" s="430" t="s">
        <v>1206</v>
      </c>
      <c r="M272" s="179">
        <f t="shared" ref="M272:U272" si="18">M271/(M263+M261)</f>
        <v>0.46934062479909328</v>
      </c>
      <c r="N272" s="179">
        <f t="shared" si="18"/>
        <v>0.50863887456957013</v>
      </c>
      <c r="O272" s="179">
        <f t="shared" si="18"/>
        <v>0.41502474824961172</v>
      </c>
      <c r="P272" s="179">
        <f t="shared" si="18"/>
        <v>0.42697388779834555</v>
      </c>
      <c r="Q272" s="179">
        <f t="shared" si="18"/>
        <v>0.4207062370835537</v>
      </c>
      <c r="R272" s="179">
        <f t="shared" si="18"/>
        <v>0.37060393675673498</v>
      </c>
      <c r="S272" s="179">
        <f t="shared" si="18"/>
        <v>0.34237936334671965</v>
      </c>
      <c r="T272" s="179">
        <f t="shared" si="18"/>
        <v>0.29128076402308989</v>
      </c>
      <c r="U272" s="179">
        <f t="shared" si="18"/>
        <v>0.26038104186563638</v>
      </c>
    </row>
    <row r="273" spans="1:21" s="504" customFormat="1" ht="15" customHeight="1">
      <c r="A273" s="585"/>
      <c r="B273" s="305"/>
      <c r="C273" s="305"/>
      <c r="D273" s="305"/>
      <c r="E273" s="305"/>
      <c r="F273" s="305"/>
      <c r="G273" s="305"/>
      <c r="H273" s="305"/>
      <c r="I273" s="305"/>
      <c r="J273" s="305"/>
      <c r="K273" s="305"/>
      <c r="L273" s="305"/>
      <c r="M273" s="306"/>
      <c r="N273" s="306"/>
      <c r="O273" s="181"/>
      <c r="P273" s="181"/>
      <c r="Q273" s="306"/>
      <c r="R273" s="306"/>
      <c r="S273" s="306"/>
      <c r="T273" s="306"/>
      <c r="U273" s="306"/>
    </row>
    <row r="274" spans="1:21" s="86" customFormat="1" ht="15" customHeight="1">
      <c r="A274" s="586"/>
      <c r="B274" s="118"/>
      <c r="C274" s="118"/>
      <c r="D274" s="118"/>
      <c r="E274" s="118"/>
      <c r="F274" s="118"/>
      <c r="G274" s="118"/>
      <c r="H274" s="118"/>
      <c r="I274" s="118"/>
      <c r="J274" s="118"/>
      <c r="K274" s="118"/>
      <c r="L274" s="118"/>
      <c r="M274" s="248"/>
      <c r="N274" s="248"/>
      <c r="O274" s="181"/>
      <c r="P274" s="181"/>
      <c r="Q274" s="247"/>
      <c r="R274" s="247"/>
      <c r="S274" s="247"/>
      <c r="T274" s="247"/>
      <c r="U274" s="247"/>
    </row>
    <row r="275" spans="1:21" s="86" customFormat="1" ht="24" customHeight="1">
      <c r="A275" s="586"/>
      <c r="B275" s="163" t="s">
        <v>1283</v>
      </c>
      <c r="C275" s="347"/>
      <c r="D275" s="347"/>
      <c r="E275" s="347"/>
      <c r="F275" s="347"/>
      <c r="G275" s="347"/>
      <c r="H275" s="347"/>
      <c r="I275" s="347"/>
      <c r="J275" s="347"/>
      <c r="K275" s="347"/>
      <c r="L275" s="347"/>
      <c r="M275" s="249"/>
      <c r="N275" s="249"/>
      <c r="O275" s="182"/>
      <c r="P275" s="182"/>
      <c r="Q275" s="250"/>
      <c r="R275" s="250"/>
      <c r="S275" s="250"/>
      <c r="T275" s="250"/>
    </row>
    <row r="276" spans="1:21" s="86" customFormat="1" ht="15" customHeight="1">
      <c r="A276" s="586"/>
      <c r="B276" s="98"/>
      <c r="C276" s="98"/>
      <c r="D276" s="98"/>
      <c r="E276" s="98"/>
      <c r="F276" s="98"/>
      <c r="G276" s="98"/>
      <c r="H276" s="98"/>
      <c r="I276" s="98"/>
      <c r="J276" s="98"/>
      <c r="K276" s="98"/>
      <c r="L276" s="98"/>
      <c r="M276" s="249"/>
      <c r="N276" s="249"/>
      <c r="O276" s="182"/>
      <c r="P276" s="182"/>
      <c r="Q276" s="250"/>
      <c r="R276" s="250"/>
      <c r="S276" s="250"/>
      <c r="T276" s="250"/>
      <c r="U276" s="250"/>
    </row>
    <row r="277" spans="1:21" s="86" customFormat="1" ht="24" customHeight="1">
      <c r="A277" s="586"/>
      <c r="B277" s="89" t="s">
        <v>859</v>
      </c>
      <c r="C277" s="89"/>
      <c r="D277" s="89"/>
      <c r="E277" s="89" t="s">
        <v>860</v>
      </c>
      <c r="F277" s="89"/>
      <c r="G277" s="89"/>
      <c r="H277" s="89"/>
      <c r="I277" s="89"/>
      <c r="J277" s="89"/>
      <c r="K277" s="89"/>
      <c r="L277" s="89"/>
      <c r="M277" s="436">
        <v>13382</v>
      </c>
      <c r="N277" s="436">
        <v>16034</v>
      </c>
      <c r="O277" s="448">
        <v>19000</v>
      </c>
      <c r="P277" s="449">
        <v>16034</v>
      </c>
      <c r="Q277" s="438">
        <v>21500</v>
      </c>
      <c r="R277" s="438">
        <v>24000</v>
      </c>
      <c r="S277" s="438">
        <v>26500</v>
      </c>
      <c r="T277" s="438">
        <v>26500</v>
      </c>
      <c r="U277" s="438">
        <v>26500</v>
      </c>
    </row>
    <row r="278" spans="1:21" s="86" customFormat="1" ht="15" customHeight="1">
      <c r="A278" s="586"/>
      <c r="B278" s="89"/>
      <c r="C278" s="89"/>
      <c r="D278" s="89"/>
      <c r="E278" s="89"/>
      <c r="F278" s="89"/>
      <c r="G278" s="89"/>
      <c r="H278" s="89"/>
      <c r="I278" s="89"/>
      <c r="J278" s="89"/>
      <c r="K278" s="89"/>
      <c r="L278" s="89"/>
      <c r="M278" s="220"/>
      <c r="N278" s="220"/>
      <c r="O278" s="405"/>
      <c r="P278" s="405"/>
      <c r="Q278" s="414"/>
      <c r="R278" s="414"/>
      <c r="S278" s="414"/>
      <c r="T278" s="414"/>
      <c r="U278" s="414"/>
    </row>
    <row r="279" spans="1:21" s="98" customFormat="1" ht="24" customHeight="1">
      <c r="A279" s="576"/>
      <c r="B279" s="689" t="s">
        <v>1211</v>
      </c>
      <c r="C279" s="689"/>
      <c r="D279" s="689"/>
      <c r="E279" s="689"/>
      <c r="F279" s="689"/>
      <c r="G279" s="689"/>
      <c r="H279" s="689"/>
      <c r="I279" s="689"/>
      <c r="J279" s="689"/>
      <c r="K279" s="689"/>
      <c r="L279" s="689"/>
      <c r="M279" s="227">
        <f t="shared" ref="M279:U279" si="19">SUM(M277:M278)</f>
        <v>13382</v>
      </c>
      <c r="N279" s="227">
        <f t="shared" si="19"/>
        <v>16034</v>
      </c>
      <c r="O279" s="409">
        <f t="shared" si="19"/>
        <v>19000</v>
      </c>
      <c r="P279" s="409">
        <f t="shared" si="19"/>
        <v>16034</v>
      </c>
      <c r="Q279" s="408">
        <f t="shared" si="19"/>
        <v>21500</v>
      </c>
      <c r="R279" s="408">
        <f t="shared" si="19"/>
        <v>24000</v>
      </c>
      <c r="S279" s="408">
        <f t="shared" si="19"/>
        <v>26500</v>
      </c>
      <c r="T279" s="408">
        <f t="shared" si="19"/>
        <v>26500</v>
      </c>
      <c r="U279" s="408">
        <f t="shared" si="19"/>
        <v>26500</v>
      </c>
    </row>
    <row r="280" spans="1:21" s="86" customFormat="1" ht="15" customHeight="1">
      <c r="A280" s="586"/>
      <c r="B280" s="98"/>
      <c r="C280" s="98"/>
      <c r="D280" s="98"/>
      <c r="E280" s="98"/>
      <c r="F280" s="98"/>
      <c r="G280" s="98"/>
      <c r="H280" s="98"/>
      <c r="I280" s="98"/>
      <c r="J280" s="98"/>
      <c r="K280" s="98"/>
      <c r="L280" s="98"/>
      <c r="M280" s="231"/>
      <c r="N280" s="231"/>
      <c r="O280" s="183"/>
      <c r="P280" s="183"/>
      <c r="Q280" s="251"/>
      <c r="R280" s="251"/>
      <c r="S280" s="251"/>
      <c r="T280" s="251"/>
      <c r="U280" s="251"/>
    </row>
    <row r="281" spans="1:21" s="86" customFormat="1" ht="24" customHeight="1">
      <c r="A281" s="586"/>
      <c r="B281" s="1" t="s">
        <v>997</v>
      </c>
      <c r="C281" s="103"/>
      <c r="D281" s="103"/>
      <c r="E281" s="1" t="s">
        <v>10</v>
      </c>
      <c r="F281" s="103"/>
      <c r="G281" s="103"/>
      <c r="H281" s="103"/>
      <c r="I281" s="103"/>
      <c r="J281" s="103"/>
      <c r="K281" s="103"/>
      <c r="L281" s="103"/>
      <c r="M281" s="437">
        <v>3352</v>
      </c>
      <c r="N281" s="437">
        <v>0</v>
      </c>
      <c r="O281" s="450">
        <v>0</v>
      </c>
      <c r="P281" s="450">
        <v>0</v>
      </c>
      <c r="Q281" s="451">
        <v>0</v>
      </c>
      <c r="R281" s="451">
        <v>0</v>
      </c>
      <c r="S281" s="451">
        <v>0</v>
      </c>
      <c r="T281" s="451">
        <v>0</v>
      </c>
      <c r="U281" s="451">
        <v>0</v>
      </c>
    </row>
    <row r="282" spans="1:21" s="86" customFormat="1" ht="24" customHeight="1">
      <c r="A282" s="586"/>
      <c r="B282" s="1" t="s">
        <v>232</v>
      </c>
      <c r="C282" s="95"/>
      <c r="D282" s="95"/>
      <c r="E282" s="1" t="s">
        <v>832</v>
      </c>
      <c r="F282" s="95"/>
      <c r="G282" s="95"/>
      <c r="H282" s="95"/>
      <c r="I282" s="95"/>
      <c r="J282" s="95"/>
      <c r="K282" s="95"/>
      <c r="L282" s="95"/>
      <c r="M282" s="322">
        <v>7022</v>
      </c>
      <c r="N282" s="322">
        <v>19295</v>
      </c>
      <c r="O282" s="184">
        <v>59200</v>
      </c>
      <c r="P282" s="184">
        <f>59200-22000-1000-25000</f>
        <v>11200</v>
      </c>
      <c r="Q282" s="252">
        <f>12200+22000+25000</f>
        <v>59200</v>
      </c>
      <c r="R282" s="252">
        <f>ROUND(7200*1.2,0)+5000</f>
        <v>13640</v>
      </c>
      <c r="S282" s="252">
        <f>R282</f>
        <v>13640</v>
      </c>
      <c r="T282" s="252">
        <f>S282</f>
        <v>13640</v>
      </c>
      <c r="U282" s="252">
        <f>ROUND(7200*1.2^2,0)+5000</f>
        <v>15368</v>
      </c>
    </row>
    <row r="283" spans="1:21" s="86" customFormat="1" ht="15" customHeight="1">
      <c r="A283" s="586"/>
      <c r="B283" s="1"/>
      <c r="C283" s="95"/>
      <c r="D283" s="95"/>
      <c r="E283" s="1"/>
      <c r="F283" s="95"/>
      <c r="G283" s="95"/>
      <c r="H283" s="95"/>
      <c r="I283" s="95"/>
      <c r="J283" s="95"/>
      <c r="K283" s="95"/>
      <c r="L283" s="95"/>
      <c r="M283" s="238"/>
      <c r="N283" s="238"/>
      <c r="O283" s="176"/>
      <c r="P283" s="176"/>
      <c r="Q283" s="451"/>
      <c r="R283" s="207"/>
      <c r="S283" s="207"/>
      <c r="T283" s="207"/>
      <c r="U283" s="207"/>
    </row>
    <row r="284" spans="1:21" s="98" customFormat="1" ht="24" customHeight="1">
      <c r="A284" s="576"/>
      <c r="B284" s="689" t="s">
        <v>1212</v>
      </c>
      <c r="C284" s="689"/>
      <c r="D284" s="689"/>
      <c r="E284" s="689"/>
      <c r="F284" s="689"/>
      <c r="G284" s="689"/>
      <c r="H284" s="689"/>
      <c r="I284" s="689"/>
      <c r="J284" s="689"/>
      <c r="K284" s="689"/>
      <c r="L284" s="689"/>
      <c r="M284" s="408">
        <f>SUM(M281:M283)</f>
        <v>10374</v>
      </c>
      <c r="N284" s="408">
        <f t="shared" ref="N284:T284" si="20">SUM(N281:N283)</f>
        <v>19295</v>
      </c>
      <c r="O284" s="409">
        <f t="shared" si="20"/>
        <v>59200</v>
      </c>
      <c r="P284" s="409">
        <f t="shared" si="20"/>
        <v>11200</v>
      </c>
      <c r="Q284" s="408">
        <f t="shared" si="20"/>
        <v>59200</v>
      </c>
      <c r="R284" s="408">
        <f t="shared" si="20"/>
        <v>13640</v>
      </c>
      <c r="S284" s="408">
        <f t="shared" si="20"/>
        <v>13640</v>
      </c>
      <c r="T284" s="408">
        <f t="shared" si="20"/>
        <v>13640</v>
      </c>
      <c r="U284" s="408">
        <f>SUM(U281:U283)</f>
        <v>15368</v>
      </c>
    </row>
    <row r="285" spans="1:21" s="98" customFormat="1" ht="15" customHeight="1">
      <c r="A285" s="576"/>
      <c r="M285" s="408"/>
      <c r="N285" s="408"/>
      <c r="O285" s="409"/>
      <c r="P285" s="409"/>
      <c r="Q285" s="408"/>
      <c r="R285" s="408"/>
      <c r="S285" s="408"/>
      <c r="T285" s="408"/>
      <c r="U285" s="408"/>
    </row>
    <row r="286" spans="1:21" s="98" customFormat="1" ht="24" customHeight="1">
      <c r="A286" s="576"/>
      <c r="L286" s="98" t="s">
        <v>425</v>
      </c>
      <c r="M286" s="241">
        <f t="shared" ref="M286:U286" si="21">M279-M284</f>
        <v>3008</v>
      </c>
      <c r="N286" s="241">
        <f t="shared" si="21"/>
        <v>-3261</v>
      </c>
      <c r="O286" s="280">
        <f t="shared" si="21"/>
        <v>-40200</v>
      </c>
      <c r="P286" s="280">
        <f t="shared" si="21"/>
        <v>4834</v>
      </c>
      <c r="Q286" s="241">
        <f t="shared" si="21"/>
        <v>-37700</v>
      </c>
      <c r="R286" s="241">
        <f t="shared" si="21"/>
        <v>10360</v>
      </c>
      <c r="S286" s="241">
        <f t="shared" si="21"/>
        <v>12860</v>
      </c>
      <c r="T286" s="241">
        <f t="shared" si="21"/>
        <v>12860</v>
      </c>
      <c r="U286" s="241">
        <f t="shared" si="21"/>
        <v>11132</v>
      </c>
    </row>
    <row r="287" spans="1:21" s="98" customFormat="1" ht="15" customHeight="1">
      <c r="A287" s="576"/>
      <c r="M287" s="408"/>
      <c r="N287" s="408"/>
      <c r="O287" s="409"/>
      <c r="P287" s="409"/>
      <c r="Q287" s="408"/>
      <c r="R287" s="408"/>
      <c r="S287" s="408"/>
      <c r="T287" s="408"/>
      <c r="U287" s="408"/>
    </row>
    <row r="288" spans="1:21" s="98" customFormat="1" ht="24" customHeight="1">
      <c r="A288" s="576"/>
      <c r="L288" s="162" t="s">
        <v>427</v>
      </c>
      <c r="M288" s="408">
        <v>13492</v>
      </c>
      <c r="N288" s="408">
        <v>10231</v>
      </c>
      <c r="O288" s="409">
        <v>-32199</v>
      </c>
      <c r="P288" s="409">
        <f>N288+P286</f>
        <v>15065</v>
      </c>
      <c r="Q288" s="408">
        <f>P288+Q286</f>
        <v>-22635</v>
      </c>
      <c r="R288" s="408">
        <f>Q288+R286</f>
        <v>-12275</v>
      </c>
      <c r="S288" s="408">
        <f>R288+S286</f>
        <v>585</v>
      </c>
      <c r="T288" s="408">
        <f>S288+T286</f>
        <v>13445</v>
      </c>
      <c r="U288" s="408">
        <f>T288+U286</f>
        <v>24577</v>
      </c>
    </row>
    <row r="289" spans="1:21" s="101" customFormat="1" ht="24" customHeight="1">
      <c r="A289" s="584"/>
      <c r="M289" s="243">
        <f t="shared" ref="M289:U289" si="22">M288/M284</f>
        <v>1.3005590900327741</v>
      </c>
      <c r="N289" s="243">
        <f t="shared" si="22"/>
        <v>0.53024099507644462</v>
      </c>
      <c r="O289" s="179">
        <f t="shared" si="22"/>
        <v>-0.54390202702702706</v>
      </c>
      <c r="P289" s="179">
        <f t="shared" si="22"/>
        <v>1.3450892857142858</v>
      </c>
      <c r="Q289" s="243">
        <f t="shared" si="22"/>
        <v>-0.38234797297297296</v>
      </c>
      <c r="R289" s="243">
        <f t="shared" si="22"/>
        <v>-0.89992668621700878</v>
      </c>
      <c r="S289" s="243">
        <f t="shared" si="22"/>
        <v>4.2888563049853369E-2</v>
      </c>
      <c r="T289" s="243">
        <f t="shared" si="22"/>
        <v>0.98570381231671556</v>
      </c>
      <c r="U289" s="243">
        <f t="shared" si="22"/>
        <v>1.5992321707444039</v>
      </c>
    </row>
    <row r="290" spans="1:21" ht="15" customHeight="1">
      <c r="B290" s="89"/>
      <c r="C290" s="89"/>
      <c r="D290" s="89"/>
      <c r="E290" s="89"/>
      <c r="F290" s="89"/>
      <c r="G290" s="89"/>
      <c r="H290" s="89"/>
      <c r="I290" s="89"/>
      <c r="J290" s="89"/>
      <c r="K290" s="89"/>
      <c r="L290" s="89"/>
      <c r="M290" s="253"/>
      <c r="N290" s="254"/>
      <c r="O290" s="185"/>
      <c r="P290" s="185"/>
      <c r="Q290" s="255"/>
      <c r="R290" s="255"/>
      <c r="S290" s="255"/>
      <c r="T290" s="255"/>
      <c r="U290" s="255"/>
    </row>
    <row r="291" spans="1:21" ht="15" customHeight="1">
      <c r="B291" s="89"/>
      <c r="C291" s="89"/>
      <c r="D291" s="89"/>
      <c r="E291" s="89"/>
      <c r="F291" s="89"/>
      <c r="G291" s="89"/>
      <c r="H291" s="89"/>
      <c r="I291" s="89"/>
      <c r="J291" s="89"/>
      <c r="K291" s="89"/>
      <c r="L291" s="89"/>
      <c r="M291" s="254"/>
      <c r="N291" s="254"/>
      <c r="O291" s="185"/>
      <c r="P291" s="185"/>
      <c r="Q291" s="255"/>
      <c r="R291" s="255"/>
      <c r="S291" s="255"/>
      <c r="T291" s="255"/>
      <c r="U291" s="255"/>
    </row>
    <row r="292" spans="1:21" ht="24" customHeight="1">
      <c r="B292" s="163" t="s">
        <v>1284</v>
      </c>
      <c r="C292" s="161"/>
      <c r="D292" s="161"/>
      <c r="E292" s="161"/>
      <c r="F292" s="161"/>
      <c r="G292" s="161"/>
      <c r="H292" s="161"/>
      <c r="I292" s="161"/>
      <c r="J292" s="161"/>
      <c r="K292" s="161"/>
      <c r="L292" s="161"/>
      <c r="M292" s="254"/>
      <c r="N292" s="254"/>
      <c r="O292" s="185"/>
      <c r="P292" s="185"/>
      <c r="Q292" s="255"/>
      <c r="R292" s="255"/>
      <c r="S292" s="255"/>
      <c r="T292" s="250"/>
      <c r="U292" s="255"/>
    </row>
    <row r="293" spans="1:21" ht="15" customHeight="1">
      <c r="B293" s="89"/>
      <c r="C293" s="89"/>
      <c r="D293" s="89"/>
      <c r="E293" s="89"/>
      <c r="F293" s="89"/>
      <c r="G293" s="89"/>
      <c r="H293" s="89"/>
      <c r="I293" s="89"/>
      <c r="J293" s="89"/>
      <c r="K293" s="89"/>
      <c r="L293" s="89"/>
      <c r="M293" s="254"/>
      <c r="N293" s="254"/>
      <c r="O293" s="185"/>
      <c r="P293" s="185"/>
      <c r="Q293" s="255"/>
      <c r="R293" s="255"/>
      <c r="S293" s="255"/>
      <c r="T293" s="255"/>
      <c r="U293" s="255"/>
    </row>
    <row r="294" spans="1:21" ht="24" customHeight="1">
      <c r="B294" s="89" t="s">
        <v>857</v>
      </c>
      <c r="C294" s="89"/>
      <c r="D294" s="89"/>
      <c r="E294" s="89" t="s">
        <v>858</v>
      </c>
      <c r="F294" s="89"/>
      <c r="G294" s="89"/>
      <c r="H294" s="89"/>
      <c r="I294" s="89"/>
      <c r="J294" s="89"/>
      <c r="K294" s="89"/>
      <c r="L294" s="89"/>
      <c r="M294" s="435">
        <v>18140</v>
      </c>
      <c r="N294" s="438">
        <v>20363</v>
      </c>
      <c r="O294" s="448">
        <v>21000</v>
      </c>
      <c r="P294" s="449">
        <v>20363</v>
      </c>
      <c r="Q294" s="438">
        <v>21000</v>
      </c>
      <c r="R294" s="438">
        <v>22000</v>
      </c>
      <c r="S294" s="438">
        <v>22000</v>
      </c>
      <c r="T294" s="438">
        <v>22000</v>
      </c>
      <c r="U294" s="438">
        <v>22000</v>
      </c>
    </row>
    <row r="295" spans="1:21" ht="15" customHeight="1">
      <c r="B295" s="89"/>
      <c r="C295" s="89"/>
      <c r="D295" s="89"/>
      <c r="E295" s="89"/>
      <c r="F295" s="89"/>
      <c r="G295" s="89"/>
      <c r="H295" s="89"/>
      <c r="I295" s="89"/>
      <c r="J295" s="89"/>
      <c r="K295" s="89"/>
      <c r="L295" s="89"/>
      <c r="M295" s="403"/>
      <c r="N295" s="411"/>
      <c r="O295" s="405"/>
      <c r="P295" s="405"/>
      <c r="Q295" s="414"/>
      <c r="R295" s="414"/>
      <c r="S295" s="414"/>
      <c r="T295" s="414"/>
      <c r="U295" s="414"/>
    </row>
    <row r="296" spans="1:21" s="89" customFormat="1" ht="24" customHeight="1">
      <c r="A296" s="576"/>
      <c r="B296" s="689" t="s">
        <v>1213</v>
      </c>
      <c r="C296" s="689"/>
      <c r="D296" s="689"/>
      <c r="E296" s="689"/>
      <c r="F296" s="689"/>
      <c r="G296" s="689"/>
      <c r="H296" s="689"/>
      <c r="I296" s="689"/>
      <c r="J296" s="689"/>
      <c r="K296" s="689"/>
      <c r="L296" s="689"/>
      <c r="M296" s="408">
        <f>SUM(M294:M295)</f>
        <v>18140</v>
      </c>
      <c r="N296" s="425">
        <f t="shared" ref="N296:U296" si="23">SUM(N294:N295)</f>
        <v>20363</v>
      </c>
      <c r="O296" s="409">
        <f t="shared" si="23"/>
        <v>21000</v>
      </c>
      <c r="P296" s="409">
        <f t="shared" si="23"/>
        <v>20363</v>
      </c>
      <c r="Q296" s="408">
        <f t="shared" si="23"/>
        <v>21000</v>
      </c>
      <c r="R296" s="408">
        <f t="shared" si="23"/>
        <v>22000</v>
      </c>
      <c r="S296" s="408">
        <f t="shared" si="23"/>
        <v>22000</v>
      </c>
      <c r="T296" s="408">
        <f t="shared" si="23"/>
        <v>22000</v>
      </c>
      <c r="U296" s="408">
        <f t="shared" si="23"/>
        <v>22000</v>
      </c>
    </row>
    <row r="297" spans="1:21" ht="15" customHeight="1">
      <c r="B297" s="89"/>
      <c r="C297" s="89"/>
      <c r="D297" s="89"/>
      <c r="E297" s="89"/>
      <c r="F297" s="89"/>
      <c r="G297" s="89"/>
      <c r="H297" s="89"/>
      <c r="I297" s="89"/>
      <c r="J297" s="89"/>
      <c r="K297" s="89"/>
      <c r="L297" s="98"/>
      <c r="M297" s="227"/>
      <c r="N297" s="300"/>
      <c r="O297" s="183"/>
      <c r="P297" s="183"/>
      <c r="Q297" s="251"/>
      <c r="R297" s="251"/>
      <c r="S297" s="251"/>
      <c r="T297" s="251"/>
      <c r="U297" s="251"/>
    </row>
    <row r="298" spans="1:21" ht="24" customHeight="1">
      <c r="B298" s="1" t="s">
        <v>782</v>
      </c>
      <c r="C298" s="103"/>
      <c r="D298" s="103"/>
      <c r="E298" s="96" t="s">
        <v>783</v>
      </c>
      <c r="F298" s="103"/>
      <c r="G298" s="103"/>
      <c r="H298" s="103"/>
      <c r="I298" s="103"/>
      <c r="J298" s="103"/>
      <c r="K298" s="103"/>
      <c r="L298" s="103"/>
      <c r="M298" s="437">
        <v>0</v>
      </c>
      <c r="N298" s="437">
        <v>4275</v>
      </c>
      <c r="O298" s="450">
        <v>5000</v>
      </c>
      <c r="P298" s="450">
        <v>5000</v>
      </c>
      <c r="Q298" s="451">
        <v>5000</v>
      </c>
      <c r="R298" s="451">
        <v>5000</v>
      </c>
      <c r="S298" s="451">
        <v>5000</v>
      </c>
      <c r="T298" s="451">
        <v>5000</v>
      </c>
      <c r="U298" s="451">
        <v>5000</v>
      </c>
    </row>
    <row r="299" spans="1:21" ht="24" customHeight="1">
      <c r="B299" s="1" t="s">
        <v>998</v>
      </c>
      <c r="C299" s="103"/>
      <c r="D299" s="103"/>
      <c r="E299" s="387" t="s">
        <v>10</v>
      </c>
      <c r="F299" s="103"/>
      <c r="G299" s="103"/>
      <c r="H299" s="103"/>
      <c r="I299" s="103"/>
      <c r="J299" s="103"/>
      <c r="K299" s="103"/>
      <c r="L299" s="103"/>
      <c r="M299" s="352">
        <v>3258</v>
      </c>
      <c r="N299" s="437">
        <v>0</v>
      </c>
      <c r="O299" s="176">
        <v>0</v>
      </c>
      <c r="P299" s="176">
        <v>0</v>
      </c>
      <c r="Q299" s="207">
        <v>0</v>
      </c>
      <c r="R299" s="207">
        <v>0</v>
      </c>
      <c r="S299" s="207">
        <v>0</v>
      </c>
      <c r="T299" s="207">
        <v>0</v>
      </c>
      <c r="U299" s="207">
        <v>0</v>
      </c>
    </row>
    <row r="300" spans="1:21" ht="24" customHeight="1">
      <c r="B300" s="1" t="s">
        <v>231</v>
      </c>
      <c r="C300" s="95"/>
      <c r="D300" s="95"/>
      <c r="E300" s="1" t="s">
        <v>832</v>
      </c>
      <c r="F300" s="95"/>
      <c r="G300" s="95"/>
      <c r="H300" s="95"/>
      <c r="I300" s="95"/>
      <c r="J300" s="95"/>
      <c r="K300" s="95"/>
      <c r="L300" s="95"/>
      <c r="M300" s="322">
        <v>8455</v>
      </c>
      <c r="N300" s="322">
        <v>8297</v>
      </c>
      <c r="O300" s="184">
        <v>12200</v>
      </c>
      <c r="P300" s="184">
        <v>10000</v>
      </c>
      <c r="Q300" s="252">
        <f>7200+5000</f>
        <v>12200</v>
      </c>
      <c r="R300" s="252">
        <f>ROUND(7200*1.2,0)+5000</f>
        <v>13640</v>
      </c>
      <c r="S300" s="252">
        <f>R300</f>
        <v>13640</v>
      </c>
      <c r="T300" s="252">
        <f>S300</f>
        <v>13640</v>
      </c>
      <c r="U300" s="252">
        <f>ROUND(7200*1.2^2,0)+5000</f>
        <v>15368</v>
      </c>
    </row>
    <row r="301" spans="1:21" ht="15" customHeight="1">
      <c r="B301" s="1"/>
      <c r="C301" s="95"/>
      <c r="D301" s="95"/>
      <c r="E301" s="1"/>
      <c r="F301" s="95"/>
      <c r="G301" s="95"/>
      <c r="H301" s="95"/>
      <c r="I301" s="95"/>
      <c r="J301" s="95"/>
      <c r="K301" s="95"/>
      <c r="L301" s="95"/>
      <c r="M301" s="238"/>
      <c r="N301" s="238"/>
      <c r="O301" s="176"/>
      <c r="P301" s="176"/>
      <c r="Q301" s="207"/>
      <c r="R301" s="207"/>
      <c r="S301" s="207"/>
      <c r="T301" s="207"/>
      <c r="U301" s="207"/>
    </row>
    <row r="302" spans="1:21" s="89" customFormat="1" ht="24" customHeight="1">
      <c r="A302" s="576"/>
      <c r="B302" s="689" t="s">
        <v>1214</v>
      </c>
      <c r="C302" s="689"/>
      <c r="D302" s="689"/>
      <c r="E302" s="689"/>
      <c r="F302" s="689"/>
      <c r="G302" s="689"/>
      <c r="H302" s="689"/>
      <c r="I302" s="689"/>
      <c r="J302" s="689"/>
      <c r="K302" s="689"/>
      <c r="L302" s="689"/>
      <c r="M302" s="408">
        <f>SUM(M298:M301)</f>
        <v>11713</v>
      </c>
      <c r="N302" s="408">
        <f t="shared" ref="N302:U302" si="24">SUM(N298:N301)</f>
        <v>12572</v>
      </c>
      <c r="O302" s="409">
        <f t="shared" si="24"/>
        <v>17200</v>
      </c>
      <c r="P302" s="409">
        <f t="shared" si="24"/>
        <v>15000</v>
      </c>
      <c r="Q302" s="408">
        <f t="shared" si="24"/>
        <v>17200</v>
      </c>
      <c r="R302" s="408">
        <f t="shared" si="24"/>
        <v>18640</v>
      </c>
      <c r="S302" s="408">
        <f t="shared" si="24"/>
        <v>18640</v>
      </c>
      <c r="T302" s="408">
        <f t="shared" si="24"/>
        <v>18640</v>
      </c>
      <c r="U302" s="408">
        <f t="shared" si="24"/>
        <v>20368</v>
      </c>
    </row>
    <row r="303" spans="1:21" s="89" customFormat="1" ht="15" customHeight="1">
      <c r="A303" s="576"/>
      <c r="M303" s="439"/>
      <c r="N303" s="439"/>
      <c r="O303" s="428"/>
      <c r="P303" s="428"/>
      <c r="Q303" s="439"/>
      <c r="R303" s="439"/>
      <c r="S303" s="439"/>
      <c r="T303" s="439"/>
      <c r="U303" s="439"/>
    </row>
    <row r="304" spans="1:21" s="89" customFormat="1" ht="24" customHeight="1">
      <c r="A304" s="576"/>
      <c r="L304" s="98" t="s">
        <v>425</v>
      </c>
      <c r="M304" s="241">
        <f t="shared" ref="M304:U304" si="25">M296-M302</f>
        <v>6427</v>
      </c>
      <c r="N304" s="241">
        <f t="shared" si="25"/>
        <v>7791</v>
      </c>
      <c r="O304" s="280">
        <f t="shared" si="25"/>
        <v>3800</v>
      </c>
      <c r="P304" s="280">
        <f t="shared" si="25"/>
        <v>5363</v>
      </c>
      <c r="Q304" s="241">
        <f t="shared" si="25"/>
        <v>3800</v>
      </c>
      <c r="R304" s="241">
        <f t="shared" si="25"/>
        <v>3360</v>
      </c>
      <c r="S304" s="241">
        <f t="shared" si="25"/>
        <v>3360</v>
      </c>
      <c r="T304" s="241">
        <f t="shared" si="25"/>
        <v>3360</v>
      </c>
      <c r="U304" s="241">
        <f t="shared" si="25"/>
        <v>1632</v>
      </c>
    </row>
    <row r="305" spans="1:21" s="89" customFormat="1" ht="15" customHeight="1">
      <c r="A305" s="576"/>
      <c r="M305" s="408"/>
      <c r="N305" s="408"/>
      <c r="O305" s="409"/>
      <c r="P305" s="409"/>
      <c r="Q305" s="408"/>
      <c r="R305" s="408"/>
      <c r="S305" s="408"/>
      <c r="T305" s="408"/>
      <c r="U305" s="408"/>
    </row>
    <row r="306" spans="1:21" s="89" customFormat="1" ht="24" customHeight="1">
      <c r="A306" s="576"/>
      <c r="L306" s="162" t="s">
        <v>427</v>
      </c>
      <c r="M306" s="408">
        <v>-16200</v>
      </c>
      <c r="N306" s="408">
        <v>-8409</v>
      </c>
      <c r="O306" s="409">
        <v>-9237</v>
      </c>
      <c r="P306" s="409">
        <f>N306+P304</f>
        <v>-3046</v>
      </c>
      <c r="Q306" s="408">
        <f>P306+Q304</f>
        <v>754</v>
      </c>
      <c r="R306" s="408">
        <f>Q306+R304</f>
        <v>4114</v>
      </c>
      <c r="S306" s="408">
        <f>R306+S304</f>
        <v>7474</v>
      </c>
      <c r="T306" s="408">
        <f>S306+T304</f>
        <v>10834</v>
      </c>
      <c r="U306" s="408">
        <f>T306+U304</f>
        <v>12466</v>
      </c>
    </row>
    <row r="307" spans="1:21" s="104" customFormat="1" ht="24" customHeight="1">
      <c r="A307" s="584"/>
      <c r="M307" s="243">
        <f t="shared" ref="M307:U307" si="26">M306/M302</f>
        <v>-1.3830786305814053</v>
      </c>
      <c r="N307" s="243">
        <f t="shared" si="26"/>
        <v>-0.66886732421253581</v>
      </c>
      <c r="O307" s="179">
        <f t="shared" si="26"/>
        <v>-0.53703488372093022</v>
      </c>
      <c r="P307" s="179">
        <f t="shared" si="26"/>
        <v>-0.20306666666666667</v>
      </c>
      <c r="Q307" s="243">
        <f t="shared" si="26"/>
        <v>4.3837209302325583E-2</v>
      </c>
      <c r="R307" s="243">
        <f t="shared" si="26"/>
        <v>0.22070815450643777</v>
      </c>
      <c r="S307" s="243">
        <f t="shared" si="26"/>
        <v>0.40096566523605148</v>
      </c>
      <c r="T307" s="243">
        <f t="shared" si="26"/>
        <v>0.5812231759656652</v>
      </c>
      <c r="U307" s="243">
        <f t="shared" si="26"/>
        <v>0.6120384917517675</v>
      </c>
    </row>
    <row r="308" spans="1:21" ht="15" customHeight="1">
      <c r="B308" s="89"/>
      <c r="C308" s="89"/>
      <c r="D308" s="89"/>
      <c r="E308" s="89"/>
      <c r="F308" s="89"/>
      <c r="G308" s="89"/>
      <c r="H308" s="89"/>
      <c r="I308" s="89"/>
      <c r="J308" s="89"/>
      <c r="K308" s="89"/>
      <c r="L308" s="89"/>
      <c r="M308" s="254"/>
      <c r="N308" s="254"/>
      <c r="O308" s="185"/>
      <c r="P308" s="185"/>
      <c r="Q308" s="255"/>
      <c r="R308" s="255"/>
      <c r="S308" s="255"/>
      <c r="T308" s="255"/>
      <c r="U308" s="255"/>
    </row>
    <row r="309" spans="1:21" ht="24" customHeight="1">
      <c r="B309" s="163" t="s">
        <v>1285</v>
      </c>
      <c r="C309" s="89"/>
      <c r="D309" s="89"/>
      <c r="E309" s="89"/>
      <c r="F309" s="89"/>
      <c r="G309" s="89"/>
      <c r="H309" s="89"/>
      <c r="I309" s="89"/>
      <c r="J309" s="89"/>
      <c r="K309" s="89"/>
      <c r="L309" s="89"/>
      <c r="M309" s="254"/>
      <c r="N309" s="254"/>
      <c r="O309" s="185"/>
      <c r="P309" s="185"/>
      <c r="Q309" s="87"/>
      <c r="R309" s="87"/>
      <c r="S309" s="87"/>
      <c r="T309" s="87"/>
      <c r="U309" s="87"/>
    </row>
    <row r="310" spans="1:21" ht="15" customHeight="1">
      <c r="B310" s="89"/>
      <c r="C310" s="89"/>
      <c r="D310" s="89"/>
      <c r="E310" s="89"/>
      <c r="F310" s="89"/>
      <c r="G310" s="89"/>
      <c r="H310" s="89"/>
      <c r="I310" s="89"/>
      <c r="J310" s="89"/>
      <c r="K310" s="89"/>
      <c r="L310" s="89"/>
      <c r="M310" s="254"/>
      <c r="N310" s="254"/>
      <c r="O310" s="185"/>
      <c r="P310" s="185"/>
      <c r="Q310" s="255"/>
      <c r="R310" s="255"/>
      <c r="S310" s="255"/>
      <c r="T310" s="255"/>
      <c r="U310" s="255"/>
    </row>
    <row r="311" spans="1:21" ht="24" customHeight="1">
      <c r="B311" s="1" t="s">
        <v>233</v>
      </c>
      <c r="C311" s="89"/>
      <c r="D311" s="89"/>
      <c r="E311" s="304" t="s">
        <v>234</v>
      </c>
      <c r="F311" s="89"/>
      <c r="G311" s="89"/>
      <c r="H311" s="89"/>
      <c r="I311" s="89"/>
      <c r="J311" s="89"/>
      <c r="K311" s="89"/>
      <c r="L311" s="89"/>
      <c r="M311" s="404">
        <v>466091</v>
      </c>
      <c r="N311" s="404">
        <v>396493</v>
      </c>
      <c r="O311" s="405">
        <v>482526</v>
      </c>
      <c r="P311" s="164">
        <v>466371</v>
      </c>
      <c r="Q311" s="240">
        <v>506026</v>
      </c>
      <c r="R311" s="404">
        <v>516147</v>
      </c>
      <c r="S311" s="404">
        <v>526470</v>
      </c>
      <c r="T311" s="404">
        <v>536999</v>
      </c>
      <c r="U311" s="404">
        <v>547739</v>
      </c>
    </row>
    <row r="312" spans="1:21" ht="24" customHeight="1">
      <c r="B312" s="1" t="s">
        <v>235</v>
      </c>
      <c r="C312" s="89"/>
      <c r="D312" s="89"/>
      <c r="E312" s="309" t="s">
        <v>236</v>
      </c>
      <c r="F312" s="89"/>
      <c r="G312" s="89"/>
      <c r="H312" s="89"/>
      <c r="I312" s="89"/>
      <c r="J312" s="89"/>
      <c r="K312" s="89"/>
      <c r="L312" s="89"/>
      <c r="M312" s="240">
        <v>47299</v>
      </c>
      <c r="N312" s="240">
        <v>79463</v>
      </c>
      <c r="O312" s="164">
        <v>11000</v>
      </c>
      <c r="P312" s="164">
        <v>79463</v>
      </c>
      <c r="Q312" s="240">
        <v>79463</v>
      </c>
      <c r="R312" s="240">
        <v>79463</v>
      </c>
      <c r="S312" s="240">
        <v>79463</v>
      </c>
      <c r="T312" s="240">
        <v>79463</v>
      </c>
      <c r="U312" s="240">
        <v>79463</v>
      </c>
    </row>
    <row r="313" spans="1:21" ht="24" customHeight="1">
      <c r="B313" s="368" t="s">
        <v>1172</v>
      </c>
      <c r="C313" s="369"/>
      <c r="D313" s="369"/>
      <c r="E313" s="309" t="s">
        <v>1173</v>
      </c>
      <c r="F313" s="369"/>
      <c r="G313" s="369"/>
      <c r="H313" s="369"/>
      <c r="I313" s="369"/>
      <c r="J313" s="369"/>
      <c r="K313" s="369"/>
      <c r="L313" s="369"/>
      <c r="M313" s="240">
        <v>235852</v>
      </c>
      <c r="N313" s="240">
        <v>284572</v>
      </c>
      <c r="O313" s="164">
        <v>346618</v>
      </c>
      <c r="P313" s="164">
        <v>342681</v>
      </c>
      <c r="Q313" s="240">
        <v>381134</v>
      </c>
      <c r="R313" s="240">
        <v>388757</v>
      </c>
      <c r="S313" s="240">
        <v>396532</v>
      </c>
      <c r="T313" s="240">
        <v>404463</v>
      </c>
      <c r="U313" s="240">
        <v>412552</v>
      </c>
    </row>
    <row r="314" spans="1:21" ht="24" customHeight="1">
      <c r="B314" s="304" t="s">
        <v>1154</v>
      </c>
      <c r="C314" s="336"/>
      <c r="D314" s="336"/>
      <c r="E314" s="309" t="s">
        <v>1153</v>
      </c>
      <c r="F314" s="336"/>
      <c r="G314" s="336"/>
      <c r="H314" s="336"/>
      <c r="I314" s="336"/>
      <c r="J314" s="336"/>
      <c r="K314" s="336"/>
      <c r="L314" s="336"/>
      <c r="M314" s="240">
        <v>0</v>
      </c>
      <c r="N314" s="240">
        <v>626812</v>
      </c>
      <c r="O314" s="164">
        <v>417875</v>
      </c>
      <c r="P314" s="164">
        <v>417875</v>
      </c>
      <c r="Q314" s="240">
        <v>208937</v>
      </c>
      <c r="R314" s="240">
        <v>0</v>
      </c>
      <c r="S314" s="240">
        <v>0</v>
      </c>
      <c r="T314" s="240">
        <v>0</v>
      </c>
      <c r="U314" s="240">
        <v>0</v>
      </c>
    </row>
    <row r="315" spans="1:21" ht="24" customHeight="1">
      <c r="B315" s="1" t="s">
        <v>237</v>
      </c>
      <c r="C315" s="95"/>
      <c r="D315" s="95"/>
      <c r="E315" s="688" t="s">
        <v>6</v>
      </c>
      <c r="F315" s="688"/>
      <c r="G315" s="688"/>
      <c r="H315" s="688"/>
      <c r="I315" s="688"/>
      <c r="J315" s="688"/>
      <c r="K315" s="688"/>
      <c r="L315" s="688"/>
      <c r="M315" s="240">
        <v>9563</v>
      </c>
      <c r="N315" s="240">
        <v>1402</v>
      </c>
      <c r="O315" s="164">
        <v>2000</v>
      </c>
      <c r="P315" s="164">
        <v>525</v>
      </c>
      <c r="Q315" s="240">
        <v>1000</v>
      </c>
      <c r="R315" s="240">
        <v>2000</v>
      </c>
      <c r="S315" s="240">
        <v>3000</v>
      </c>
      <c r="T315" s="240">
        <v>5000</v>
      </c>
      <c r="U315" s="240">
        <v>7500</v>
      </c>
    </row>
    <row r="316" spans="1:21" ht="24" customHeight="1">
      <c r="B316" s="158" t="s">
        <v>1124</v>
      </c>
      <c r="C316" s="157"/>
      <c r="D316" s="157"/>
      <c r="E316" s="157" t="s">
        <v>61</v>
      </c>
      <c r="F316" s="157"/>
      <c r="G316" s="157"/>
      <c r="H316" s="157"/>
      <c r="I316" s="157"/>
      <c r="J316" s="157"/>
      <c r="K316" s="157"/>
      <c r="L316" s="157"/>
      <c r="M316" s="261">
        <v>26717</v>
      </c>
      <c r="N316" s="261">
        <v>0</v>
      </c>
      <c r="O316" s="167">
        <v>0</v>
      </c>
      <c r="P316" s="167">
        <v>0</v>
      </c>
      <c r="Q316" s="225">
        <v>0</v>
      </c>
      <c r="R316" s="225">
        <v>0</v>
      </c>
      <c r="S316" s="225">
        <v>0</v>
      </c>
      <c r="T316" s="225">
        <v>0</v>
      </c>
      <c r="U316" s="225">
        <v>0</v>
      </c>
    </row>
    <row r="317" spans="1:21" ht="15" customHeight="1">
      <c r="B317" s="89"/>
      <c r="C317" s="89"/>
      <c r="D317" s="89"/>
      <c r="E317" s="89"/>
      <c r="F317" s="89"/>
      <c r="G317" s="89"/>
      <c r="H317" s="89"/>
      <c r="I317" s="89"/>
      <c r="J317" s="89"/>
      <c r="K317" s="89"/>
      <c r="L317" s="89"/>
      <c r="M317" s="226"/>
      <c r="N317" s="226"/>
      <c r="O317" s="168"/>
      <c r="P317" s="168"/>
      <c r="Q317" s="219"/>
      <c r="R317" s="219"/>
      <c r="S317" s="219"/>
      <c r="T317" s="219"/>
      <c r="U317" s="219"/>
    </row>
    <row r="318" spans="1:21" s="89" customFormat="1" ht="24" customHeight="1">
      <c r="A318" s="576"/>
      <c r="B318" s="689" t="s">
        <v>1215</v>
      </c>
      <c r="C318" s="689"/>
      <c r="D318" s="689"/>
      <c r="E318" s="689"/>
      <c r="F318" s="689"/>
      <c r="G318" s="689"/>
      <c r="H318" s="689"/>
      <c r="I318" s="689"/>
      <c r="J318" s="689"/>
      <c r="K318" s="689"/>
      <c r="L318" s="689"/>
      <c r="M318" s="408">
        <f t="shared" ref="M318:U318" si="27">SUM(M311:M317)</f>
        <v>785522</v>
      </c>
      <c r="N318" s="408">
        <f t="shared" si="27"/>
        <v>1388742</v>
      </c>
      <c r="O318" s="409">
        <f t="shared" si="27"/>
        <v>1260019</v>
      </c>
      <c r="P318" s="409">
        <f t="shared" si="27"/>
        <v>1306915</v>
      </c>
      <c r="Q318" s="408">
        <f t="shared" si="27"/>
        <v>1176560</v>
      </c>
      <c r="R318" s="408">
        <f t="shared" si="27"/>
        <v>986367</v>
      </c>
      <c r="S318" s="408">
        <f t="shared" si="27"/>
        <v>1005465</v>
      </c>
      <c r="T318" s="408">
        <f t="shared" si="27"/>
        <v>1025925</v>
      </c>
      <c r="U318" s="408">
        <f t="shared" si="27"/>
        <v>1047254</v>
      </c>
    </row>
    <row r="319" spans="1:21" ht="15" customHeight="1">
      <c r="B319" s="89"/>
      <c r="C319" s="89"/>
      <c r="D319" s="89"/>
      <c r="E319" s="89"/>
      <c r="F319" s="89"/>
      <c r="G319" s="89"/>
      <c r="H319" s="89"/>
      <c r="I319" s="89"/>
      <c r="J319" s="89"/>
      <c r="K319" s="89"/>
      <c r="L319" s="89"/>
      <c r="M319" s="227"/>
      <c r="N319" s="227"/>
      <c r="O319" s="183"/>
      <c r="P319" s="183"/>
      <c r="Q319" s="251"/>
      <c r="R319" s="251"/>
      <c r="S319" s="251"/>
      <c r="T319" s="251"/>
      <c r="U319" s="251"/>
    </row>
    <row r="320" spans="1:21" ht="24" customHeight="1">
      <c r="B320" s="304" t="s">
        <v>239</v>
      </c>
      <c r="C320" s="95"/>
      <c r="D320" s="95"/>
      <c r="E320" s="1" t="s">
        <v>240</v>
      </c>
      <c r="F320" s="95"/>
      <c r="G320" s="95"/>
      <c r="H320" s="95"/>
      <c r="I320" s="95"/>
      <c r="J320" s="95"/>
      <c r="K320" s="95"/>
      <c r="L320" s="95"/>
      <c r="M320" s="404">
        <v>97930</v>
      </c>
      <c r="N320" s="404">
        <v>86539</v>
      </c>
      <c r="O320" s="405">
        <v>138000</v>
      </c>
      <c r="P320" s="405">
        <v>138000</v>
      </c>
      <c r="Q320" s="404">
        <v>190000</v>
      </c>
      <c r="R320" s="404">
        <v>190000</v>
      </c>
      <c r="S320" s="404">
        <v>190000</v>
      </c>
      <c r="T320" s="404">
        <v>190000</v>
      </c>
      <c r="U320" s="404">
        <v>190000</v>
      </c>
    </row>
    <row r="321" spans="1:21" ht="24" customHeight="1">
      <c r="B321" s="324" t="s">
        <v>1194</v>
      </c>
      <c r="C321" s="97"/>
      <c r="D321" s="97"/>
      <c r="E321" s="310" t="s">
        <v>1184</v>
      </c>
      <c r="F321" s="311"/>
      <c r="G321" s="311"/>
      <c r="H321" s="311"/>
      <c r="I321" s="311"/>
      <c r="J321" s="311"/>
      <c r="K321" s="311"/>
      <c r="L321" s="311"/>
      <c r="M321" s="308">
        <v>0</v>
      </c>
      <c r="N321" s="308">
        <v>0</v>
      </c>
      <c r="O321" s="172">
        <v>1253625</v>
      </c>
      <c r="P321" s="172">
        <v>1253625</v>
      </c>
      <c r="Q321" s="308">
        <v>0</v>
      </c>
      <c r="R321" s="308">
        <v>0</v>
      </c>
      <c r="S321" s="308">
        <v>0</v>
      </c>
      <c r="T321" s="308">
        <v>0</v>
      </c>
      <c r="U321" s="308">
        <v>0</v>
      </c>
    </row>
    <row r="322" spans="1:21" ht="24" customHeight="1">
      <c r="B322" s="304" t="s">
        <v>775</v>
      </c>
      <c r="C322" s="95"/>
      <c r="D322" s="95"/>
      <c r="E322" s="310" t="s">
        <v>837</v>
      </c>
      <c r="F322" s="95"/>
      <c r="G322" s="95"/>
      <c r="H322" s="95"/>
      <c r="I322" s="95"/>
      <c r="J322" s="95"/>
      <c r="K322" s="95"/>
      <c r="L322" s="95"/>
      <c r="M322" s="240">
        <v>553480</v>
      </c>
      <c r="N322" s="240">
        <v>655303</v>
      </c>
      <c r="O322" s="164">
        <v>920000</v>
      </c>
      <c r="P322" s="164">
        <v>790000</v>
      </c>
      <c r="Q322" s="240">
        <v>1000000</v>
      </c>
      <c r="R322" s="240">
        <v>850000</v>
      </c>
      <c r="S322" s="240">
        <v>800000</v>
      </c>
      <c r="T322" s="240">
        <v>800000</v>
      </c>
      <c r="U322" s="240">
        <v>800000</v>
      </c>
    </row>
    <row r="323" spans="1:21" ht="24" customHeight="1">
      <c r="B323" s="337" t="s">
        <v>1171</v>
      </c>
      <c r="C323" s="97"/>
      <c r="D323" s="97"/>
      <c r="E323" s="310" t="s">
        <v>1145</v>
      </c>
      <c r="F323" s="311"/>
      <c r="G323" s="311"/>
      <c r="H323" s="311"/>
      <c r="I323" s="311"/>
      <c r="J323" s="311"/>
      <c r="K323" s="311"/>
      <c r="L323" s="311"/>
      <c r="M323" s="308">
        <v>0</v>
      </c>
      <c r="N323" s="308">
        <v>24999</v>
      </c>
      <c r="O323" s="172">
        <v>50000</v>
      </c>
      <c r="P323" s="172">
        <v>25000</v>
      </c>
      <c r="Q323" s="308">
        <v>50000</v>
      </c>
      <c r="R323" s="308">
        <v>50000</v>
      </c>
      <c r="S323" s="308">
        <v>50000</v>
      </c>
      <c r="T323" s="308">
        <v>50000</v>
      </c>
      <c r="U323" s="308">
        <v>50000</v>
      </c>
    </row>
    <row r="324" spans="1:21" ht="24" customHeight="1">
      <c r="B324" s="1" t="s">
        <v>242</v>
      </c>
      <c r="C324" s="97"/>
      <c r="D324" s="97"/>
      <c r="E324" s="1" t="s">
        <v>243</v>
      </c>
      <c r="F324" s="97"/>
      <c r="G324" s="97"/>
      <c r="H324" s="97"/>
      <c r="I324" s="97"/>
      <c r="J324" s="97"/>
      <c r="K324" s="97"/>
      <c r="L324" s="97"/>
      <c r="M324" s="259">
        <v>73787</v>
      </c>
      <c r="N324" s="259">
        <v>73787</v>
      </c>
      <c r="O324" s="187">
        <v>73788</v>
      </c>
      <c r="P324" s="187">
        <v>73788</v>
      </c>
      <c r="Q324" s="259">
        <v>37045</v>
      </c>
      <c r="R324" s="259">
        <v>0</v>
      </c>
      <c r="S324" s="259">
        <v>0</v>
      </c>
      <c r="T324" s="224">
        <v>0</v>
      </c>
      <c r="U324" s="224">
        <v>0</v>
      </c>
    </row>
    <row r="325" spans="1:21" ht="15" customHeight="1">
      <c r="B325" s="1"/>
      <c r="C325" s="89"/>
      <c r="D325" s="89"/>
      <c r="E325" s="1"/>
      <c r="F325" s="89"/>
      <c r="G325" s="89"/>
      <c r="H325" s="89"/>
      <c r="I325" s="89"/>
      <c r="J325" s="89"/>
      <c r="K325" s="89"/>
      <c r="L325" s="89"/>
      <c r="M325" s="220"/>
      <c r="N325" s="220"/>
      <c r="O325" s="164"/>
      <c r="P325" s="164"/>
      <c r="Q325" s="208"/>
      <c r="R325" s="208"/>
      <c r="S325" s="208"/>
      <c r="T325" s="208"/>
      <c r="U325" s="208"/>
    </row>
    <row r="326" spans="1:21" s="89" customFormat="1" ht="24" customHeight="1">
      <c r="A326" s="576"/>
      <c r="B326" s="689" t="s">
        <v>1216</v>
      </c>
      <c r="C326" s="689"/>
      <c r="D326" s="689"/>
      <c r="E326" s="689"/>
      <c r="F326" s="689"/>
      <c r="G326" s="689"/>
      <c r="H326" s="689"/>
      <c r="I326" s="689"/>
      <c r="J326" s="689"/>
      <c r="K326" s="689"/>
      <c r="L326" s="689"/>
      <c r="M326" s="408">
        <f t="shared" ref="M326:U326" si="28">SUM(M320:M325)</f>
        <v>725197</v>
      </c>
      <c r="N326" s="408">
        <f t="shared" si="28"/>
        <v>840628</v>
      </c>
      <c r="O326" s="409">
        <f t="shared" si="28"/>
        <v>2435413</v>
      </c>
      <c r="P326" s="409">
        <f t="shared" si="28"/>
        <v>2280413</v>
      </c>
      <c r="Q326" s="408">
        <f t="shared" si="28"/>
        <v>1277045</v>
      </c>
      <c r="R326" s="408">
        <f t="shared" si="28"/>
        <v>1090000</v>
      </c>
      <c r="S326" s="408">
        <f t="shared" si="28"/>
        <v>1040000</v>
      </c>
      <c r="T326" s="408">
        <f t="shared" si="28"/>
        <v>1040000</v>
      </c>
      <c r="U326" s="408">
        <f t="shared" si="28"/>
        <v>1040000</v>
      </c>
    </row>
    <row r="327" spans="1:21" s="89" customFormat="1" ht="15" customHeight="1">
      <c r="A327" s="576"/>
      <c r="M327" s="408"/>
      <c r="N327" s="408"/>
      <c r="O327" s="409"/>
      <c r="P327" s="409"/>
      <c r="Q327" s="408"/>
      <c r="R327" s="408"/>
      <c r="S327" s="408"/>
      <c r="T327" s="408"/>
      <c r="U327" s="408"/>
    </row>
    <row r="328" spans="1:21" s="89" customFormat="1" ht="24" customHeight="1">
      <c r="A328" s="576"/>
      <c r="L328" s="98" t="s">
        <v>425</v>
      </c>
      <c r="M328" s="241">
        <f t="shared" ref="M328:U328" si="29">M318-M326</f>
        <v>60325</v>
      </c>
      <c r="N328" s="241">
        <f t="shared" si="29"/>
        <v>548114</v>
      </c>
      <c r="O328" s="280">
        <f t="shared" si="29"/>
        <v>-1175394</v>
      </c>
      <c r="P328" s="280">
        <f t="shared" si="29"/>
        <v>-973498</v>
      </c>
      <c r="Q328" s="241">
        <f t="shared" si="29"/>
        <v>-100485</v>
      </c>
      <c r="R328" s="241">
        <f t="shared" si="29"/>
        <v>-103633</v>
      </c>
      <c r="S328" s="241">
        <f t="shared" si="29"/>
        <v>-34535</v>
      </c>
      <c r="T328" s="241">
        <f t="shared" si="29"/>
        <v>-14075</v>
      </c>
      <c r="U328" s="241">
        <f t="shared" si="29"/>
        <v>7254</v>
      </c>
    </row>
    <row r="329" spans="1:21" s="89" customFormat="1" ht="15" customHeight="1">
      <c r="A329" s="576"/>
      <c r="M329" s="408"/>
      <c r="N329" s="408"/>
      <c r="O329" s="409"/>
      <c r="P329" s="409"/>
      <c r="Q329" s="408"/>
      <c r="R329" s="408"/>
      <c r="S329" s="408"/>
      <c r="T329" s="408"/>
      <c r="U329" s="408"/>
    </row>
    <row r="330" spans="1:21" s="89" customFormat="1" ht="24" customHeight="1">
      <c r="A330" s="576"/>
      <c r="L330" s="162" t="s">
        <v>427</v>
      </c>
      <c r="M330" s="408">
        <v>695707</v>
      </c>
      <c r="N330" s="408">
        <v>1243821</v>
      </c>
      <c r="O330" s="409">
        <v>-267652</v>
      </c>
      <c r="P330" s="409">
        <f>N330+P328</f>
        <v>270323</v>
      </c>
      <c r="Q330" s="408">
        <f>P330+Q328</f>
        <v>169838</v>
      </c>
      <c r="R330" s="408">
        <f>Q330+R328</f>
        <v>66205</v>
      </c>
      <c r="S330" s="408">
        <f>R330+S328</f>
        <v>31670</v>
      </c>
      <c r="T330" s="408">
        <f>S330+T328</f>
        <v>17595</v>
      </c>
      <c r="U330" s="408">
        <f>T330+U328</f>
        <v>24849</v>
      </c>
    </row>
    <row r="331" spans="1:21" s="89" customFormat="1" ht="15" customHeight="1">
      <c r="A331" s="576"/>
      <c r="L331" s="162"/>
      <c r="M331" s="242"/>
      <c r="N331" s="242"/>
      <c r="O331" s="178"/>
      <c r="P331" s="178"/>
      <c r="Q331" s="242"/>
      <c r="R331" s="242"/>
      <c r="S331" s="242"/>
      <c r="T331" s="242"/>
      <c r="U331" s="242"/>
    </row>
    <row r="332" spans="1:21" ht="15" customHeight="1">
      <c r="B332" s="153"/>
      <c r="C332" s="89"/>
      <c r="D332" s="89"/>
      <c r="E332" s="89"/>
      <c r="F332" s="89"/>
      <c r="G332" s="89"/>
      <c r="H332" s="89"/>
      <c r="I332" s="89"/>
      <c r="J332" s="154"/>
      <c r="K332" s="154"/>
      <c r="L332" s="154"/>
      <c r="M332" s="198"/>
      <c r="N332" s="198"/>
      <c r="O332" s="188"/>
      <c r="P332" s="188"/>
      <c r="Q332" s="198"/>
      <c r="R332" s="198"/>
      <c r="S332" s="198"/>
      <c r="T332" s="198"/>
      <c r="U332" s="198"/>
    </row>
    <row r="333" spans="1:21" ht="24" customHeight="1">
      <c r="B333" s="102" t="s">
        <v>1286</v>
      </c>
      <c r="C333" s="89"/>
      <c r="D333" s="89"/>
      <c r="E333" s="89"/>
      <c r="F333" s="89"/>
      <c r="G333" s="89"/>
      <c r="H333" s="89"/>
      <c r="I333" s="89"/>
      <c r="J333" s="89"/>
      <c r="K333" s="89"/>
      <c r="L333" s="89"/>
      <c r="M333" s="254"/>
      <c r="N333" s="254"/>
      <c r="O333" s="185"/>
      <c r="P333" s="185"/>
      <c r="Q333" s="255"/>
      <c r="R333" s="255"/>
      <c r="S333" s="255"/>
      <c r="T333" s="255"/>
      <c r="U333" s="255"/>
    </row>
    <row r="334" spans="1:21" ht="15" customHeight="1">
      <c r="B334" s="89"/>
      <c r="C334" s="89"/>
      <c r="D334" s="89"/>
      <c r="E334" s="89"/>
      <c r="F334" s="89"/>
      <c r="G334" s="89"/>
      <c r="H334" s="89"/>
      <c r="I334" s="89"/>
      <c r="J334" s="89"/>
      <c r="K334" s="89"/>
      <c r="L334" s="89"/>
      <c r="M334" s="254"/>
      <c r="N334" s="254"/>
      <c r="O334" s="185"/>
      <c r="P334" s="185"/>
      <c r="Q334" s="255"/>
      <c r="R334" s="255"/>
      <c r="S334" s="255"/>
      <c r="T334" s="255"/>
      <c r="U334" s="255"/>
    </row>
    <row r="335" spans="1:21" ht="24" customHeight="1">
      <c r="B335" s="402" t="s">
        <v>1209</v>
      </c>
      <c r="C335" s="401"/>
      <c r="D335" s="401"/>
      <c r="E335" s="712" t="s">
        <v>1210</v>
      </c>
      <c r="F335" s="712"/>
      <c r="G335" s="712"/>
      <c r="H335" s="712"/>
      <c r="I335" s="712"/>
      <c r="J335" s="712"/>
      <c r="K335" s="712"/>
      <c r="L335" s="712"/>
      <c r="M335" s="404">
        <v>0</v>
      </c>
      <c r="N335" s="404">
        <v>0</v>
      </c>
      <c r="O335" s="447">
        <v>0</v>
      </c>
      <c r="P335" s="447">
        <v>0</v>
      </c>
      <c r="Q335" s="414">
        <v>476475</v>
      </c>
      <c r="R335" s="414">
        <v>0</v>
      </c>
      <c r="S335" s="414">
        <v>0</v>
      </c>
      <c r="T335" s="414">
        <v>0</v>
      </c>
      <c r="U335" s="414">
        <v>0</v>
      </c>
    </row>
    <row r="336" spans="1:21" ht="24" customHeight="1">
      <c r="B336" s="304" t="s">
        <v>1413</v>
      </c>
      <c r="C336" s="612"/>
      <c r="D336" s="612"/>
      <c r="E336" s="309" t="s">
        <v>1414</v>
      </c>
      <c r="F336" s="623"/>
      <c r="G336" s="623"/>
      <c r="H336" s="623"/>
      <c r="I336" s="623"/>
      <c r="J336" s="623"/>
      <c r="K336" s="623"/>
      <c r="L336" s="623"/>
      <c r="M336" s="265">
        <v>0</v>
      </c>
      <c r="N336" s="265">
        <v>0</v>
      </c>
      <c r="O336" s="523">
        <v>0</v>
      </c>
      <c r="P336" s="523">
        <v>0</v>
      </c>
      <c r="Q336" s="265">
        <v>300000</v>
      </c>
      <c r="R336" s="265">
        <v>1200000</v>
      </c>
      <c r="S336" s="265">
        <v>1500000</v>
      </c>
      <c r="T336" s="266">
        <v>0</v>
      </c>
      <c r="U336" s="266">
        <v>0</v>
      </c>
    </row>
    <row r="337" spans="2:21" ht="24" customHeight="1">
      <c r="B337" s="304" t="s">
        <v>1447</v>
      </c>
      <c r="C337" s="639"/>
      <c r="D337" s="639"/>
      <c r="E337" s="309" t="s">
        <v>1448</v>
      </c>
      <c r="F337" s="623"/>
      <c r="G337" s="623"/>
      <c r="H337" s="623"/>
      <c r="I337" s="623"/>
      <c r="J337" s="623"/>
      <c r="K337" s="623"/>
      <c r="L337" s="623"/>
      <c r="M337" s="265">
        <v>0</v>
      </c>
      <c r="N337" s="265">
        <v>0</v>
      </c>
      <c r="O337" s="523">
        <v>0</v>
      </c>
      <c r="P337" s="523">
        <v>0</v>
      </c>
      <c r="Q337" s="265">
        <v>398145</v>
      </c>
      <c r="R337" s="266">
        <v>0</v>
      </c>
      <c r="S337" s="266">
        <v>0</v>
      </c>
      <c r="T337" s="266">
        <v>0</v>
      </c>
      <c r="U337" s="266">
        <v>0</v>
      </c>
    </row>
    <row r="338" spans="2:21" ht="24" customHeight="1">
      <c r="B338" s="370" t="s">
        <v>1175</v>
      </c>
      <c r="C338" s="371"/>
      <c r="D338" s="371"/>
      <c r="E338" s="309" t="s">
        <v>1174</v>
      </c>
      <c r="F338" s="371"/>
      <c r="G338" s="371"/>
      <c r="H338" s="371"/>
      <c r="I338" s="371"/>
      <c r="J338" s="371"/>
      <c r="K338" s="371"/>
      <c r="L338" s="371"/>
      <c r="M338" s="240">
        <v>38000</v>
      </c>
      <c r="N338" s="240">
        <v>0</v>
      </c>
      <c r="O338" s="523">
        <v>0</v>
      </c>
      <c r="P338" s="523">
        <v>0</v>
      </c>
      <c r="Q338" s="240">
        <v>0</v>
      </c>
      <c r="R338" s="240">
        <v>0</v>
      </c>
      <c r="S338" s="240">
        <v>0</v>
      </c>
      <c r="T338" s="240">
        <v>0</v>
      </c>
      <c r="U338" s="240">
        <v>0</v>
      </c>
    </row>
    <row r="339" spans="2:21" ht="24" customHeight="1">
      <c r="B339" s="1" t="s">
        <v>249</v>
      </c>
      <c r="C339" s="95"/>
      <c r="D339" s="95"/>
      <c r="E339" s="1" t="s">
        <v>50</v>
      </c>
      <c r="F339" s="95"/>
      <c r="G339" s="89"/>
      <c r="H339" s="97"/>
      <c r="I339" s="97"/>
      <c r="J339" s="97"/>
      <c r="K339" s="97"/>
      <c r="L339" s="97"/>
      <c r="M339" s="221">
        <v>2530</v>
      </c>
      <c r="N339" s="221">
        <v>240594</v>
      </c>
      <c r="O339" s="523">
        <v>0</v>
      </c>
      <c r="P339" s="172">
        <v>308030</v>
      </c>
      <c r="Q339" s="234">
        <v>0</v>
      </c>
      <c r="R339" s="234">
        <v>0</v>
      </c>
      <c r="S339" s="234">
        <v>0</v>
      </c>
      <c r="T339" s="234">
        <v>0</v>
      </c>
      <c r="U339" s="234">
        <v>0</v>
      </c>
    </row>
    <row r="340" spans="2:21" ht="24" customHeight="1">
      <c r="B340" s="1" t="s">
        <v>251</v>
      </c>
      <c r="C340" s="95"/>
      <c r="D340" s="95"/>
      <c r="E340" s="1" t="s">
        <v>878</v>
      </c>
      <c r="F340" s="95"/>
      <c r="G340" s="89"/>
      <c r="H340" s="89"/>
      <c r="I340" s="89"/>
      <c r="J340" s="89"/>
      <c r="K340" s="89"/>
      <c r="L340" s="89"/>
      <c r="M340" s="308">
        <v>6294</v>
      </c>
      <c r="N340" s="308">
        <v>1585</v>
      </c>
      <c r="O340" s="172">
        <v>5000</v>
      </c>
      <c r="P340" s="172">
        <v>1500</v>
      </c>
      <c r="Q340" s="308">
        <v>2500</v>
      </c>
      <c r="R340" s="308">
        <v>2500</v>
      </c>
      <c r="S340" s="308">
        <v>2500</v>
      </c>
      <c r="T340" s="308">
        <v>2500</v>
      </c>
      <c r="U340" s="308">
        <v>2500</v>
      </c>
    </row>
    <row r="341" spans="2:21" ht="24" customHeight="1">
      <c r="B341" s="1" t="s">
        <v>729</v>
      </c>
      <c r="C341" s="95"/>
      <c r="D341" s="95"/>
      <c r="E341" s="1" t="s">
        <v>730</v>
      </c>
      <c r="F341" s="95"/>
      <c r="G341" s="89"/>
      <c r="H341" s="89"/>
      <c r="I341" s="89"/>
      <c r="J341" s="89"/>
      <c r="K341" s="89"/>
      <c r="L341" s="89"/>
      <c r="M341" s="308">
        <v>32092</v>
      </c>
      <c r="N341" s="308">
        <v>132689</v>
      </c>
      <c r="O341" s="172">
        <v>0</v>
      </c>
      <c r="P341" s="172">
        <v>0</v>
      </c>
      <c r="Q341" s="308">
        <v>0</v>
      </c>
      <c r="R341" s="308">
        <v>0</v>
      </c>
      <c r="S341" s="308">
        <v>0</v>
      </c>
      <c r="T341" s="308">
        <v>0</v>
      </c>
      <c r="U341" s="308">
        <v>0</v>
      </c>
    </row>
    <row r="342" spans="2:21" ht="24" customHeight="1">
      <c r="B342" s="1" t="s">
        <v>252</v>
      </c>
      <c r="C342" s="89"/>
      <c r="D342" s="89"/>
      <c r="E342" s="1" t="s">
        <v>253</v>
      </c>
      <c r="F342" s="89"/>
      <c r="G342" s="89"/>
      <c r="H342" s="89"/>
      <c r="I342" s="89"/>
      <c r="J342" s="89"/>
      <c r="K342" s="89"/>
      <c r="L342" s="89"/>
      <c r="M342" s="308">
        <v>114000</v>
      </c>
      <c r="N342" s="308">
        <v>112000</v>
      </c>
      <c r="O342" s="172">
        <v>100000</v>
      </c>
      <c r="P342" s="172">
        <v>50000</v>
      </c>
      <c r="Q342" s="234">
        <v>50000</v>
      </c>
      <c r="R342" s="234">
        <v>50000</v>
      </c>
      <c r="S342" s="234">
        <v>100000</v>
      </c>
      <c r="T342" s="234">
        <v>100000</v>
      </c>
      <c r="U342" s="234">
        <v>100000</v>
      </c>
    </row>
    <row r="343" spans="2:21" ht="24" customHeight="1">
      <c r="B343" s="1" t="s">
        <v>799</v>
      </c>
      <c r="C343" s="89"/>
      <c r="D343" s="89"/>
      <c r="E343" s="1" t="s">
        <v>800</v>
      </c>
      <c r="F343" s="89"/>
      <c r="G343" s="89"/>
      <c r="H343" s="89"/>
      <c r="I343" s="89"/>
      <c r="J343" s="89"/>
      <c r="K343" s="89"/>
      <c r="L343" s="89"/>
      <c r="M343" s="221">
        <v>775218</v>
      </c>
      <c r="N343" s="221">
        <v>787642</v>
      </c>
      <c r="O343" s="166">
        <v>785000</v>
      </c>
      <c r="P343" s="166">
        <v>830000</v>
      </c>
      <c r="Q343" s="221">
        <v>846600</v>
      </c>
      <c r="R343" s="221">
        <v>863532</v>
      </c>
      <c r="S343" s="221">
        <v>880803</v>
      </c>
      <c r="T343" s="221">
        <v>898419</v>
      </c>
      <c r="U343" s="221">
        <v>916387</v>
      </c>
    </row>
    <row r="344" spans="2:21" ht="24" customHeight="1">
      <c r="B344" s="1" t="s">
        <v>254</v>
      </c>
      <c r="C344" s="95"/>
      <c r="D344" s="95"/>
      <c r="E344" s="688" t="s">
        <v>6</v>
      </c>
      <c r="F344" s="688"/>
      <c r="G344" s="688"/>
      <c r="H344" s="688"/>
      <c r="I344" s="688"/>
      <c r="J344" s="688"/>
      <c r="K344" s="688"/>
      <c r="L344" s="688"/>
      <c r="M344" s="240">
        <v>10709</v>
      </c>
      <c r="N344" s="240">
        <v>69</v>
      </c>
      <c r="O344" s="164">
        <v>500</v>
      </c>
      <c r="P344" s="164">
        <v>65</v>
      </c>
      <c r="Q344" s="240">
        <v>150</v>
      </c>
      <c r="R344" s="240">
        <v>500</v>
      </c>
      <c r="S344" s="240">
        <v>1000</v>
      </c>
      <c r="T344" s="240">
        <v>2000</v>
      </c>
      <c r="U344" s="240">
        <v>3000</v>
      </c>
    </row>
    <row r="345" spans="2:21" ht="24" customHeight="1">
      <c r="B345" s="1" t="s">
        <v>1088</v>
      </c>
      <c r="C345" s="95"/>
      <c r="D345" s="95"/>
      <c r="E345" s="95" t="s">
        <v>1086</v>
      </c>
      <c r="F345" s="95"/>
      <c r="G345" s="95"/>
      <c r="H345" s="95"/>
      <c r="I345" s="95"/>
      <c r="J345" s="95"/>
      <c r="K345" s="95"/>
      <c r="L345" s="95"/>
      <c r="M345" s="240">
        <v>50351</v>
      </c>
      <c r="N345" s="240">
        <v>0</v>
      </c>
      <c r="O345" s="164">
        <v>0</v>
      </c>
      <c r="P345" s="164">
        <v>4599</v>
      </c>
      <c r="Q345" s="208">
        <v>0</v>
      </c>
      <c r="R345" s="208">
        <v>0</v>
      </c>
      <c r="S345" s="208">
        <v>0</v>
      </c>
      <c r="T345" s="208">
        <v>0</v>
      </c>
      <c r="U345" s="208">
        <v>0</v>
      </c>
    </row>
    <row r="346" spans="2:21" ht="24" customHeight="1">
      <c r="B346" s="599" t="s">
        <v>1400</v>
      </c>
      <c r="C346" s="600"/>
      <c r="D346" s="600"/>
      <c r="E346" s="600" t="s">
        <v>1401</v>
      </c>
      <c r="F346" s="600"/>
      <c r="G346" s="600"/>
      <c r="H346" s="600"/>
      <c r="I346" s="600"/>
      <c r="J346" s="600"/>
      <c r="K346" s="600"/>
      <c r="L346" s="600"/>
      <c r="M346" s="240">
        <v>0</v>
      </c>
      <c r="N346" s="240">
        <v>0</v>
      </c>
      <c r="O346" s="164">
        <v>0</v>
      </c>
      <c r="P346" s="164">
        <v>0</v>
      </c>
      <c r="Q346" s="208">
        <v>145000</v>
      </c>
      <c r="R346" s="208">
        <v>0</v>
      </c>
      <c r="S346" s="208">
        <v>0</v>
      </c>
      <c r="T346" s="208">
        <v>0</v>
      </c>
      <c r="U346" s="208">
        <v>0</v>
      </c>
    </row>
    <row r="347" spans="2:21" ht="24" customHeight="1">
      <c r="B347" s="1" t="s">
        <v>977</v>
      </c>
      <c r="C347" s="95"/>
      <c r="D347" s="95"/>
      <c r="E347" s="95" t="s">
        <v>978</v>
      </c>
      <c r="F347" s="95"/>
      <c r="G347" s="95"/>
      <c r="H347" s="95"/>
      <c r="I347" s="95"/>
      <c r="J347" s="95"/>
      <c r="K347" s="95"/>
      <c r="L347" s="95"/>
      <c r="M347" s="240">
        <v>7050</v>
      </c>
      <c r="N347" s="240">
        <v>4767</v>
      </c>
      <c r="O347" s="164">
        <v>4322</v>
      </c>
      <c r="P347" s="164">
        <v>0</v>
      </c>
      <c r="Q347" s="208">
        <v>0</v>
      </c>
      <c r="R347" s="208">
        <v>0</v>
      </c>
      <c r="S347" s="208">
        <v>0</v>
      </c>
      <c r="T347" s="208">
        <v>0</v>
      </c>
      <c r="U347" s="208">
        <v>0</v>
      </c>
    </row>
    <row r="348" spans="2:21" ht="24" customHeight="1">
      <c r="B348" s="304" t="s">
        <v>1116</v>
      </c>
      <c r="C348" s="95"/>
      <c r="D348" s="95"/>
      <c r="E348" s="304" t="s">
        <v>1424</v>
      </c>
      <c r="F348" s="324"/>
      <c r="G348" s="324"/>
      <c r="H348" s="324"/>
      <c r="I348" s="324"/>
      <c r="J348" s="324"/>
      <c r="K348" s="324"/>
      <c r="L348" s="324"/>
      <c r="M348" s="240">
        <v>19219</v>
      </c>
      <c r="N348" s="240">
        <v>15355</v>
      </c>
      <c r="O348" s="164">
        <v>2320000</v>
      </c>
      <c r="P348" s="164">
        <v>2061000</v>
      </c>
      <c r="Q348" s="240">
        <v>750000</v>
      </c>
      <c r="R348" s="240">
        <v>1100000</v>
      </c>
      <c r="S348" s="240">
        <v>0</v>
      </c>
      <c r="T348" s="240">
        <v>0</v>
      </c>
      <c r="U348" s="240">
        <v>0</v>
      </c>
    </row>
    <row r="349" spans="2:21" ht="24" customHeight="1">
      <c r="B349" s="304" t="s">
        <v>1057</v>
      </c>
      <c r="C349" s="95"/>
      <c r="D349" s="95"/>
      <c r="E349" s="1" t="s">
        <v>1058</v>
      </c>
      <c r="F349" s="95"/>
      <c r="G349" s="95"/>
      <c r="H349" s="95"/>
      <c r="I349" s="95"/>
      <c r="J349" s="95"/>
      <c r="K349" s="95"/>
      <c r="L349" s="95"/>
      <c r="M349" s="240">
        <v>0</v>
      </c>
      <c r="N349" s="240">
        <v>0</v>
      </c>
      <c r="O349" s="164">
        <v>0</v>
      </c>
      <c r="P349" s="164">
        <v>0</v>
      </c>
      <c r="Q349" s="208">
        <v>0</v>
      </c>
      <c r="R349" s="208">
        <v>0</v>
      </c>
      <c r="S349" s="208">
        <v>0</v>
      </c>
      <c r="T349" s="208">
        <v>0</v>
      </c>
      <c r="U349" s="240">
        <v>171600</v>
      </c>
    </row>
    <row r="350" spans="2:21" ht="24" customHeight="1">
      <c r="B350" s="1" t="s">
        <v>1067</v>
      </c>
      <c r="C350" s="95"/>
      <c r="D350" s="95"/>
      <c r="E350" s="95" t="s">
        <v>1068</v>
      </c>
      <c r="F350" s="95"/>
      <c r="G350" s="95"/>
      <c r="H350" s="95"/>
      <c r="I350" s="95"/>
      <c r="J350" s="95"/>
      <c r="K350" s="95"/>
      <c r="L350" s="95"/>
      <c r="M350" s="240">
        <v>9440</v>
      </c>
      <c r="N350" s="240">
        <v>1175</v>
      </c>
      <c r="O350" s="164">
        <v>0</v>
      </c>
      <c r="P350" s="164">
        <v>0</v>
      </c>
      <c r="Q350" s="208">
        <v>0</v>
      </c>
      <c r="R350" s="208">
        <v>0</v>
      </c>
      <c r="S350" s="208">
        <v>0</v>
      </c>
      <c r="T350" s="208">
        <v>0</v>
      </c>
      <c r="U350" s="208">
        <v>0</v>
      </c>
    </row>
    <row r="351" spans="2:21" ht="24" customHeight="1">
      <c r="B351" s="331" t="s">
        <v>1150</v>
      </c>
      <c r="C351" s="330"/>
      <c r="D351" s="330"/>
      <c r="E351" s="330" t="s">
        <v>1151</v>
      </c>
      <c r="F351" s="330"/>
      <c r="G351" s="330"/>
      <c r="H351" s="330"/>
      <c r="I351" s="330"/>
      <c r="J351" s="330"/>
      <c r="K351" s="330"/>
      <c r="L351" s="330"/>
      <c r="M351" s="240">
        <v>2165</v>
      </c>
      <c r="N351" s="240">
        <v>84494</v>
      </c>
      <c r="O351" s="164">
        <v>165000</v>
      </c>
      <c r="P351" s="164">
        <v>10000</v>
      </c>
      <c r="Q351" s="208">
        <v>190000</v>
      </c>
      <c r="R351" s="208">
        <v>0</v>
      </c>
      <c r="S351" s="208">
        <v>0</v>
      </c>
      <c r="T351" s="208">
        <v>0</v>
      </c>
      <c r="U351" s="208">
        <v>0</v>
      </c>
    </row>
    <row r="352" spans="2:21" ht="24" customHeight="1">
      <c r="B352" s="1" t="s">
        <v>842</v>
      </c>
      <c r="C352" s="95"/>
      <c r="D352" s="95"/>
      <c r="E352" s="95" t="s">
        <v>843</v>
      </c>
      <c r="F352" s="95"/>
      <c r="G352" s="95"/>
      <c r="H352" s="95"/>
      <c r="I352" s="95"/>
      <c r="J352" s="95"/>
      <c r="K352" s="95"/>
      <c r="L352" s="95"/>
      <c r="M352" s="240">
        <v>0</v>
      </c>
      <c r="N352" s="240">
        <v>0</v>
      </c>
      <c r="O352" s="164">
        <v>26523</v>
      </c>
      <c r="P352" s="164">
        <v>0</v>
      </c>
      <c r="Q352" s="240">
        <v>26523</v>
      </c>
      <c r="R352" s="208">
        <v>0</v>
      </c>
      <c r="S352" s="208">
        <v>0</v>
      </c>
      <c r="T352" s="208">
        <v>0</v>
      </c>
      <c r="U352" s="208">
        <v>0</v>
      </c>
    </row>
    <row r="353" spans="1:21" ht="24" customHeight="1">
      <c r="B353" s="1" t="s">
        <v>922</v>
      </c>
      <c r="C353" s="95"/>
      <c r="D353" s="95"/>
      <c r="E353" s="95" t="s">
        <v>923</v>
      </c>
      <c r="F353" s="95"/>
      <c r="G353" s="95"/>
      <c r="H353" s="95"/>
      <c r="I353" s="95"/>
      <c r="J353" s="95"/>
      <c r="K353" s="95"/>
      <c r="L353" s="95"/>
      <c r="M353" s="240">
        <v>12125</v>
      </c>
      <c r="N353" s="240">
        <v>22076</v>
      </c>
      <c r="O353" s="164">
        <v>5477</v>
      </c>
      <c r="P353" s="164">
        <v>0</v>
      </c>
      <c r="Q353" s="240">
        <v>5477</v>
      </c>
      <c r="R353" s="208">
        <v>0</v>
      </c>
      <c r="S353" s="208">
        <v>0</v>
      </c>
      <c r="T353" s="208">
        <v>0</v>
      </c>
      <c r="U353" s="208">
        <v>0</v>
      </c>
    </row>
    <row r="354" spans="1:21" ht="24" customHeight="1">
      <c r="B354" s="573" t="s">
        <v>1378</v>
      </c>
      <c r="C354" s="574"/>
      <c r="D354" s="574"/>
      <c r="E354" s="573" t="s">
        <v>7</v>
      </c>
      <c r="F354" s="574"/>
      <c r="G354" s="574"/>
      <c r="H354" s="572"/>
      <c r="I354" s="572"/>
      <c r="J354" s="572"/>
      <c r="K354" s="572"/>
      <c r="L354" s="572"/>
      <c r="M354" s="261">
        <v>0</v>
      </c>
      <c r="N354" s="261">
        <v>45823</v>
      </c>
      <c r="O354" s="167">
        <v>0</v>
      </c>
      <c r="P354" s="167">
        <v>0</v>
      </c>
      <c r="Q354" s="261">
        <v>0</v>
      </c>
      <c r="R354" s="261">
        <v>0</v>
      </c>
      <c r="S354" s="225">
        <v>0</v>
      </c>
      <c r="T354" s="225">
        <v>0</v>
      </c>
      <c r="U354" s="225">
        <v>0</v>
      </c>
    </row>
    <row r="355" spans="1:21" ht="24" customHeight="1">
      <c r="B355" s="689" t="s">
        <v>1217</v>
      </c>
      <c r="C355" s="689"/>
      <c r="D355" s="689"/>
      <c r="E355" s="689"/>
      <c r="F355" s="689"/>
      <c r="G355" s="689"/>
      <c r="H355" s="689"/>
      <c r="I355" s="689"/>
      <c r="J355" s="689"/>
      <c r="K355" s="689"/>
      <c r="L355" s="689"/>
      <c r="M355" s="410">
        <f t="shared" ref="M355:U355" si="30">SUM(M335:M354)</f>
        <v>1079193</v>
      </c>
      <c r="N355" s="471">
        <f t="shared" si="30"/>
        <v>1448269</v>
      </c>
      <c r="O355" s="472">
        <f t="shared" si="30"/>
        <v>3411822</v>
      </c>
      <c r="P355" s="472">
        <f t="shared" si="30"/>
        <v>3265194</v>
      </c>
      <c r="Q355" s="471">
        <f t="shared" si="30"/>
        <v>3190870</v>
      </c>
      <c r="R355" s="471">
        <f t="shared" si="30"/>
        <v>3216532</v>
      </c>
      <c r="S355" s="473">
        <f t="shared" si="30"/>
        <v>2484303</v>
      </c>
      <c r="T355" s="473">
        <f t="shared" si="30"/>
        <v>1002919</v>
      </c>
      <c r="U355" s="473">
        <f t="shared" si="30"/>
        <v>1193487</v>
      </c>
    </row>
    <row r="356" spans="1:21" ht="6.9" customHeight="1">
      <c r="B356" s="468"/>
      <c r="C356" s="470"/>
      <c r="D356" s="470"/>
      <c r="E356" s="468"/>
      <c r="F356" s="470"/>
      <c r="G356" s="470"/>
      <c r="H356" s="469"/>
      <c r="I356" s="469"/>
      <c r="J356" s="469"/>
      <c r="K356" s="469"/>
      <c r="L356" s="469"/>
      <c r="M356" s="220"/>
      <c r="N356" s="240"/>
      <c r="O356" s="164"/>
      <c r="P356" s="164"/>
      <c r="Q356" s="240"/>
      <c r="R356" s="240"/>
      <c r="S356" s="208"/>
      <c r="T356" s="208"/>
      <c r="U356" s="208"/>
    </row>
    <row r="357" spans="1:21" ht="24" customHeight="1">
      <c r="B357" s="527" t="s">
        <v>1180</v>
      </c>
      <c r="C357" s="526"/>
      <c r="D357" s="526"/>
      <c r="E357" s="527" t="s">
        <v>1087</v>
      </c>
      <c r="F357" s="526"/>
      <c r="G357" s="526"/>
      <c r="H357" s="526"/>
      <c r="I357" s="526"/>
      <c r="J357" s="526"/>
      <c r="K357" s="526"/>
      <c r="L357" s="526"/>
      <c r="M357" s="240">
        <v>240663</v>
      </c>
      <c r="N357" s="240">
        <v>1442336</v>
      </c>
      <c r="O357" s="164">
        <v>401250</v>
      </c>
      <c r="P357" s="164">
        <v>914712</v>
      </c>
      <c r="Q357" s="240">
        <v>804352</v>
      </c>
      <c r="R357" s="240">
        <v>1904042</v>
      </c>
      <c r="S357" s="240">
        <v>1209638</v>
      </c>
      <c r="T357" s="240">
        <v>1087670</v>
      </c>
      <c r="U357" s="240">
        <v>951606</v>
      </c>
    </row>
    <row r="358" spans="1:21" ht="24" customHeight="1">
      <c r="B358" s="527" t="s">
        <v>1365</v>
      </c>
      <c r="C358" s="526"/>
      <c r="D358" s="526"/>
      <c r="E358" s="527" t="s">
        <v>1322</v>
      </c>
      <c r="F358" s="526"/>
      <c r="G358" s="526"/>
      <c r="H358" s="526"/>
      <c r="I358" s="526"/>
      <c r="J358" s="526"/>
      <c r="K358" s="526"/>
      <c r="L358" s="526"/>
      <c r="M358" s="224">
        <v>0</v>
      </c>
      <c r="N358" s="261">
        <v>0</v>
      </c>
      <c r="O358" s="167">
        <v>1995000</v>
      </c>
      <c r="P358" s="167">
        <v>2046503</v>
      </c>
      <c r="Q358" s="261">
        <v>0</v>
      </c>
      <c r="R358" s="261">
        <v>0</v>
      </c>
      <c r="S358" s="261">
        <v>0</v>
      </c>
      <c r="T358" s="261">
        <v>0</v>
      </c>
      <c r="U358" s="261">
        <v>0</v>
      </c>
    </row>
    <row r="359" spans="1:21" ht="24" customHeight="1">
      <c r="B359" s="689" t="s">
        <v>592</v>
      </c>
      <c r="C359" s="689"/>
      <c r="D359" s="689"/>
      <c r="E359" s="689"/>
      <c r="F359" s="689"/>
      <c r="G359" s="689"/>
      <c r="H359" s="689"/>
      <c r="I359" s="689"/>
      <c r="J359" s="689"/>
      <c r="K359" s="689"/>
      <c r="L359" s="689"/>
      <c r="M359" s="410">
        <f t="shared" ref="M359:U359" si="31">SUM(M357:M358)</f>
        <v>240663</v>
      </c>
      <c r="N359" s="410">
        <f t="shared" si="31"/>
        <v>1442336</v>
      </c>
      <c r="O359" s="407">
        <f t="shared" si="31"/>
        <v>2396250</v>
      </c>
      <c r="P359" s="407">
        <f t="shared" si="31"/>
        <v>2961215</v>
      </c>
      <c r="Q359" s="410">
        <f t="shared" si="31"/>
        <v>804352</v>
      </c>
      <c r="R359" s="410">
        <f t="shared" si="31"/>
        <v>1904042</v>
      </c>
      <c r="S359" s="410">
        <f t="shared" si="31"/>
        <v>1209638</v>
      </c>
      <c r="T359" s="410">
        <f t="shared" si="31"/>
        <v>1087670</v>
      </c>
      <c r="U359" s="410">
        <f t="shared" si="31"/>
        <v>951606</v>
      </c>
    </row>
    <row r="360" spans="1:21" ht="15" customHeight="1">
      <c r="B360" s="89"/>
      <c r="C360" s="89"/>
      <c r="D360" s="89"/>
      <c r="E360" s="89"/>
      <c r="F360" s="89"/>
      <c r="G360" s="89"/>
      <c r="H360" s="89"/>
      <c r="I360" s="89"/>
      <c r="J360" s="89"/>
      <c r="K360" s="89"/>
      <c r="L360" s="89"/>
      <c r="M360" s="226"/>
      <c r="N360" s="372"/>
      <c r="O360" s="168"/>
      <c r="P360" s="168"/>
      <c r="Q360" s="219"/>
      <c r="R360" s="219"/>
      <c r="S360" s="219"/>
      <c r="T360" s="219"/>
      <c r="U360" s="219"/>
    </row>
    <row r="361" spans="1:21" s="89" customFormat="1" ht="24" customHeight="1">
      <c r="A361" s="576"/>
      <c r="B361" s="689" t="s">
        <v>1245</v>
      </c>
      <c r="C361" s="689"/>
      <c r="D361" s="689"/>
      <c r="E361" s="689"/>
      <c r="F361" s="689"/>
      <c r="G361" s="689"/>
      <c r="H361" s="689"/>
      <c r="I361" s="689"/>
      <c r="J361" s="689"/>
      <c r="K361" s="689"/>
      <c r="L361" s="689"/>
      <c r="M361" s="408">
        <f t="shared" ref="M361:U361" si="32">M355+M359</f>
        <v>1319856</v>
      </c>
      <c r="N361" s="408">
        <f t="shared" si="32"/>
        <v>2890605</v>
      </c>
      <c r="O361" s="409">
        <f t="shared" si="32"/>
        <v>5808072</v>
      </c>
      <c r="P361" s="409">
        <f t="shared" si="32"/>
        <v>6226409</v>
      </c>
      <c r="Q361" s="408">
        <f t="shared" si="32"/>
        <v>3995222</v>
      </c>
      <c r="R361" s="408">
        <f t="shared" si="32"/>
        <v>5120574</v>
      </c>
      <c r="S361" s="408">
        <f t="shared" si="32"/>
        <v>3693941</v>
      </c>
      <c r="T361" s="408">
        <f t="shared" si="32"/>
        <v>2090589</v>
      </c>
      <c r="U361" s="408">
        <f t="shared" si="32"/>
        <v>2145093</v>
      </c>
    </row>
    <row r="362" spans="1:21" ht="15" customHeight="1">
      <c r="B362" s="89"/>
      <c r="C362" s="89"/>
      <c r="D362" s="89"/>
      <c r="E362" s="89"/>
      <c r="F362" s="89"/>
      <c r="G362" s="89"/>
      <c r="H362" s="89"/>
      <c r="I362" s="89"/>
      <c r="J362" s="89"/>
      <c r="K362" s="89"/>
      <c r="L362" s="89"/>
      <c r="M362" s="226"/>
      <c r="N362" s="226"/>
      <c r="O362" s="168"/>
      <c r="P362" s="168"/>
      <c r="Q362" s="219"/>
      <c r="R362" s="219"/>
      <c r="S362" s="219"/>
      <c r="T362" s="219"/>
      <c r="U362" s="219"/>
    </row>
    <row r="363" spans="1:21" ht="24" customHeight="1">
      <c r="B363" s="98" t="s">
        <v>1323</v>
      </c>
      <c r="C363" s="89"/>
      <c r="D363" s="89"/>
      <c r="E363" s="89"/>
      <c r="F363" s="89"/>
      <c r="G363" s="89"/>
      <c r="H363" s="89"/>
      <c r="I363" s="89"/>
      <c r="J363" s="89"/>
      <c r="K363" s="89"/>
      <c r="L363" s="89"/>
      <c r="M363" s="226"/>
      <c r="N363" s="372"/>
      <c r="O363" s="168"/>
      <c r="P363" s="168"/>
      <c r="Q363" s="219"/>
      <c r="R363" s="219"/>
      <c r="S363" s="219"/>
      <c r="T363" s="219"/>
      <c r="U363" s="219"/>
    </row>
    <row r="364" spans="1:21" ht="24" customHeight="1">
      <c r="B364" s="1" t="s">
        <v>850</v>
      </c>
      <c r="C364" s="89"/>
      <c r="D364" s="89"/>
      <c r="E364" s="1" t="s">
        <v>556</v>
      </c>
      <c r="F364" s="89"/>
      <c r="G364" s="89"/>
      <c r="H364" s="89"/>
      <c r="I364" s="89"/>
      <c r="J364" s="89"/>
      <c r="K364" s="89"/>
      <c r="L364" s="89"/>
      <c r="M364" s="404">
        <v>92586</v>
      </c>
      <c r="N364" s="404">
        <v>75728</v>
      </c>
      <c r="O364" s="405">
        <v>0</v>
      </c>
      <c r="P364" s="405">
        <v>0</v>
      </c>
      <c r="Q364" s="404">
        <v>0</v>
      </c>
      <c r="R364" s="404">
        <v>0</v>
      </c>
      <c r="S364" s="404">
        <v>0</v>
      </c>
      <c r="T364" s="404">
        <v>0</v>
      </c>
      <c r="U364" s="404">
        <v>0</v>
      </c>
    </row>
    <row r="365" spans="1:21" ht="24" customHeight="1">
      <c r="B365" s="1" t="s">
        <v>1074</v>
      </c>
      <c r="C365" s="89"/>
      <c r="D365" s="89"/>
      <c r="E365" s="304" t="s">
        <v>153</v>
      </c>
      <c r="F365" s="161"/>
      <c r="G365" s="161"/>
      <c r="H365" s="161"/>
      <c r="I365" s="89"/>
      <c r="J365" s="89"/>
      <c r="K365" s="89"/>
      <c r="L365" s="89"/>
      <c r="M365" s="240">
        <v>427</v>
      </c>
      <c r="N365" s="240">
        <v>320</v>
      </c>
      <c r="O365" s="164">
        <v>0</v>
      </c>
      <c r="P365" s="164">
        <v>0</v>
      </c>
      <c r="Q365" s="208">
        <v>0</v>
      </c>
      <c r="R365" s="208">
        <v>0</v>
      </c>
      <c r="S365" s="208">
        <v>0</v>
      </c>
      <c r="T365" s="208">
        <v>0</v>
      </c>
      <c r="U365" s="208">
        <v>0</v>
      </c>
    </row>
    <row r="366" spans="1:21" ht="24" customHeight="1">
      <c r="B366" s="1" t="s">
        <v>851</v>
      </c>
      <c r="C366" s="89"/>
      <c r="D366" s="89"/>
      <c r="E366" s="1" t="s">
        <v>557</v>
      </c>
      <c r="F366" s="89"/>
      <c r="G366" s="89"/>
      <c r="H366" s="89"/>
      <c r="I366" s="89"/>
      <c r="J366" s="89"/>
      <c r="K366" s="89"/>
      <c r="L366" s="89"/>
      <c r="M366" s="240">
        <v>10914</v>
      </c>
      <c r="N366" s="240">
        <v>67387</v>
      </c>
      <c r="O366" s="164">
        <v>0</v>
      </c>
      <c r="P366" s="164">
        <v>0</v>
      </c>
      <c r="Q366" s="208">
        <v>0</v>
      </c>
      <c r="R366" s="208">
        <v>0</v>
      </c>
      <c r="S366" s="208">
        <v>0</v>
      </c>
      <c r="T366" s="208">
        <v>0</v>
      </c>
      <c r="U366" s="208">
        <v>0</v>
      </c>
    </row>
    <row r="367" spans="1:21" ht="24" customHeight="1">
      <c r="B367" s="298" t="s">
        <v>1127</v>
      </c>
      <c r="C367" s="299"/>
      <c r="D367" s="299"/>
      <c r="E367" s="298" t="s">
        <v>1126</v>
      </c>
      <c r="F367" s="299"/>
      <c r="G367" s="299"/>
      <c r="H367" s="299"/>
      <c r="I367" s="299"/>
      <c r="J367" s="299"/>
      <c r="K367" s="299"/>
      <c r="L367" s="299"/>
      <c r="M367" s="240">
        <v>240663</v>
      </c>
      <c r="N367" s="240">
        <v>0</v>
      </c>
      <c r="O367" s="164">
        <v>0</v>
      </c>
      <c r="P367" s="164">
        <v>0</v>
      </c>
      <c r="Q367" s="208">
        <v>0</v>
      </c>
      <c r="R367" s="208">
        <v>0</v>
      </c>
      <c r="S367" s="208">
        <v>0</v>
      </c>
      <c r="T367" s="208">
        <v>0</v>
      </c>
      <c r="U367" s="208">
        <v>0</v>
      </c>
    </row>
    <row r="368" spans="1:21" ht="24" customHeight="1">
      <c r="B368" s="389" t="s">
        <v>1185</v>
      </c>
      <c r="C368" s="388"/>
      <c r="D368" s="388"/>
      <c r="E368" s="389" t="s">
        <v>995</v>
      </c>
      <c r="F368" s="388"/>
      <c r="G368" s="388"/>
      <c r="H368" s="388"/>
      <c r="I368" s="388"/>
      <c r="J368" s="388"/>
      <c r="K368" s="388"/>
      <c r="L368" s="388"/>
      <c r="M368" s="261">
        <v>0</v>
      </c>
      <c r="N368" s="261">
        <v>2046503</v>
      </c>
      <c r="O368" s="167">
        <v>0</v>
      </c>
      <c r="P368" s="167">
        <v>0</v>
      </c>
      <c r="Q368" s="261">
        <v>0</v>
      </c>
      <c r="R368" s="261">
        <v>0</v>
      </c>
      <c r="S368" s="261">
        <v>0</v>
      </c>
      <c r="T368" s="261">
        <v>0</v>
      </c>
      <c r="U368" s="261">
        <v>0</v>
      </c>
    </row>
    <row r="369" spans="1:21" ht="24" customHeight="1">
      <c r="B369" s="689" t="s">
        <v>1323</v>
      </c>
      <c r="C369" s="689"/>
      <c r="D369" s="689"/>
      <c r="E369" s="689"/>
      <c r="F369" s="689"/>
      <c r="G369" s="689"/>
      <c r="H369" s="689"/>
      <c r="I369" s="689"/>
      <c r="J369" s="689"/>
      <c r="K369" s="689"/>
      <c r="L369" s="689"/>
      <c r="M369" s="410">
        <f t="shared" ref="M369:U369" si="33">SUM(M364:M368)</f>
        <v>344590</v>
      </c>
      <c r="N369" s="410">
        <f t="shared" si="33"/>
        <v>2189938</v>
      </c>
      <c r="O369" s="472">
        <f t="shared" si="33"/>
        <v>0</v>
      </c>
      <c r="P369" s="472">
        <f t="shared" si="33"/>
        <v>0</v>
      </c>
      <c r="Q369" s="471">
        <f t="shared" si="33"/>
        <v>0</v>
      </c>
      <c r="R369" s="471">
        <f t="shared" si="33"/>
        <v>0</v>
      </c>
      <c r="S369" s="471">
        <f t="shared" si="33"/>
        <v>0</v>
      </c>
      <c r="T369" s="471">
        <f t="shared" si="33"/>
        <v>0</v>
      </c>
      <c r="U369" s="471">
        <f t="shared" si="33"/>
        <v>0</v>
      </c>
    </row>
    <row r="370" spans="1:21" ht="6.9" customHeight="1">
      <c r="B370" s="468"/>
      <c r="C370" s="470"/>
      <c r="D370" s="470"/>
      <c r="E370" s="468"/>
      <c r="F370" s="470"/>
      <c r="G370" s="470"/>
      <c r="H370" s="470"/>
      <c r="I370" s="470"/>
      <c r="J370" s="470"/>
      <c r="K370" s="470"/>
      <c r="L370" s="470"/>
      <c r="M370" s="220"/>
      <c r="N370" s="240"/>
      <c r="O370" s="164"/>
      <c r="P370" s="164"/>
      <c r="Q370" s="240"/>
      <c r="R370" s="240"/>
      <c r="S370" s="240"/>
      <c r="T370" s="240"/>
      <c r="U370" s="240"/>
    </row>
    <row r="371" spans="1:21" ht="24" customHeight="1">
      <c r="B371" s="95" t="s">
        <v>797</v>
      </c>
      <c r="C371" s="97"/>
      <c r="D371" s="97"/>
      <c r="E371" s="1" t="s">
        <v>304</v>
      </c>
      <c r="F371" s="97"/>
      <c r="G371" s="97"/>
      <c r="H371" s="97"/>
      <c r="I371" s="97"/>
      <c r="J371" s="97"/>
      <c r="K371" s="97"/>
      <c r="L371" s="97"/>
      <c r="M371" s="474">
        <v>32092</v>
      </c>
      <c r="N371" s="475">
        <v>132689</v>
      </c>
      <c r="O371" s="476">
        <v>0</v>
      </c>
      <c r="P371" s="476">
        <v>0</v>
      </c>
      <c r="Q371" s="475">
        <v>0</v>
      </c>
      <c r="R371" s="475">
        <v>0</v>
      </c>
      <c r="S371" s="475">
        <v>0</v>
      </c>
      <c r="T371" s="475">
        <v>0</v>
      </c>
      <c r="U371" s="475">
        <v>0</v>
      </c>
    </row>
    <row r="372" spans="1:21" ht="24" customHeight="1">
      <c r="B372" s="689" t="s">
        <v>599</v>
      </c>
      <c r="C372" s="689"/>
      <c r="D372" s="689"/>
      <c r="E372" s="689"/>
      <c r="F372" s="689"/>
      <c r="G372" s="689"/>
      <c r="H372" s="689"/>
      <c r="I372" s="689"/>
      <c r="J372" s="689"/>
      <c r="K372" s="689"/>
      <c r="L372" s="689"/>
      <c r="M372" s="412">
        <f t="shared" ref="M372:U372" si="34">SUM(M371)</f>
        <v>32092</v>
      </c>
      <c r="N372" s="412">
        <f t="shared" si="34"/>
        <v>132689</v>
      </c>
      <c r="O372" s="413">
        <f t="shared" si="34"/>
        <v>0</v>
      </c>
      <c r="P372" s="413">
        <f t="shared" si="34"/>
        <v>0</v>
      </c>
      <c r="Q372" s="478">
        <f t="shared" si="34"/>
        <v>0</v>
      </c>
      <c r="R372" s="478">
        <f t="shared" si="34"/>
        <v>0</v>
      </c>
      <c r="S372" s="478">
        <f t="shared" si="34"/>
        <v>0</v>
      </c>
      <c r="T372" s="478">
        <f t="shared" si="34"/>
        <v>0</v>
      </c>
      <c r="U372" s="478">
        <f t="shared" si="34"/>
        <v>0</v>
      </c>
    </row>
    <row r="373" spans="1:21" ht="15" customHeight="1">
      <c r="B373" s="477"/>
      <c r="C373" s="477"/>
      <c r="D373" s="477"/>
      <c r="E373" s="477"/>
      <c r="F373" s="477"/>
      <c r="G373" s="477"/>
      <c r="H373" s="477"/>
      <c r="I373" s="477"/>
      <c r="J373" s="477"/>
      <c r="K373" s="477"/>
      <c r="L373" s="477"/>
      <c r="M373" s="412"/>
      <c r="N373" s="364"/>
      <c r="O373" s="189"/>
      <c r="P373" s="189"/>
      <c r="Q373" s="364"/>
      <c r="R373" s="364"/>
      <c r="S373" s="364"/>
      <c r="T373" s="364"/>
      <c r="U373" s="364"/>
    </row>
    <row r="374" spans="1:21" s="89" customFormat="1" ht="24" customHeight="1">
      <c r="A374" s="576"/>
      <c r="B374" s="689" t="s">
        <v>1324</v>
      </c>
      <c r="C374" s="689"/>
      <c r="D374" s="689"/>
      <c r="E374" s="689"/>
      <c r="F374" s="689"/>
      <c r="G374" s="689"/>
      <c r="H374" s="689"/>
      <c r="I374" s="689"/>
      <c r="J374" s="689"/>
      <c r="K374" s="689"/>
      <c r="L374" s="689"/>
      <c r="M374" s="408">
        <f t="shared" ref="M374:U374" si="35">M369+M372</f>
        <v>376682</v>
      </c>
      <c r="N374" s="408">
        <f t="shared" si="35"/>
        <v>2322627</v>
      </c>
      <c r="O374" s="409">
        <f t="shared" si="35"/>
        <v>0</v>
      </c>
      <c r="P374" s="409">
        <f t="shared" si="35"/>
        <v>0</v>
      </c>
      <c r="Q374" s="408">
        <f t="shared" si="35"/>
        <v>0</v>
      </c>
      <c r="R374" s="408">
        <f t="shared" si="35"/>
        <v>0</v>
      </c>
      <c r="S374" s="408">
        <f t="shared" si="35"/>
        <v>0</v>
      </c>
      <c r="T374" s="408">
        <f t="shared" si="35"/>
        <v>0</v>
      </c>
      <c r="U374" s="408">
        <f t="shared" si="35"/>
        <v>0</v>
      </c>
    </row>
    <row r="375" spans="1:21" s="470" customFormat="1" ht="15" customHeight="1">
      <c r="A375" s="576"/>
      <c r="B375" s="105"/>
      <c r="M375" s="408"/>
      <c r="N375" s="425"/>
      <c r="O375" s="409"/>
      <c r="P375" s="409"/>
      <c r="Q375" s="408"/>
      <c r="R375" s="408"/>
      <c r="S375" s="408"/>
      <c r="T375" s="408"/>
      <c r="U375" s="408"/>
    </row>
    <row r="376" spans="1:21" ht="24" customHeight="1">
      <c r="B376" s="347" t="s">
        <v>751</v>
      </c>
      <c r="C376" s="161"/>
      <c r="D376" s="161"/>
      <c r="E376" s="161"/>
      <c r="F376" s="161"/>
      <c r="G376" s="161"/>
      <c r="H376" s="89"/>
      <c r="I376" s="89"/>
      <c r="J376" s="89"/>
      <c r="K376" s="89"/>
      <c r="L376" s="89"/>
      <c r="M376" s="226"/>
      <c r="N376" s="372"/>
      <c r="O376" s="168"/>
      <c r="P376" s="168"/>
      <c r="Q376" s="219"/>
      <c r="R376" s="219"/>
      <c r="S376" s="219"/>
      <c r="T376" s="219"/>
      <c r="U376" s="219"/>
    </row>
    <row r="377" spans="1:21" ht="24" customHeight="1">
      <c r="B377" s="89" t="s">
        <v>1089</v>
      </c>
      <c r="C377" s="89"/>
      <c r="D377" s="89"/>
      <c r="E377" s="1" t="s">
        <v>10</v>
      </c>
      <c r="F377" s="95"/>
      <c r="G377" s="95"/>
      <c r="H377" s="95"/>
      <c r="I377" s="95"/>
      <c r="J377" s="97"/>
      <c r="K377" s="97"/>
      <c r="L377" s="97"/>
      <c r="M377" s="437">
        <v>0</v>
      </c>
      <c r="N377" s="437">
        <v>0</v>
      </c>
      <c r="O377" s="452">
        <v>13500</v>
      </c>
      <c r="P377" s="452">
        <v>0</v>
      </c>
      <c r="Q377" s="440">
        <v>10000</v>
      </c>
      <c r="R377" s="440">
        <v>10000</v>
      </c>
      <c r="S377" s="440">
        <v>10000</v>
      </c>
      <c r="T377" s="440">
        <v>10000</v>
      </c>
      <c r="U377" s="440">
        <v>10000</v>
      </c>
    </row>
    <row r="378" spans="1:21" ht="24" customHeight="1">
      <c r="B378" s="1" t="s">
        <v>791</v>
      </c>
      <c r="C378" s="97"/>
      <c r="D378" s="97"/>
      <c r="E378" s="1" t="s">
        <v>229</v>
      </c>
      <c r="F378" s="97"/>
      <c r="G378" s="97"/>
      <c r="H378" s="97"/>
      <c r="I378" s="97"/>
      <c r="J378" s="97"/>
      <c r="K378" s="97"/>
      <c r="L378" s="97"/>
      <c r="M378" s="325">
        <v>0</v>
      </c>
      <c r="N378" s="325">
        <v>109350</v>
      </c>
      <c r="O378" s="175">
        <v>109000</v>
      </c>
      <c r="P378" s="175">
        <v>150000</v>
      </c>
      <c r="Q378" s="325">
        <v>17000</v>
      </c>
      <c r="R378" s="325">
        <v>12000</v>
      </c>
      <c r="S378" s="325">
        <v>12000</v>
      </c>
      <c r="T378" s="325">
        <v>102000</v>
      </c>
      <c r="U378" s="325">
        <v>12000</v>
      </c>
    </row>
    <row r="379" spans="1:21" ht="24" customHeight="1">
      <c r="B379" s="335" t="s">
        <v>1156</v>
      </c>
      <c r="C379" s="334"/>
      <c r="D379" s="334"/>
      <c r="E379" s="304" t="s">
        <v>874</v>
      </c>
      <c r="F379" s="324"/>
      <c r="G379" s="324"/>
      <c r="H379" s="311"/>
      <c r="I379" s="311"/>
      <c r="J379" s="311"/>
      <c r="K379" s="97"/>
      <c r="L379" s="97"/>
      <c r="M379" s="240">
        <v>98090</v>
      </c>
      <c r="N379" s="240">
        <v>106402</v>
      </c>
      <c r="O379" s="164">
        <v>110214</v>
      </c>
      <c r="P379" s="164">
        <v>110214</v>
      </c>
      <c r="Q379" s="208">
        <v>116827</v>
      </c>
      <c r="R379" s="208">
        <v>123837</v>
      </c>
      <c r="S379" s="208">
        <v>131267</v>
      </c>
      <c r="T379" s="208">
        <v>139143</v>
      </c>
      <c r="U379" s="208">
        <v>147492</v>
      </c>
    </row>
    <row r="380" spans="1:21" ht="24" customHeight="1">
      <c r="B380" s="1" t="s">
        <v>919</v>
      </c>
      <c r="C380" s="97"/>
      <c r="D380" s="97"/>
      <c r="E380" s="1" t="s">
        <v>259</v>
      </c>
      <c r="F380" s="97"/>
      <c r="G380" s="97"/>
      <c r="H380" s="97"/>
      <c r="I380" s="97"/>
      <c r="J380" s="97"/>
      <c r="K380" s="97"/>
      <c r="L380" s="97"/>
      <c r="M380" s="325">
        <v>475</v>
      </c>
      <c r="N380" s="325">
        <v>475</v>
      </c>
      <c r="O380" s="175">
        <v>475</v>
      </c>
      <c r="P380" s="175">
        <v>475</v>
      </c>
      <c r="Q380" s="237">
        <v>475</v>
      </c>
      <c r="R380" s="237">
        <v>475</v>
      </c>
      <c r="S380" s="237">
        <v>475</v>
      </c>
      <c r="T380" s="237">
        <v>475</v>
      </c>
      <c r="U380" s="237">
        <v>475</v>
      </c>
    </row>
    <row r="381" spans="1:21" ht="24" customHeight="1">
      <c r="B381" s="1" t="s">
        <v>910</v>
      </c>
      <c r="C381" s="97"/>
      <c r="D381" s="97"/>
      <c r="E381" s="1" t="s">
        <v>18</v>
      </c>
      <c r="F381" s="97"/>
      <c r="G381" s="97"/>
      <c r="H381" s="97"/>
      <c r="I381" s="97"/>
      <c r="J381" s="97"/>
      <c r="K381" s="97"/>
      <c r="L381" s="97"/>
      <c r="M381" s="325">
        <v>762</v>
      </c>
      <c r="N381" s="325">
        <v>664</v>
      </c>
      <c r="O381" s="175">
        <v>1000</v>
      </c>
      <c r="P381" s="175">
        <v>1000</v>
      </c>
      <c r="Q381" s="325">
        <v>1000</v>
      </c>
      <c r="R381" s="325">
        <v>1000</v>
      </c>
      <c r="S381" s="325">
        <v>1000</v>
      </c>
      <c r="T381" s="325">
        <v>1000</v>
      </c>
      <c r="U381" s="325">
        <v>1000</v>
      </c>
    </row>
    <row r="382" spans="1:21" ht="24" customHeight="1">
      <c r="B382" s="335" t="s">
        <v>1155</v>
      </c>
      <c r="C382" s="334"/>
      <c r="D382" s="334"/>
      <c r="E382" s="304" t="s">
        <v>241</v>
      </c>
      <c r="F382" s="324"/>
      <c r="G382" s="324"/>
      <c r="H382" s="334"/>
      <c r="I382" s="334"/>
      <c r="J382" s="334"/>
      <c r="K382" s="334"/>
      <c r="L382" s="334"/>
      <c r="M382" s="240">
        <v>16349</v>
      </c>
      <c r="N382" s="240">
        <v>15788</v>
      </c>
      <c r="O382" s="164">
        <v>15000</v>
      </c>
      <c r="P382" s="164">
        <v>15000</v>
      </c>
      <c r="Q382" s="240">
        <v>15000</v>
      </c>
      <c r="R382" s="240">
        <v>15000</v>
      </c>
      <c r="S382" s="240">
        <v>15000</v>
      </c>
      <c r="T382" s="240">
        <v>15000</v>
      </c>
      <c r="U382" s="240">
        <v>15000</v>
      </c>
    </row>
    <row r="383" spans="1:21" ht="24" customHeight="1">
      <c r="B383" s="1" t="s">
        <v>1069</v>
      </c>
      <c r="C383" s="95"/>
      <c r="D383" s="95"/>
      <c r="E383" s="304" t="s">
        <v>1056</v>
      </c>
      <c r="F383" s="324"/>
      <c r="G383" s="324"/>
      <c r="H383" s="324"/>
      <c r="I383" s="324"/>
      <c r="J383" s="324"/>
      <c r="K383" s="95"/>
      <c r="L383" s="95"/>
      <c r="M383" s="240">
        <v>16235</v>
      </c>
      <c r="N383" s="240">
        <v>5612</v>
      </c>
      <c r="O383" s="164">
        <v>35000</v>
      </c>
      <c r="P383" s="164">
        <v>10000</v>
      </c>
      <c r="Q383" s="208">
        <v>35000</v>
      </c>
      <c r="R383" s="208">
        <v>35000</v>
      </c>
      <c r="S383" s="208">
        <v>35000</v>
      </c>
      <c r="T383" s="208">
        <v>35000</v>
      </c>
      <c r="U383" s="208">
        <v>35000</v>
      </c>
    </row>
    <row r="384" spans="1:21" ht="24" customHeight="1">
      <c r="B384" s="95" t="s">
        <v>1097</v>
      </c>
      <c r="C384" s="97"/>
      <c r="D384" s="97"/>
      <c r="E384" s="304" t="s">
        <v>1096</v>
      </c>
      <c r="F384" s="311"/>
      <c r="G384" s="311"/>
      <c r="H384" s="311"/>
      <c r="I384" s="311"/>
      <c r="J384" s="311"/>
      <c r="K384" s="311"/>
      <c r="L384" s="311"/>
      <c r="M384" s="240">
        <v>2712</v>
      </c>
      <c r="N384" s="240">
        <v>5210</v>
      </c>
      <c r="O384" s="164">
        <v>7500</v>
      </c>
      <c r="P384" s="164">
        <v>5000</v>
      </c>
      <c r="Q384" s="208">
        <v>10000</v>
      </c>
      <c r="R384" s="208">
        <v>10000</v>
      </c>
      <c r="S384" s="208">
        <v>10000</v>
      </c>
      <c r="T384" s="208">
        <v>10000</v>
      </c>
      <c r="U384" s="208">
        <v>10000</v>
      </c>
    </row>
    <row r="385" spans="2:21" ht="24" customHeight="1">
      <c r="B385" s="338" t="s">
        <v>1158</v>
      </c>
      <c r="C385" s="337"/>
      <c r="D385" s="337"/>
      <c r="E385" s="304" t="s">
        <v>1166</v>
      </c>
      <c r="F385" s="324"/>
      <c r="G385" s="324"/>
      <c r="H385" s="324"/>
      <c r="I385" s="324"/>
      <c r="J385" s="324"/>
      <c r="K385" s="324"/>
      <c r="L385" s="324"/>
      <c r="M385" s="240">
        <v>0</v>
      </c>
      <c r="N385" s="240">
        <v>15118</v>
      </c>
      <c r="O385" s="164">
        <v>45000</v>
      </c>
      <c r="P385" s="164">
        <v>45000</v>
      </c>
      <c r="Q385" s="240">
        <v>45000</v>
      </c>
      <c r="R385" s="240">
        <v>45000</v>
      </c>
      <c r="S385" s="240">
        <v>45000</v>
      </c>
      <c r="T385" s="240">
        <v>45000</v>
      </c>
      <c r="U385" s="240">
        <v>45000</v>
      </c>
    </row>
    <row r="386" spans="2:21" ht="24" customHeight="1">
      <c r="B386" s="395" t="s">
        <v>1195</v>
      </c>
      <c r="C386" s="97"/>
      <c r="D386" s="97"/>
      <c r="E386" s="310" t="s">
        <v>1184</v>
      </c>
      <c r="F386" s="311"/>
      <c r="G386" s="311"/>
      <c r="H386" s="311"/>
      <c r="I386" s="311"/>
      <c r="J386" s="311"/>
      <c r="K386" s="311"/>
      <c r="L386" s="311"/>
      <c r="M386" s="308">
        <v>0</v>
      </c>
      <c r="N386" s="308">
        <v>0</v>
      </c>
      <c r="O386" s="172">
        <v>85000</v>
      </c>
      <c r="P386" s="172">
        <v>75000</v>
      </c>
      <c r="Q386" s="308">
        <v>75000</v>
      </c>
      <c r="R386" s="308">
        <v>0</v>
      </c>
      <c r="S386" s="308">
        <v>0</v>
      </c>
      <c r="T386" s="308">
        <v>0</v>
      </c>
      <c r="U386" s="308">
        <v>0</v>
      </c>
    </row>
    <row r="387" spans="2:21" ht="24" customHeight="1">
      <c r="B387" s="304" t="s">
        <v>1114</v>
      </c>
      <c r="C387" s="95"/>
      <c r="D387" s="95"/>
      <c r="E387" s="304" t="s">
        <v>1115</v>
      </c>
      <c r="F387" s="324"/>
      <c r="G387" s="324"/>
      <c r="H387" s="324"/>
      <c r="I387" s="324"/>
      <c r="J387" s="324"/>
      <c r="K387" s="324"/>
      <c r="L387" s="324"/>
      <c r="M387" s="240">
        <v>186548</v>
      </c>
      <c r="N387" s="240">
        <v>41252</v>
      </c>
      <c r="O387" s="164">
        <v>2260000</v>
      </c>
      <c r="P387" s="164">
        <v>2001000</v>
      </c>
      <c r="Q387" s="240">
        <v>200000</v>
      </c>
      <c r="R387" s="240">
        <v>0</v>
      </c>
      <c r="S387" s="208">
        <v>0</v>
      </c>
      <c r="T387" s="208">
        <v>0</v>
      </c>
      <c r="U387" s="208">
        <v>0</v>
      </c>
    </row>
    <row r="388" spans="2:21" ht="24" customHeight="1">
      <c r="B388" s="1" t="s">
        <v>979</v>
      </c>
      <c r="C388" s="95"/>
      <c r="D388" s="95"/>
      <c r="E388" s="1" t="s">
        <v>345</v>
      </c>
      <c r="F388" s="95"/>
      <c r="G388" s="95"/>
      <c r="H388" s="95"/>
      <c r="I388" s="95"/>
      <c r="J388" s="95"/>
      <c r="K388" s="95"/>
      <c r="L388" s="95"/>
      <c r="M388" s="240">
        <v>7050</v>
      </c>
      <c r="N388" s="240">
        <v>4767</v>
      </c>
      <c r="O388" s="164">
        <v>6101</v>
      </c>
      <c r="P388" s="164">
        <v>0</v>
      </c>
      <c r="Q388" s="240">
        <v>0</v>
      </c>
      <c r="R388" s="208">
        <v>0</v>
      </c>
      <c r="S388" s="208">
        <v>0</v>
      </c>
      <c r="T388" s="208">
        <v>0</v>
      </c>
      <c r="U388" s="208">
        <v>0</v>
      </c>
    </row>
    <row r="389" spans="2:21" ht="24" customHeight="1">
      <c r="B389" s="95" t="s">
        <v>964</v>
      </c>
      <c r="C389" s="97"/>
      <c r="D389" s="97"/>
      <c r="E389" s="304" t="s">
        <v>963</v>
      </c>
      <c r="F389" s="311"/>
      <c r="G389" s="311"/>
      <c r="H389" s="311"/>
      <c r="I389" s="311"/>
      <c r="J389" s="311"/>
      <c r="K389" s="311"/>
      <c r="L389" s="311"/>
      <c r="M389" s="308">
        <v>96568</v>
      </c>
      <c r="N389" s="308">
        <v>0</v>
      </c>
      <c r="O389" s="172">
        <v>110000</v>
      </c>
      <c r="P389" s="172">
        <v>0</v>
      </c>
      <c r="Q389" s="308">
        <v>106576</v>
      </c>
      <c r="R389" s="234">
        <v>0</v>
      </c>
      <c r="S389" s="234">
        <v>0</v>
      </c>
      <c r="T389" s="234">
        <v>0</v>
      </c>
      <c r="U389" s="234">
        <v>0</v>
      </c>
    </row>
    <row r="390" spans="2:21" ht="24" customHeight="1">
      <c r="B390" s="95" t="s">
        <v>1065</v>
      </c>
      <c r="C390" s="97"/>
      <c r="D390" s="97"/>
      <c r="E390" s="1" t="s">
        <v>1066</v>
      </c>
      <c r="F390" s="97"/>
      <c r="G390" s="97"/>
      <c r="H390" s="97"/>
      <c r="I390" s="97"/>
      <c r="J390" s="97"/>
      <c r="K390" s="97"/>
      <c r="L390" s="97"/>
      <c r="M390" s="308">
        <v>9440</v>
      </c>
      <c r="N390" s="308">
        <v>1175</v>
      </c>
      <c r="O390" s="172">
        <v>0</v>
      </c>
      <c r="P390" s="172">
        <v>0</v>
      </c>
      <c r="Q390" s="308">
        <v>0</v>
      </c>
      <c r="R390" s="234">
        <v>0</v>
      </c>
      <c r="S390" s="234">
        <v>0</v>
      </c>
      <c r="T390" s="234">
        <v>0</v>
      </c>
      <c r="U390" s="234">
        <v>0</v>
      </c>
    </row>
    <row r="391" spans="2:21" ht="24" customHeight="1">
      <c r="B391" s="324" t="s">
        <v>827</v>
      </c>
      <c r="C391" s="97"/>
      <c r="D391" s="97"/>
      <c r="E391" s="310" t="s">
        <v>837</v>
      </c>
      <c r="F391" s="311"/>
      <c r="G391" s="311"/>
      <c r="H391" s="311"/>
      <c r="I391" s="311"/>
      <c r="J391" s="311"/>
      <c r="K391" s="311"/>
      <c r="L391" s="311"/>
      <c r="M391" s="308">
        <v>99289</v>
      </c>
      <c r="N391" s="308">
        <v>103363</v>
      </c>
      <c r="O391" s="172">
        <v>1148725</v>
      </c>
      <c r="P391" s="172">
        <v>965000</v>
      </c>
      <c r="Q391" s="308">
        <v>1435000</v>
      </c>
      <c r="R391" s="308">
        <v>1010000</v>
      </c>
      <c r="S391" s="308">
        <v>760000</v>
      </c>
      <c r="T391" s="308">
        <v>760000</v>
      </c>
      <c r="U391" s="308">
        <v>760000</v>
      </c>
    </row>
    <row r="392" spans="2:21" ht="24" customHeight="1">
      <c r="B392" s="324" t="s">
        <v>1207</v>
      </c>
      <c r="C392" s="97"/>
      <c r="D392" s="97"/>
      <c r="E392" s="310" t="s">
        <v>1208</v>
      </c>
      <c r="F392" s="311"/>
      <c r="G392" s="311"/>
      <c r="H392" s="311"/>
      <c r="I392" s="311"/>
      <c r="J392" s="311"/>
      <c r="K392" s="311"/>
      <c r="L392" s="311"/>
      <c r="M392" s="308">
        <v>0</v>
      </c>
      <c r="N392" s="308">
        <v>0</v>
      </c>
      <c r="O392" s="172">
        <v>70000</v>
      </c>
      <c r="P392" s="172">
        <v>70000</v>
      </c>
      <c r="Q392" s="308">
        <v>635300</v>
      </c>
      <c r="R392" s="308">
        <v>0</v>
      </c>
      <c r="S392" s="308">
        <v>0</v>
      </c>
      <c r="T392" s="308">
        <v>0</v>
      </c>
      <c r="U392" s="308">
        <v>0</v>
      </c>
    </row>
    <row r="393" spans="2:21" ht="24" customHeight="1">
      <c r="B393" s="324" t="s">
        <v>1384</v>
      </c>
      <c r="C393" s="467"/>
      <c r="D393" s="467"/>
      <c r="E393" s="310" t="s">
        <v>1385</v>
      </c>
      <c r="F393" s="311"/>
      <c r="G393" s="311"/>
      <c r="H393" s="311"/>
      <c r="I393" s="311"/>
      <c r="J393" s="311"/>
      <c r="K393" s="311"/>
      <c r="L393" s="311"/>
      <c r="M393" s="308">
        <v>0</v>
      </c>
      <c r="N393" s="308">
        <v>0</v>
      </c>
      <c r="O393" s="172">
        <v>0</v>
      </c>
      <c r="P393" s="172">
        <v>0</v>
      </c>
      <c r="Q393" s="308">
        <v>140000</v>
      </c>
      <c r="R393" s="308">
        <v>140000</v>
      </c>
      <c r="S393" s="308">
        <v>140000</v>
      </c>
      <c r="T393" s="308">
        <v>140000</v>
      </c>
      <c r="U393" s="308">
        <v>140000</v>
      </c>
    </row>
    <row r="394" spans="2:21" ht="24" customHeight="1">
      <c r="B394" s="324" t="s">
        <v>1081</v>
      </c>
      <c r="C394" s="97"/>
      <c r="D394" s="97"/>
      <c r="E394" s="96" t="s">
        <v>1082</v>
      </c>
      <c r="F394" s="97"/>
      <c r="G394" s="97"/>
      <c r="H394" s="97"/>
      <c r="I394" s="97"/>
      <c r="J394" s="97"/>
      <c r="K394" s="97"/>
      <c r="L394" s="97"/>
      <c r="M394" s="308">
        <v>2828</v>
      </c>
      <c r="N394" s="308">
        <v>0</v>
      </c>
      <c r="O394" s="172">
        <v>0</v>
      </c>
      <c r="P394" s="172">
        <v>0</v>
      </c>
      <c r="Q394" s="308">
        <v>0</v>
      </c>
      <c r="R394" s="234">
        <v>0</v>
      </c>
      <c r="S394" s="234">
        <v>0</v>
      </c>
      <c r="T394" s="234">
        <v>0</v>
      </c>
      <c r="U394" s="234">
        <v>0</v>
      </c>
    </row>
    <row r="395" spans="2:21" ht="24" customHeight="1">
      <c r="B395" s="324" t="s">
        <v>1148</v>
      </c>
      <c r="C395" s="97"/>
      <c r="D395" s="97"/>
      <c r="E395" s="96" t="s">
        <v>1149</v>
      </c>
      <c r="F395" s="97"/>
      <c r="G395" s="97"/>
      <c r="H395" s="97"/>
      <c r="I395" s="97"/>
      <c r="J395" s="97"/>
      <c r="K395" s="97"/>
      <c r="L395" s="97"/>
      <c r="M395" s="308">
        <v>2165</v>
      </c>
      <c r="N395" s="308">
        <v>84494</v>
      </c>
      <c r="O395" s="172">
        <v>165000</v>
      </c>
      <c r="P395" s="172">
        <v>10000</v>
      </c>
      <c r="Q395" s="308">
        <v>190000</v>
      </c>
      <c r="R395" s="234">
        <v>0</v>
      </c>
      <c r="S395" s="234">
        <v>0</v>
      </c>
      <c r="T395" s="234">
        <v>0</v>
      </c>
      <c r="U395" s="234">
        <v>0</v>
      </c>
    </row>
    <row r="396" spans="2:21" ht="24" customHeight="1">
      <c r="B396" s="324" t="s">
        <v>1386</v>
      </c>
      <c r="C396" s="467"/>
      <c r="D396" s="467"/>
      <c r="E396" s="96" t="s">
        <v>1387</v>
      </c>
      <c r="F396" s="467"/>
      <c r="G396" s="467"/>
      <c r="H396" s="467"/>
      <c r="I396" s="467"/>
      <c r="J396" s="467"/>
      <c r="K396" s="467"/>
      <c r="L396" s="467"/>
      <c r="M396" s="308">
        <v>0</v>
      </c>
      <c r="N396" s="308">
        <v>0</v>
      </c>
      <c r="O396" s="172">
        <v>0</v>
      </c>
      <c r="P396" s="172">
        <v>0</v>
      </c>
      <c r="Q396" s="308">
        <v>151000</v>
      </c>
      <c r="R396" s="308">
        <v>151000</v>
      </c>
      <c r="S396" s="308">
        <v>151000</v>
      </c>
      <c r="T396" s="308">
        <v>151000</v>
      </c>
      <c r="U396" s="308">
        <v>151000</v>
      </c>
    </row>
    <row r="397" spans="2:21" ht="24" customHeight="1">
      <c r="B397" s="324" t="s">
        <v>1143</v>
      </c>
      <c r="C397" s="97"/>
      <c r="D397" s="97"/>
      <c r="E397" s="96" t="s">
        <v>1144</v>
      </c>
      <c r="F397" s="97"/>
      <c r="G397" s="97"/>
      <c r="H397" s="97"/>
      <c r="I397" s="97"/>
      <c r="J397" s="97"/>
      <c r="K397" s="97"/>
      <c r="L397" s="97"/>
      <c r="M397" s="308">
        <v>0</v>
      </c>
      <c r="N397" s="308">
        <v>6709</v>
      </c>
      <c r="O397" s="172">
        <v>300000</v>
      </c>
      <c r="P397" s="172">
        <v>172500</v>
      </c>
      <c r="Q397" s="308">
        <v>200000</v>
      </c>
      <c r="R397" s="308">
        <v>200000</v>
      </c>
      <c r="S397" s="308">
        <v>200000</v>
      </c>
      <c r="T397" s="308">
        <v>200000</v>
      </c>
      <c r="U397" s="308">
        <v>200000</v>
      </c>
    </row>
    <row r="398" spans="2:21" ht="24" customHeight="1">
      <c r="B398" s="324" t="s">
        <v>724</v>
      </c>
      <c r="C398" s="311"/>
      <c r="D398" s="311"/>
      <c r="E398" s="304" t="s">
        <v>1118</v>
      </c>
      <c r="F398" s="398"/>
      <c r="G398" s="398"/>
      <c r="H398" s="398"/>
      <c r="I398" s="398"/>
      <c r="J398" s="398"/>
      <c r="K398" s="398"/>
      <c r="L398" s="398"/>
      <c r="M398" s="308">
        <v>0</v>
      </c>
      <c r="N398" s="308">
        <v>110955</v>
      </c>
      <c r="O398" s="172">
        <v>82050</v>
      </c>
      <c r="P398" s="172">
        <v>0</v>
      </c>
      <c r="Q398" s="308">
        <v>25253</v>
      </c>
      <c r="R398" s="308">
        <v>0</v>
      </c>
      <c r="S398" s="234">
        <v>0</v>
      </c>
      <c r="T398" s="234">
        <v>0</v>
      </c>
      <c r="U398" s="234">
        <v>0</v>
      </c>
    </row>
    <row r="399" spans="2:21" ht="24" customHeight="1">
      <c r="B399" s="95" t="s">
        <v>726</v>
      </c>
      <c r="C399" s="97"/>
      <c r="D399" s="97"/>
      <c r="E399" s="304" t="s">
        <v>725</v>
      </c>
      <c r="F399" s="311"/>
      <c r="G399" s="311"/>
      <c r="H399" s="311"/>
      <c r="I399" s="311"/>
      <c r="J399" s="311"/>
      <c r="K399" s="311"/>
      <c r="L399" s="311"/>
      <c r="M399" s="308">
        <v>18842</v>
      </c>
      <c r="N399" s="308">
        <v>0</v>
      </c>
      <c r="O399" s="172">
        <v>85000</v>
      </c>
      <c r="P399" s="172">
        <v>0</v>
      </c>
      <c r="Q399" s="308">
        <v>84903</v>
      </c>
      <c r="R399" s="234">
        <v>0</v>
      </c>
      <c r="S399" s="234">
        <v>0</v>
      </c>
      <c r="T399" s="234">
        <v>0</v>
      </c>
      <c r="U399" s="234">
        <v>0</v>
      </c>
    </row>
    <row r="400" spans="2:21" ht="24" customHeight="1">
      <c r="B400" s="324" t="s">
        <v>1140</v>
      </c>
      <c r="C400" s="311"/>
      <c r="D400" s="311"/>
      <c r="E400" s="304" t="s">
        <v>1129</v>
      </c>
      <c r="F400" s="311"/>
      <c r="G400" s="311"/>
      <c r="H400" s="311"/>
      <c r="I400" s="311"/>
      <c r="J400" s="311"/>
      <c r="K400" s="311"/>
      <c r="L400" s="311"/>
      <c r="M400" s="308">
        <v>0</v>
      </c>
      <c r="N400" s="308">
        <v>0</v>
      </c>
      <c r="O400" s="172">
        <v>0</v>
      </c>
      <c r="P400" s="172">
        <v>0</v>
      </c>
      <c r="Q400" s="234">
        <v>0</v>
      </c>
      <c r="R400" s="308">
        <v>111467</v>
      </c>
      <c r="S400" s="308">
        <v>111467</v>
      </c>
      <c r="T400" s="308">
        <v>111467</v>
      </c>
      <c r="U400" s="308">
        <v>0</v>
      </c>
    </row>
    <row r="401" spans="2:21" ht="24" customHeight="1">
      <c r="B401" s="324" t="s">
        <v>1396</v>
      </c>
      <c r="C401" s="311"/>
      <c r="D401" s="311"/>
      <c r="E401" s="304" t="s">
        <v>1397</v>
      </c>
      <c r="F401" s="311"/>
      <c r="G401" s="311"/>
      <c r="H401" s="311"/>
      <c r="I401" s="311"/>
      <c r="J401" s="311"/>
      <c r="K401" s="311"/>
      <c r="L401" s="311"/>
      <c r="M401" s="308">
        <v>0</v>
      </c>
      <c r="N401" s="308">
        <v>0</v>
      </c>
      <c r="O401" s="172">
        <v>0</v>
      </c>
      <c r="P401" s="172">
        <v>0</v>
      </c>
      <c r="Q401" s="234">
        <v>35000</v>
      </c>
      <c r="R401" s="308">
        <v>639000</v>
      </c>
      <c r="S401" s="308">
        <v>0</v>
      </c>
      <c r="T401" s="308">
        <v>0</v>
      </c>
      <c r="U401" s="308">
        <v>0</v>
      </c>
    </row>
    <row r="402" spans="2:21" ht="24" customHeight="1">
      <c r="B402" s="324" t="s">
        <v>1415</v>
      </c>
      <c r="C402" s="311"/>
      <c r="D402" s="311"/>
      <c r="E402" s="304" t="s">
        <v>1428</v>
      </c>
      <c r="F402" s="311"/>
      <c r="G402" s="311"/>
      <c r="H402" s="311"/>
      <c r="I402" s="311"/>
      <c r="J402" s="311"/>
      <c r="K402" s="311"/>
      <c r="L402" s="311"/>
      <c r="M402" s="308">
        <v>0</v>
      </c>
      <c r="N402" s="308">
        <v>0</v>
      </c>
      <c r="O402" s="172">
        <v>0</v>
      </c>
      <c r="P402" s="172">
        <v>0</v>
      </c>
      <c r="Q402" s="308">
        <v>330192</v>
      </c>
      <c r="R402" s="308">
        <v>1320768</v>
      </c>
      <c r="S402" s="308">
        <v>1650960</v>
      </c>
      <c r="T402" s="308">
        <v>0</v>
      </c>
      <c r="U402" s="308">
        <v>0</v>
      </c>
    </row>
    <row r="403" spans="2:21" ht="24" customHeight="1">
      <c r="B403" s="324" t="s">
        <v>1398</v>
      </c>
      <c r="C403" s="311"/>
      <c r="D403" s="311"/>
      <c r="E403" s="304" t="s">
        <v>1399</v>
      </c>
      <c r="F403" s="311"/>
      <c r="G403" s="311"/>
      <c r="H403" s="311"/>
      <c r="I403" s="311"/>
      <c r="J403" s="311"/>
      <c r="K403" s="311"/>
      <c r="L403" s="311"/>
      <c r="M403" s="308">
        <v>0</v>
      </c>
      <c r="N403" s="308">
        <v>0</v>
      </c>
      <c r="O403" s="172">
        <v>0</v>
      </c>
      <c r="P403" s="172">
        <v>0</v>
      </c>
      <c r="Q403" s="234">
        <v>145000</v>
      </c>
      <c r="R403" s="308">
        <v>0</v>
      </c>
      <c r="S403" s="308">
        <v>0</v>
      </c>
      <c r="T403" s="308">
        <v>0</v>
      </c>
      <c r="U403" s="308">
        <v>0</v>
      </c>
    </row>
    <row r="404" spans="2:21" ht="24" customHeight="1">
      <c r="B404" s="304" t="s">
        <v>1190</v>
      </c>
      <c r="C404" s="97"/>
      <c r="D404" s="97"/>
      <c r="E404" s="396" t="s">
        <v>1191</v>
      </c>
      <c r="F404" s="106"/>
      <c r="G404" s="106"/>
      <c r="H404" s="106"/>
      <c r="I404" s="106"/>
      <c r="J404" s="106"/>
      <c r="K404" s="106"/>
      <c r="L404" s="106"/>
      <c r="M404" s="240">
        <v>0</v>
      </c>
      <c r="N404" s="240">
        <v>0</v>
      </c>
      <c r="O404" s="164">
        <v>0</v>
      </c>
      <c r="P404" s="164">
        <v>0</v>
      </c>
      <c r="Q404" s="240">
        <v>100000</v>
      </c>
      <c r="R404" s="240">
        <v>1100000</v>
      </c>
      <c r="S404" s="240">
        <v>0</v>
      </c>
      <c r="T404" s="208">
        <v>0</v>
      </c>
      <c r="U404" s="208">
        <v>0</v>
      </c>
    </row>
    <row r="405" spans="2:21" ht="24" customHeight="1">
      <c r="B405" s="304" t="s">
        <v>1192</v>
      </c>
      <c r="C405" s="97"/>
      <c r="D405" s="97"/>
      <c r="E405" s="396" t="s">
        <v>1193</v>
      </c>
      <c r="F405" s="106"/>
      <c r="G405" s="106"/>
      <c r="H405" s="106"/>
      <c r="I405" s="106"/>
      <c r="J405" s="106"/>
      <c r="K405" s="106"/>
      <c r="L405" s="106"/>
      <c r="M405" s="240">
        <v>0</v>
      </c>
      <c r="N405" s="240">
        <v>0</v>
      </c>
      <c r="O405" s="164">
        <v>60000</v>
      </c>
      <c r="P405" s="164">
        <v>60000</v>
      </c>
      <c r="Q405" s="240">
        <v>450000</v>
      </c>
      <c r="R405" s="240">
        <v>0</v>
      </c>
      <c r="S405" s="208">
        <v>0</v>
      </c>
      <c r="T405" s="208">
        <v>0</v>
      </c>
      <c r="U405" s="208">
        <v>0</v>
      </c>
    </row>
    <row r="406" spans="2:21" ht="24" customHeight="1">
      <c r="B406" s="304" t="s">
        <v>1445</v>
      </c>
      <c r="C406" s="467"/>
      <c r="D406" s="467"/>
      <c r="E406" s="640" t="s">
        <v>1446</v>
      </c>
      <c r="F406" s="106"/>
      <c r="G406" s="106"/>
      <c r="H406" s="106"/>
      <c r="I406" s="106"/>
      <c r="J406" s="106"/>
      <c r="K406" s="106"/>
      <c r="L406" s="106"/>
      <c r="M406" s="240">
        <v>0</v>
      </c>
      <c r="N406" s="240">
        <v>0</v>
      </c>
      <c r="O406" s="164">
        <v>0</v>
      </c>
      <c r="P406" s="164">
        <v>0</v>
      </c>
      <c r="Q406" s="240">
        <v>583000</v>
      </c>
      <c r="R406" s="240">
        <v>0</v>
      </c>
      <c r="S406" s="208">
        <v>0</v>
      </c>
      <c r="T406" s="208">
        <v>0</v>
      </c>
      <c r="U406" s="208">
        <v>0</v>
      </c>
    </row>
    <row r="407" spans="2:21" ht="24" customHeight="1">
      <c r="B407" s="1" t="s">
        <v>518</v>
      </c>
      <c r="C407" s="97"/>
      <c r="D407" s="97"/>
      <c r="E407" s="1" t="s">
        <v>1111</v>
      </c>
      <c r="F407" s="97"/>
      <c r="G407" s="97"/>
      <c r="H407" s="97"/>
      <c r="I407" s="97"/>
      <c r="J407" s="97"/>
      <c r="K407" s="97"/>
      <c r="L407" s="97"/>
      <c r="M407" s="240">
        <v>0</v>
      </c>
      <c r="N407" s="240">
        <v>0</v>
      </c>
      <c r="O407" s="164">
        <v>32000</v>
      </c>
      <c r="P407" s="164">
        <v>0</v>
      </c>
      <c r="Q407" s="240">
        <v>32000</v>
      </c>
      <c r="R407" s="208">
        <v>0</v>
      </c>
      <c r="S407" s="208">
        <v>0</v>
      </c>
      <c r="T407" s="208">
        <v>0</v>
      </c>
      <c r="U407" s="208">
        <v>0</v>
      </c>
    </row>
    <row r="408" spans="2:21" ht="24" customHeight="1">
      <c r="B408" s="1" t="s">
        <v>1059</v>
      </c>
      <c r="C408" s="97"/>
      <c r="D408" s="97"/>
      <c r="E408" s="1" t="s">
        <v>1060</v>
      </c>
      <c r="F408" s="148"/>
      <c r="G408" s="148"/>
      <c r="H408" s="148"/>
      <c r="I408" s="148"/>
      <c r="J408" s="148"/>
      <c r="K408" s="148"/>
      <c r="L408" s="148"/>
      <c r="M408" s="240">
        <v>0</v>
      </c>
      <c r="N408" s="240">
        <v>0</v>
      </c>
      <c r="O408" s="164">
        <v>0</v>
      </c>
      <c r="P408" s="164">
        <v>0</v>
      </c>
      <c r="Q408" s="208">
        <v>0</v>
      </c>
      <c r="R408" s="208">
        <v>0</v>
      </c>
      <c r="S408" s="208">
        <v>0</v>
      </c>
      <c r="T408" s="208">
        <v>0</v>
      </c>
      <c r="U408" s="240">
        <v>250000</v>
      </c>
    </row>
    <row r="409" spans="2:21" ht="24" customHeight="1">
      <c r="B409" s="6" t="s">
        <v>913</v>
      </c>
      <c r="C409" s="95"/>
      <c r="D409" s="95"/>
      <c r="E409" s="1"/>
      <c r="F409" s="95"/>
      <c r="G409" s="95"/>
      <c r="H409" s="95"/>
      <c r="I409" s="95"/>
      <c r="J409" s="95"/>
      <c r="K409" s="95"/>
      <c r="L409" s="95"/>
      <c r="M409" s="240"/>
      <c r="N409" s="240"/>
      <c r="O409" s="164"/>
      <c r="P409" s="164"/>
      <c r="Q409" s="208"/>
      <c r="R409" s="208"/>
      <c r="S409" s="208"/>
      <c r="T409" s="208"/>
      <c r="U409" s="208"/>
    </row>
    <row r="410" spans="2:21" ht="24" customHeight="1">
      <c r="B410" s="1" t="s">
        <v>914</v>
      </c>
      <c r="C410" s="95"/>
      <c r="D410" s="95"/>
      <c r="E410" s="1" t="s">
        <v>798</v>
      </c>
      <c r="F410" s="95"/>
      <c r="G410" s="95"/>
      <c r="H410" s="95"/>
      <c r="I410" s="95"/>
      <c r="J410" s="95"/>
      <c r="K410" s="95"/>
      <c r="L410" s="95"/>
      <c r="M410" s="240">
        <v>195000</v>
      </c>
      <c r="N410" s="240">
        <v>200000</v>
      </c>
      <c r="O410" s="164">
        <v>200000</v>
      </c>
      <c r="P410" s="164">
        <v>200000</v>
      </c>
      <c r="Q410" s="208">
        <v>210000</v>
      </c>
      <c r="R410" s="208">
        <v>210000</v>
      </c>
      <c r="S410" s="208">
        <v>220000</v>
      </c>
      <c r="T410" s="208">
        <v>225000</v>
      </c>
      <c r="U410" s="208">
        <v>230000</v>
      </c>
    </row>
    <row r="411" spans="2:21" ht="24" customHeight="1">
      <c r="B411" s="1" t="s">
        <v>915</v>
      </c>
      <c r="C411" s="95"/>
      <c r="D411" s="95"/>
      <c r="E411" s="1" t="s">
        <v>248</v>
      </c>
      <c r="F411" s="95"/>
      <c r="G411" s="95"/>
      <c r="H411" s="95"/>
      <c r="I411" s="95"/>
      <c r="J411" s="95"/>
      <c r="K411" s="95"/>
      <c r="L411" s="95"/>
      <c r="M411" s="261">
        <v>127188</v>
      </c>
      <c r="N411" s="261">
        <v>121338</v>
      </c>
      <c r="O411" s="167">
        <v>115338</v>
      </c>
      <c r="P411" s="167">
        <v>115338</v>
      </c>
      <c r="Q411" s="225">
        <v>109338</v>
      </c>
      <c r="R411" s="225">
        <v>103038</v>
      </c>
      <c r="S411" s="225">
        <v>96738</v>
      </c>
      <c r="T411" s="225">
        <v>90138</v>
      </c>
      <c r="U411" s="225">
        <v>83388</v>
      </c>
    </row>
    <row r="412" spans="2:21" ht="24" customHeight="1">
      <c r="B412" s="689" t="s">
        <v>751</v>
      </c>
      <c r="C412" s="689"/>
      <c r="D412" s="689"/>
      <c r="E412" s="689"/>
      <c r="F412" s="689"/>
      <c r="G412" s="689"/>
      <c r="H412" s="689"/>
      <c r="I412" s="689"/>
      <c r="J412" s="689"/>
      <c r="K412" s="689"/>
      <c r="L412" s="689"/>
      <c r="M412" s="410">
        <f t="shared" ref="M412:U412" si="36">SUM(M377:M411)</f>
        <v>879541</v>
      </c>
      <c r="N412" s="410">
        <f t="shared" si="36"/>
        <v>932672</v>
      </c>
      <c r="O412" s="472">
        <f t="shared" si="36"/>
        <v>5055903</v>
      </c>
      <c r="P412" s="472">
        <f t="shared" si="36"/>
        <v>4005527</v>
      </c>
      <c r="Q412" s="410">
        <f t="shared" si="36"/>
        <v>5487864</v>
      </c>
      <c r="R412" s="410">
        <f t="shared" si="36"/>
        <v>5237585</v>
      </c>
      <c r="S412" s="410">
        <f t="shared" si="36"/>
        <v>3589907</v>
      </c>
      <c r="T412" s="410">
        <f t="shared" si="36"/>
        <v>2035223</v>
      </c>
      <c r="U412" s="410">
        <f t="shared" si="36"/>
        <v>2090355</v>
      </c>
    </row>
    <row r="413" spans="2:21" ht="6.9" customHeight="1">
      <c r="B413" s="468"/>
      <c r="C413" s="469"/>
      <c r="D413" s="469"/>
      <c r="E413" s="468"/>
      <c r="F413" s="469"/>
      <c r="G413" s="469"/>
      <c r="H413" s="469"/>
      <c r="I413" s="469"/>
      <c r="J413" s="469"/>
      <c r="K413" s="469"/>
      <c r="L413" s="469"/>
      <c r="M413" s="220"/>
      <c r="N413" s="240"/>
      <c r="O413" s="164"/>
      <c r="P413" s="164"/>
      <c r="Q413" s="208"/>
      <c r="R413" s="208"/>
      <c r="S413" s="208"/>
      <c r="T413" s="208"/>
      <c r="U413" s="208"/>
    </row>
    <row r="414" spans="2:21" ht="24" customHeight="1">
      <c r="B414" s="542" t="s">
        <v>1366</v>
      </c>
      <c r="C414" s="467"/>
      <c r="D414" s="467"/>
      <c r="E414" s="544" t="s">
        <v>1319</v>
      </c>
      <c r="F414" s="467"/>
      <c r="G414" s="467"/>
      <c r="H414" s="467"/>
      <c r="I414" s="467"/>
      <c r="J414" s="467"/>
      <c r="K414" s="467"/>
      <c r="L414" s="542"/>
      <c r="M414" s="404">
        <v>0</v>
      </c>
      <c r="N414" s="404">
        <v>0</v>
      </c>
      <c r="O414" s="405">
        <v>384824</v>
      </c>
      <c r="P414" s="405">
        <v>384824</v>
      </c>
      <c r="Q414" s="404">
        <v>0</v>
      </c>
      <c r="R414" s="414">
        <v>0</v>
      </c>
      <c r="S414" s="414">
        <v>0</v>
      </c>
      <c r="T414" s="414">
        <v>0</v>
      </c>
      <c r="U414" s="414">
        <v>0</v>
      </c>
    </row>
    <row r="415" spans="2:21" ht="24" customHeight="1">
      <c r="B415" s="95" t="s">
        <v>993</v>
      </c>
      <c r="C415" s="97"/>
      <c r="D415" s="97"/>
      <c r="E415" s="1" t="s">
        <v>193</v>
      </c>
      <c r="F415" s="97"/>
      <c r="G415" s="97"/>
      <c r="H415" s="97"/>
      <c r="I415" s="97"/>
      <c r="J415" s="97"/>
      <c r="K415" s="97"/>
      <c r="L415" s="95"/>
      <c r="M415" s="549">
        <v>104906</v>
      </c>
      <c r="N415" s="549">
        <v>103895</v>
      </c>
      <c r="O415" s="550">
        <v>104558</v>
      </c>
      <c r="P415" s="550">
        <v>104558</v>
      </c>
      <c r="Q415" s="551">
        <v>104209</v>
      </c>
      <c r="R415" s="551">
        <v>104627</v>
      </c>
      <c r="S415" s="551">
        <v>104034</v>
      </c>
      <c r="T415" s="551">
        <v>55366</v>
      </c>
      <c r="U415" s="551">
        <v>54738</v>
      </c>
    </row>
    <row r="416" spans="2:21" ht="24" customHeight="1">
      <c r="B416" s="717" t="s">
        <v>599</v>
      </c>
      <c r="C416" s="717"/>
      <c r="D416" s="717"/>
      <c r="E416" s="717"/>
      <c r="F416" s="717"/>
      <c r="G416" s="717"/>
      <c r="H416" s="717"/>
      <c r="I416" s="717"/>
      <c r="J416" s="717"/>
      <c r="K416" s="717"/>
      <c r="L416" s="717"/>
      <c r="M416" s="410">
        <f t="shared" ref="M416:U416" si="37">SUM(M414:M415)</f>
        <v>104906</v>
      </c>
      <c r="N416" s="410">
        <f t="shared" si="37"/>
        <v>103895</v>
      </c>
      <c r="O416" s="407">
        <f t="shared" si="37"/>
        <v>489382</v>
      </c>
      <c r="P416" s="407">
        <f t="shared" si="37"/>
        <v>489382</v>
      </c>
      <c r="Q416" s="410">
        <f t="shared" si="37"/>
        <v>104209</v>
      </c>
      <c r="R416" s="410">
        <f t="shared" si="37"/>
        <v>104627</v>
      </c>
      <c r="S416" s="410">
        <f t="shared" si="37"/>
        <v>104034</v>
      </c>
      <c r="T416" s="410">
        <f t="shared" si="37"/>
        <v>55366</v>
      </c>
      <c r="U416" s="410">
        <f t="shared" si="37"/>
        <v>54738</v>
      </c>
    </row>
    <row r="417" spans="1:25" ht="15" customHeight="1">
      <c r="B417" s="469"/>
      <c r="C417" s="467"/>
      <c r="D417" s="467"/>
      <c r="E417" s="468"/>
      <c r="F417" s="467"/>
      <c r="G417" s="467"/>
      <c r="H417" s="467"/>
      <c r="I417" s="467"/>
      <c r="J417" s="467"/>
      <c r="K417" s="467"/>
      <c r="L417" s="469"/>
      <c r="M417" s="224"/>
      <c r="N417" s="261"/>
      <c r="O417" s="167"/>
      <c r="P417" s="167"/>
      <c r="Q417" s="225"/>
      <c r="R417" s="225"/>
      <c r="S417" s="225"/>
      <c r="T417" s="225"/>
      <c r="U417" s="225"/>
    </row>
    <row r="418" spans="1:25" s="89" customFormat="1" ht="24" customHeight="1">
      <c r="A418" s="576"/>
      <c r="B418" s="716" t="s">
        <v>1246</v>
      </c>
      <c r="C418" s="716"/>
      <c r="D418" s="716"/>
      <c r="E418" s="716"/>
      <c r="F418" s="716"/>
      <c r="G418" s="716"/>
      <c r="H418" s="716"/>
      <c r="I418" s="716"/>
      <c r="J418" s="716"/>
      <c r="K418" s="716"/>
      <c r="L418" s="716"/>
      <c r="M418" s="481">
        <f t="shared" ref="M418:U418" si="38">M412+M416</f>
        <v>984447</v>
      </c>
      <c r="N418" s="481">
        <f t="shared" si="38"/>
        <v>1036567</v>
      </c>
      <c r="O418" s="482">
        <f t="shared" si="38"/>
        <v>5545285</v>
      </c>
      <c r="P418" s="482">
        <f t="shared" si="38"/>
        <v>4494909</v>
      </c>
      <c r="Q418" s="481">
        <f t="shared" si="38"/>
        <v>5592073</v>
      </c>
      <c r="R418" s="481">
        <f t="shared" si="38"/>
        <v>5342212</v>
      </c>
      <c r="S418" s="481">
        <f t="shared" si="38"/>
        <v>3693941</v>
      </c>
      <c r="T418" s="481">
        <f t="shared" si="38"/>
        <v>2090589</v>
      </c>
      <c r="U418" s="481">
        <f t="shared" si="38"/>
        <v>2145093</v>
      </c>
    </row>
    <row r="419" spans="1:25" s="89" customFormat="1" ht="15" customHeight="1">
      <c r="A419" s="576"/>
      <c r="B419" s="145"/>
      <c r="C419" s="145"/>
      <c r="D419" s="145"/>
      <c r="E419" s="145"/>
      <c r="F419" s="145"/>
      <c r="G419" s="145"/>
      <c r="H419" s="145"/>
      <c r="I419" s="145"/>
      <c r="J419" s="145"/>
      <c r="K419" s="145"/>
      <c r="L419" s="145"/>
      <c r="M419" s="409"/>
      <c r="N419" s="409"/>
      <c r="O419" s="409"/>
      <c r="P419" s="409"/>
      <c r="Q419" s="409"/>
      <c r="R419" s="409"/>
      <c r="S419" s="409"/>
      <c r="T419" s="409"/>
      <c r="U419" s="409"/>
    </row>
    <row r="420" spans="1:25" s="89" customFormat="1" ht="24" customHeight="1">
      <c r="A420" s="576"/>
      <c r="B420" s="697" t="s">
        <v>1218</v>
      </c>
      <c r="C420" s="697"/>
      <c r="D420" s="697"/>
      <c r="E420" s="697"/>
      <c r="F420" s="697"/>
      <c r="G420" s="697"/>
      <c r="H420" s="697"/>
      <c r="I420" s="697"/>
      <c r="J420" s="697"/>
      <c r="K420" s="697"/>
      <c r="L420" s="697"/>
      <c r="M420" s="409">
        <f t="shared" ref="M420:U420" si="39">M412+M369</f>
        <v>1224131</v>
      </c>
      <c r="N420" s="409">
        <f t="shared" si="39"/>
        <v>3122610</v>
      </c>
      <c r="O420" s="409">
        <f t="shared" si="39"/>
        <v>5055903</v>
      </c>
      <c r="P420" s="409">
        <f t="shared" si="39"/>
        <v>4005527</v>
      </c>
      <c r="Q420" s="409">
        <f t="shared" si="39"/>
        <v>5487864</v>
      </c>
      <c r="R420" s="409">
        <f t="shared" si="39"/>
        <v>5237585</v>
      </c>
      <c r="S420" s="409">
        <f t="shared" si="39"/>
        <v>3589907</v>
      </c>
      <c r="T420" s="409">
        <f t="shared" si="39"/>
        <v>2035223</v>
      </c>
      <c r="U420" s="409">
        <f t="shared" si="39"/>
        <v>2090355</v>
      </c>
    </row>
    <row r="421" spans="1:25" s="89" customFormat="1" ht="15" customHeight="1">
      <c r="A421" s="576"/>
      <c r="B421" s="145"/>
      <c r="C421" s="145"/>
      <c r="D421" s="145"/>
      <c r="E421" s="145"/>
      <c r="F421" s="145"/>
      <c r="G421" s="145"/>
      <c r="H421" s="145"/>
      <c r="I421" s="145"/>
      <c r="J421" s="145"/>
      <c r="K421" s="145"/>
      <c r="L421" s="145"/>
      <c r="M421" s="428"/>
      <c r="N421" s="428"/>
      <c r="O421" s="428"/>
      <c r="P421" s="428"/>
      <c r="Q421" s="428"/>
      <c r="R421" s="428"/>
      <c r="S421" s="428"/>
      <c r="T421" s="428"/>
      <c r="U421" s="428"/>
    </row>
    <row r="422" spans="1:25" s="470" customFormat="1" ht="24" customHeight="1">
      <c r="A422" s="576"/>
      <c r="B422" s="145"/>
      <c r="C422" s="692" t="s">
        <v>838</v>
      </c>
      <c r="D422" s="692"/>
      <c r="E422" s="692"/>
      <c r="F422" s="692"/>
      <c r="G422" s="692"/>
      <c r="H422" s="692"/>
      <c r="I422" s="692"/>
      <c r="J422" s="692"/>
      <c r="K422" s="692"/>
      <c r="L422" s="692"/>
      <c r="M422" s="428">
        <f t="shared" ref="M422:U422" si="40">M359</f>
        <v>240663</v>
      </c>
      <c r="N422" s="428">
        <f t="shared" si="40"/>
        <v>1442336</v>
      </c>
      <c r="O422" s="428">
        <f t="shared" si="40"/>
        <v>2396250</v>
      </c>
      <c r="P422" s="428">
        <f t="shared" si="40"/>
        <v>2961215</v>
      </c>
      <c r="Q422" s="428">
        <f t="shared" si="40"/>
        <v>804352</v>
      </c>
      <c r="R422" s="428">
        <f t="shared" si="40"/>
        <v>1904042</v>
      </c>
      <c r="S422" s="428">
        <f t="shared" si="40"/>
        <v>1209638</v>
      </c>
      <c r="T422" s="428">
        <f t="shared" si="40"/>
        <v>1087670</v>
      </c>
      <c r="U422" s="428">
        <f t="shared" si="40"/>
        <v>951606</v>
      </c>
    </row>
    <row r="423" spans="1:25" s="470" customFormat="1" ht="24" customHeight="1">
      <c r="A423" s="576"/>
      <c r="B423" s="484"/>
      <c r="C423" s="693" t="s">
        <v>1204</v>
      </c>
      <c r="D423" s="693"/>
      <c r="E423" s="693"/>
      <c r="F423" s="693"/>
      <c r="G423" s="693"/>
      <c r="H423" s="693"/>
      <c r="I423" s="693"/>
      <c r="J423" s="693"/>
      <c r="K423" s="693"/>
      <c r="L423" s="693"/>
      <c r="M423" s="483">
        <f t="shared" ref="M423:U423" si="41">-M372+-M416</f>
        <v>-136998</v>
      </c>
      <c r="N423" s="483">
        <f t="shared" si="41"/>
        <v>-236584</v>
      </c>
      <c r="O423" s="483">
        <f t="shared" si="41"/>
        <v>-489382</v>
      </c>
      <c r="P423" s="483">
        <f t="shared" si="41"/>
        <v>-489382</v>
      </c>
      <c r="Q423" s="483">
        <f t="shared" si="41"/>
        <v>-104209</v>
      </c>
      <c r="R423" s="483">
        <f t="shared" si="41"/>
        <v>-104627</v>
      </c>
      <c r="S423" s="483">
        <f t="shared" si="41"/>
        <v>-104034</v>
      </c>
      <c r="T423" s="483">
        <f t="shared" si="41"/>
        <v>-55366</v>
      </c>
      <c r="U423" s="483">
        <f t="shared" si="41"/>
        <v>-54738</v>
      </c>
    </row>
    <row r="424" spans="1:25" s="470" customFormat="1" ht="24" customHeight="1">
      <c r="A424" s="576"/>
      <c r="B424" s="145"/>
      <c r="C424" s="691" t="s">
        <v>1219</v>
      </c>
      <c r="D424" s="691"/>
      <c r="E424" s="691"/>
      <c r="F424" s="691"/>
      <c r="G424" s="691"/>
      <c r="H424" s="691"/>
      <c r="I424" s="691"/>
      <c r="J424" s="691"/>
      <c r="K424" s="691"/>
      <c r="L424" s="691"/>
      <c r="M424" s="409">
        <f t="shared" ref="M424:U424" si="42">SUM(M422:M423)</f>
        <v>103665</v>
      </c>
      <c r="N424" s="409">
        <f t="shared" si="42"/>
        <v>1205752</v>
      </c>
      <c r="O424" s="409">
        <f t="shared" si="42"/>
        <v>1906868</v>
      </c>
      <c r="P424" s="409">
        <f t="shared" si="42"/>
        <v>2471833</v>
      </c>
      <c r="Q424" s="409">
        <f t="shared" si="42"/>
        <v>700143</v>
      </c>
      <c r="R424" s="409">
        <f t="shared" si="42"/>
        <v>1799415</v>
      </c>
      <c r="S424" s="409">
        <f t="shared" si="42"/>
        <v>1105604</v>
      </c>
      <c r="T424" s="409">
        <f t="shared" si="42"/>
        <v>1032304</v>
      </c>
      <c r="U424" s="409">
        <f t="shared" si="42"/>
        <v>896868</v>
      </c>
    </row>
    <row r="425" spans="1:25" s="470" customFormat="1" ht="15" customHeight="1">
      <c r="A425" s="576"/>
      <c r="B425" s="145"/>
      <c r="C425" s="145"/>
      <c r="D425" s="145"/>
      <c r="E425" s="145"/>
      <c r="F425" s="145"/>
      <c r="G425" s="145"/>
      <c r="H425" s="145"/>
      <c r="I425" s="145"/>
      <c r="J425" s="145"/>
      <c r="K425" s="145"/>
      <c r="L425" s="145"/>
      <c r="M425" s="428"/>
      <c r="N425" s="428"/>
      <c r="O425" s="428"/>
      <c r="P425" s="428"/>
      <c r="Q425" s="428"/>
      <c r="R425" s="428"/>
      <c r="S425" s="428"/>
      <c r="T425" s="428"/>
      <c r="U425" s="428"/>
    </row>
    <row r="426" spans="1:25" s="89" customFormat="1" ht="24" customHeight="1">
      <c r="A426" s="576"/>
      <c r="B426" s="145"/>
      <c r="C426" s="145"/>
      <c r="D426" s="145"/>
      <c r="E426" s="145"/>
      <c r="F426" s="145"/>
      <c r="G426" s="145"/>
      <c r="H426" s="145"/>
      <c r="I426" s="145"/>
      <c r="J426" s="145"/>
      <c r="K426" s="145"/>
      <c r="L426" s="360" t="s">
        <v>425</v>
      </c>
      <c r="M426" s="280">
        <f t="shared" ref="M426:U426" si="43">M355-M420+M424</f>
        <v>-41273</v>
      </c>
      <c r="N426" s="280">
        <f t="shared" si="43"/>
        <v>-468589</v>
      </c>
      <c r="O426" s="280">
        <f t="shared" si="43"/>
        <v>262787</v>
      </c>
      <c r="P426" s="280">
        <f t="shared" si="43"/>
        <v>1731500</v>
      </c>
      <c r="Q426" s="280">
        <f t="shared" si="43"/>
        <v>-1596851</v>
      </c>
      <c r="R426" s="280">
        <f t="shared" si="43"/>
        <v>-221638</v>
      </c>
      <c r="S426" s="280">
        <f t="shared" si="43"/>
        <v>0</v>
      </c>
      <c r="T426" s="280">
        <f t="shared" si="43"/>
        <v>0</v>
      </c>
      <c r="U426" s="280">
        <f t="shared" si="43"/>
        <v>0</v>
      </c>
    </row>
    <row r="427" spans="1:25" s="89" customFormat="1" ht="15" customHeight="1">
      <c r="A427" s="576"/>
      <c r="B427" s="145"/>
      <c r="C427" s="145"/>
      <c r="D427" s="145"/>
      <c r="E427" s="145"/>
      <c r="F427" s="145"/>
      <c r="G427" s="145"/>
      <c r="H427" s="145"/>
      <c r="I427" s="145"/>
      <c r="J427" s="145"/>
      <c r="K427" s="145"/>
      <c r="L427" s="360"/>
      <c r="M427" s="409"/>
      <c r="N427" s="409"/>
      <c r="O427" s="409"/>
      <c r="P427" s="409"/>
      <c r="Q427" s="409"/>
      <c r="R427" s="409"/>
      <c r="S427" s="409"/>
      <c r="T427" s="409"/>
      <c r="U427" s="409"/>
    </row>
    <row r="428" spans="1:25" s="89" customFormat="1" ht="24" customHeight="1">
      <c r="A428" s="576"/>
      <c r="B428" s="145"/>
      <c r="C428" s="145"/>
      <c r="D428" s="145"/>
      <c r="E428" s="145"/>
      <c r="F428" s="145"/>
      <c r="G428" s="145"/>
      <c r="H428" s="145"/>
      <c r="I428" s="145"/>
      <c r="J428" s="145"/>
      <c r="K428" s="145"/>
      <c r="L428" s="423" t="s">
        <v>427</v>
      </c>
      <c r="M428" s="409">
        <v>588155</v>
      </c>
      <c r="N428" s="409">
        <v>119569</v>
      </c>
      <c r="O428" s="409">
        <v>467802</v>
      </c>
      <c r="P428" s="409">
        <f>N428+P426</f>
        <v>1851069</v>
      </c>
      <c r="Q428" s="409">
        <f>P428+Q426</f>
        <v>254218</v>
      </c>
      <c r="R428" s="409">
        <f>R426+Q428</f>
        <v>32580</v>
      </c>
      <c r="S428" s="409">
        <f>S426+R428</f>
        <v>32580</v>
      </c>
      <c r="T428" s="409">
        <f>T426+S428</f>
        <v>32580</v>
      </c>
      <c r="U428" s="409">
        <f>U426+T428</f>
        <v>32580</v>
      </c>
      <c r="V428" s="161"/>
      <c r="W428" s="161"/>
      <c r="X428" s="161"/>
      <c r="Y428" s="161"/>
    </row>
    <row r="429" spans="1:25" ht="15" customHeight="1">
      <c r="B429" s="89"/>
      <c r="C429" s="89"/>
      <c r="D429" s="89"/>
      <c r="E429" s="89"/>
      <c r="F429" s="89"/>
      <c r="G429" s="89"/>
      <c r="H429" s="89"/>
      <c r="I429" s="89"/>
      <c r="J429" s="89"/>
      <c r="K429" s="89"/>
      <c r="L429" s="100"/>
      <c r="M429" s="245"/>
      <c r="N429" s="245"/>
      <c r="O429" s="180"/>
      <c r="P429" s="180"/>
      <c r="Q429" s="246"/>
      <c r="R429" s="246"/>
      <c r="S429" s="246"/>
      <c r="T429" s="246"/>
      <c r="U429" s="246"/>
    </row>
    <row r="430" spans="1:25" ht="24" customHeight="1">
      <c r="B430" s="163" t="s">
        <v>1325</v>
      </c>
      <c r="C430" s="161"/>
      <c r="D430" s="161"/>
      <c r="E430" s="161"/>
      <c r="F430" s="161"/>
      <c r="G430" s="161"/>
      <c r="H430" s="161"/>
      <c r="I430" s="526"/>
      <c r="J430" s="526"/>
      <c r="K430" s="526"/>
      <c r="L430" s="526"/>
      <c r="M430" s="254"/>
      <c r="N430" s="254"/>
      <c r="O430" s="185"/>
      <c r="P430" s="185"/>
      <c r="Q430" s="255"/>
      <c r="R430" s="255"/>
      <c r="S430" s="255"/>
      <c r="T430" s="255"/>
      <c r="U430" s="255"/>
    </row>
    <row r="431" spans="1:25" ht="15" customHeight="1">
      <c r="B431" s="526"/>
      <c r="C431" s="526"/>
      <c r="D431" s="526"/>
      <c r="E431" s="526"/>
      <c r="F431" s="526"/>
      <c r="G431" s="526"/>
      <c r="H431" s="526"/>
      <c r="I431" s="526"/>
      <c r="J431" s="526"/>
      <c r="K431" s="526"/>
      <c r="L431" s="526"/>
      <c r="M431" s="254"/>
      <c r="N431" s="254"/>
      <c r="O431" s="185"/>
      <c r="P431" s="185"/>
      <c r="Q431" s="255"/>
      <c r="R431" s="255"/>
      <c r="S431" s="255"/>
      <c r="T431" s="255"/>
      <c r="U431" s="255"/>
    </row>
    <row r="432" spans="1:25" ht="24" customHeight="1">
      <c r="B432" s="527" t="s">
        <v>1305</v>
      </c>
      <c r="C432" s="525"/>
      <c r="D432" s="525"/>
      <c r="E432" s="527" t="s">
        <v>730</v>
      </c>
      <c r="F432" s="525"/>
      <c r="G432" s="526"/>
      <c r="H432" s="526"/>
      <c r="I432" s="526"/>
      <c r="J432" s="526"/>
      <c r="K432" s="526"/>
      <c r="L432" s="526"/>
      <c r="M432" s="540">
        <v>0</v>
      </c>
      <c r="N432" s="541">
        <v>0</v>
      </c>
      <c r="O432" s="452">
        <v>35000</v>
      </c>
      <c r="P432" s="452">
        <v>25000</v>
      </c>
      <c r="Q432" s="440">
        <v>30000</v>
      </c>
      <c r="R432" s="440">
        <v>30000</v>
      </c>
      <c r="S432" s="440">
        <v>30000</v>
      </c>
      <c r="T432" s="440">
        <v>30000</v>
      </c>
      <c r="U432" s="440">
        <v>30000</v>
      </c>
    </row>
    <row r="433" spans="1:21" ht="24" customHeight="1">
      <c r="B433" s="535" t="s">
        <v>1339</v>
      </c>
      <c r="C433" s="534"/>
      <c r="D433" s="534"/>
      <c r="E433" s="535" t="s">
        <v>1338</v>
      </c>
      <c r="F433" s="534"/>
      <c r="G433" s="534"/>
      <c r="H433" s="534"/>
      <c r="I433" s="534"/>
      <c r="J433" s="534"/>
      <c r="K433" s="536"/>
      <c r="L433" s="536"/>
      <c r="M433" s="233">
        <v>0</v>
      </c>
      <c r="N433" s="308">
        <v>0</v>
      </c>
      <c r="O433" s="172">
        <v>147738</v>
      </c>
      <c r="P433" s="172">
        <v>108703</v>
      </c>
      <c r="Q433" s="308">
        <v>199586</v>
      </c>
      <c r="R433" s="308">
        <v>151193</v>
      </c>
      <c r="S433" s="308">
        <v>154887</v>
      </c>
      <c r="T433" s="308">
        <v>162656</v>
      </c>
      <c r="U433" s="308">
        <v>170147</v>
      </c>
    </row>
    <row r="434" spans="1:21" ht="24" customHeight="1">
      <c r="B434" s="527" t="s">
        <v>1306</v>
      </c>
      <c r="C434" s="525"/>
      <c r="D434" s="525"/>
      <c r="E434" s="688" t="s">
        <v>6</v>
      </c>
      <c r="F434" s="688"/>
      <c r="G434" s="688"/>
      <c r="H434" s="688"/>
      <c r="I434" s="688"/>
      <c r="J434" s="688"/>
      <c r="K434" s="688"/>
      <c r="L434" s="688"/>
      <c r="M434" s="220">
        <v>0</v>
      </c>
      <c r="N434" s="240">
        <v>0</v>
      </c>
      <c r="O434" s="164">
        <v>3000</v>
      </c>
      <c r="P434" s="164">
        <v>800</v>
      </c>
      <c r="Q434" s="240">
        <v>1200</v>
      </c>
      <c r="R434" s="240">
        <v>1500</v>
      </c>
      <c r="S434" s="240">
        <v>2000</v>
      </c>
      <c r="T434" s="240">
        <v>3000</v>
      </c>
      <c r="U434" s="240">
        <v>3000</v>
      </c>
    </row>
    <row r="435" spans="1:21" ht="24" customHeight="1">
      <c r="B435" s="527" t="s">
        <v>1307</v>
      </c>
      <c r="C435" s="526"/>
      <c r="D435" s="526"/>
      <c r="E435" s="527" t="s">
        <v>201</v>
      </c>
      <c r="F435" s="526"/>
      <c r="G435" s="526"/>
      <c r="H435" s="525"/>
      <c r="I435" s="525"/>
      <c r="J435" s="525"/>
      <c r="K435" s="525"/>
      <c r="L435" s="525"/>
      <c r="M435" s="224">
        <v>0</v>
      </c>
      <c r="N435" s="261">
        <v>0</v>
      </c>
      <c r="O435" s="167">
        <v>2000</v>
      </c>
      <c r="P435" s="167">
        <v>0</v>
      </c>
      <c r="Q435" s="261">
        <v>0</v>
      </c>
      <c r="R435" s="261">
        <v>0</v>
      </c>
      <c r="S435" s="261">
        <v>0</v>
      </c>
      <c r="T435" s="261">
        <v>0</v>
      </c>
      <c r="U435" s="261">
        <v>0</v>
      </c>
    </row>
    <row r="436" spans="1:21" ht="24" customHeight="1">
      <c r="B436" s="689" t="s">
        <v>1326</v>
      </c>
      <c r="C436" s="689"/>
      <c r="D436" s="689"/>
      <c r="E436" s="689"/>
      <c r="F436" s="689"/>
      <c r="G436" s="689"/>
      <c r="H436" s="689"/>
      <c r="I436" s="689"/>
      <c r="J436" s="689"/>
      <c r="K436" s="689"/>
      <c r="L436" s="689"/>
      <c r="M436" s="410">
        <f t="shared" ref="M436:U436" si="44">SUM(M432:M435)</f>
        <v>0</v>
      </c>
      <c r="N436" s="471">
        <f t="shared" si="44"/>
        <v>0</v>
      </c>
      <c r="O436" s="472">
        <f t="shared" si="44"/>
        <v>187738</v>
      </c>
      <c r="P436" s="472">
        <f t="shared" si="44"/>
        <v>134503</v>
      </c>
      <c r="Q436" s="471">
        <f t="shared" si="44"/>
        <v>230786</v>
      </c>
      <c r="R436" s="471">
        <f t="shared" si="44"/>
        <v>182693</v>
      </c>
      <c r="S436" s="471">
        <f t="shared" si="44"/>
        <v>186887</v>
      </c>
      <c r="T436" s="471">
        <f t="shared" si="44"/>
        <v>195656</v>
      </c>
      <c r="U436" s="471">
        <f t="shared" si="44"/>
        <v>203147</v>
      </c>
    </row>
    <row r="437" spans="1:21" ht="6.9" customHeight="1">
      <c r="B437" s="527"/>
      <c r="C437" s="526"/>
      <c r="D437" s="526"/>
      <c r="E437" s="527"/>
      <c r="F437" s="526"/>
      <c r="G437" s="526"/>
      <c r="H437" s="525"/>
      <c r="I437" s="525"/>
      <c r="J437" s="525"/>
      <c r="K437" s="525"/>
      <c r="L437" s="525"/>
      <c r="M437" s="220"/>
      <c r="N437" s="240"/>
      <c r="O437" s="164"/>
      <c r="P437" s="164"/>
      <c r="Q437" s="240"/>
      <c r="R437" s="240"/>
      <c r="S437" s="240"/>
      <c r="T437" s="240"/>
      <c r="U437" s="240"/>
    </row>
    <row r="438" spans="1:21" ht="24" customHeight="1">
      <c r="B438" s="527" t="s">
        <v>1308</v>
      </c>
      <c r="C438" s="526"/>
      <c r="D438" s="526"/>
      <c r="E438" s="527" t="s">
        <v>1196</v>
      </c>
      <c r="F438" s="526"/>
      <c r="G438" s="526"/>
      <c r="H438" s="525"/>
      <c r="I438" s="525"/>
      <c r="J438" s="525"/>
      <c r="K438" s="525"/>
      <c r="L438" s="525"/>
      <c r="M438" s="220">
        <v>0</v>
      </c>
      <c r="N438" s="240">
        <v>0</v>
      </c>
      <c r="O438" s="164">
        <v>8707478</v>
      </c>
      <c r="P438" s="164">
        <v>9260000</v>
      </c>
      <c r="Q438" s="240">
        <v>0</v>
      </c>
      <c r="R438" s="240">
        <v>19695000</v>
      </c>
      <c r="S438" s="240">
        <v>0</v>
      </c>
      <c r="T438" s="240">
        <v>0</v>
      </c>
      <c r="U438" s="240">
        <v>0</v>
      </c>
    </row>
    <row r="439" spans="1:21" ht="24" customHeight="1">
      <c r="B439" s="527" t="s">
        <v>1309</v>
      </c>
      <c r="C439" s="526"/>
      <c r="D439" s="526"/>
      <c r="E439" s="527" t="s">
        <v>1087</v>
      </c>
      <c r="F439" s="526"/>
      <c r="G439" s="526"/>
      <c r="H439" s="526"/>
      <c r="I439" s="526"/>
      <c r="J439" s="526"/>
      <c r="K439" s="526"/>
      <c r="L439" s="526"/>
      <c r="M439" s="220">
        <v>0</v>
      </c>
      <c r="N439" s="240">
        <v>0</v>
      </c>
      <c r="O439" s="164">
        <v>304209</v>
      </c>
      <c r="P439" s="164">
        <v>3342189</v>
      </c>
      <c r="Q439" s="240">
        <v>776443</v>
      </c>
      <c r="R439" s="240">
        <v>68457</v>
      </c>
      <c r="S439" s="240">
        <v>394550</v>
      </c>
      <c r="T439" s="240">
        <v>730862</v>
      </c>
      <c r="U439" s="240">
        <v>1073116</v>
      </c>
    </row>
    <row r="440" spans="1:21" ht="24" customHeight="1">
      <c r="B440" s="578" t="s">
        <v>1382</v>
      </c>
      <c r="C440" s="579"/>
      <c r="D440" s="579"/>
      <c r="E440" s="578" t="s">
        <v>1383</v>
      </c>
      <c r="F440" s="579"/>
      <c r="G440" s="579"/>
      <c r="H440" s="579"/>
      <c r="I440" s="579"/>
      <c r="J440" s="579"/>
      <c r="K440" s="579"/>
      <c r="L440" s="579"/>
      <c r="M440" s="220">
        <v>0</v>
      </c>
      <c r="N440" s="240">
        <v>0</v>
      </c>
      <c r="O440" s="164">
        <v>0</v>
      </c>
      <c r="P440" s="164">
        <v>525011</v>
      </c>
      <c r="Q440" s="240">
        <v>0</v>
      </c>
      <c r="R440" s="240">
        <v>2506343</v>
      </c>
      <c r="S440" s="240">
        <v>0</v>
      </c>
      <c r="T440" s="240">
        <v>0</v>
      </c>
      <c r="U440" s="240">
        <v>0</v>
      </c>
    </row>
    <row r="441" spans="1:21" ht="24" customHeight="1">
      <c r="B441" s="544" t="s">
        <v>1367</v>
      </c>
      <c r="C441" s="543"/>
      <c r="D441" s="543"/>
      <c r="E441" s="544" t="s">
        <v>944</v>
      </c>
      <c r="F441" s="543"/>
      <c r="G441" s="543"/>
      <c r="H441" s="543"/>
      <c r="I441" s="543"/>
      <c r="J441" s="543"/>
      <c r="K441" s="543"/>
      <c r="L441" s="543"/>
      <c r="M441" s="220">
        <v>0</v>
      </c>
      <c r="N441" s="240">
        <v>0</v>
      </c>
      <c r="O441" s="164">
        <v>384824</v>
      </c>
      <c r="P441" s="164">
        <v>384824</v>
      </c>
      <c r="Q441" s="240">
        <v>0</v>
      </c>
      <c r="R441" s="240">
        <v>0</v>
      </c>
      <c r="S441" s="240">
        <v>0</v>
      </c>
      <c r="T441" s="240">
        <v>0</v>
      </c>
      <c r="U441" s="240">
        <v>0</v>
      </c>
    </row>
    <row r="442" spans="1:21" ht="24" customHeight="1">
      <c r="B442" s="555" t="s">
        <v>1358</v>
      </c>
      <c r="C442" s="554"/>
      <c r="D442" s="554"/>
      <c r="E442" s="555" t="s">
        <v>1360</v>
      </c>
      <c r="F442" s="554"/>
      <c r="G442" s="554"/>
      <c r="H442" s="554"/>
      <c r="I442" s="554"/>
      <c r="J442" s="554"/>
      <c r="K442" s="554"/>
      <c r="L442" s="554"/>
      <c r="M442" s="220">
        <v>0</v>
      </c>
      <c r="N442" s="240">
        <v>0</v>
      </c>
      <c r="O442" s="164">
        <v>0</v>
      </c>
      <c r="P442" s="164">
        <v>0</v>
      </c>
      <c r="Q442" s="240">
        <v>0</v>
      </c>
      <c r="R442" s="240">
        <v>66443</v>
      </c>
      <c r="S442" s="240">
        <v>382945</v>
      </c>
      <c r="T442" s="240">
        <v>382008</v>
      </c>
      <c r="U442" s="240">
        <v>382074</v>
      </c>
    </row>
    <row r="443" spans="1:21" ht="24" customHeight="1">
      <c r="B443" s="555" t="s">
        <v>1359</v>
      </c>
      <c r="C443" s="554"/>
      <c r="D443" s="554"/>
      <c r="E443" s="555" t="s">
        <v>195</v>
      </c>
      <c r="F443" s="554"/>
      <c r="G443" s="554"/>
      <c r="H443" s="554"/>
      <c r="I443" s="554"/>
      <c r="J443" s="554"/>
      <c r="K443" s="554"/>
      <c r="L443" s="554"/>
      <c r="M443" s="224">
        <v>0</v>
      </c>
      <c r="N443" s="261">
        <v>0</v>
      </c>
      <c r="O443" s="167">
        <v>0</v>
      </c>
      <c r="P443" s="167">
        <v>0</v>
      </c>
      <c r="Q443" s="261">
        <v>0</v>
      </c>
      <c r="R443" s="261">
        <v>66443</v>
      </c>
      <c r="S443" s="261">
        <v>382945</v>
      </c>
      <c r="T443" s="261">
        <v>382008</v>
      </c>
      <c r="U443" s="261">
        <v>382074</v>
      </c>
    </row>
    <row r="444" spans="1:21" ht="24" customHeight="1">
      <c r="B444" s="689" t="s">
        <v>592</v>
      </c>
      <c r="C444" s="689"/>
      <c r="D444" s="689"/>
      <c r="E444" s="689"/>
      <c r="F444" s="689"/>
      <c r="G444" s="689"/>
      <c r="H444" s="689"/>
      <c r="I444" s="689"/>
      <c r="J444" s="689"/>
      <c r="K444" s="689"/>
      <c r="L444" s="689"/>
      <c r="M444" s="410">
        <f t="shared" ref="M444:U444" si="45">SUM(M438:M443)</f>
        <v>0</v>
      </c>
      <c r="N444" s="410">
        <f t="shared" si="45"/>
        <v>0</v>
      </c>
      <c r="O444" s="407">
        <f t="shared" si="45"/>
        <v>9396511</v>
      </c>
      <c r="P444" s="407">
        <f t="shared" si="45"/>
        <v>13512024</v>
      </c>
      <c r="Q444" s="410">
        <f t="shared" si="45"/>
        <v>776443</v>
      </c>
      <c r="R444" s="410">
        <f t="shared" si="45"/>
        <v>22402686</v>
      </c>
      <c r="S444" s="410">
        <f t="shared" si="45"/>
        <v>1160440</v>
      </c>
      <c r="T444" s="410">
        <f t="shared" si="45"/>
        <v>1494878</v>
      </c>
      <c r="U444" s="410">
        <f t="shared" si="45"/>
        <v>1837264</v>
      </c>
    </row>
    <row r="445" spans="1:21" ht="15" customHeight="1">
      <c r="B445" s="526"/>
      <c r="C445" s="526"/>
      <c r="D445" s="526"/>
      <c r="E445" s="526"/>
      <c r="F445" s="526"/>
      <c r="G445" s="526"/>
      <c r="H445" s="526"/>
      <c r="I445" s="526"/>
      <c r="J445" s="526"/>
      <c r="K445" s="526"/>
      <c r="L445" s="526"/>
      <c r="M445" s="226"/>
      <c r="N445" s="372"/>
      <c r="O445" s="168"/>
      <c r="P445" s="168"/>
      <c r="Q445" s="219"/>
      <c r="R445" s="219"/>
      <c r="S445" s="219"/>
      <c r="T445" s="219"/>
      <c r="U445" s="219"/>
    </row>
    <row r="446" spans="1:21" s="526" customFormat="1" ht="24" customHeight="1">
      <c r="A446" s="576"/>
      <c r="B446" s="689" t="s">
        <v>1327</v>
      </c>
      <c r="C446" s="689"/>
      <c r="D446" s="689"/>
      <c r="E446" s="689"/>
      <c r="F446" s="689"/>
      <c r="G446" s="689"/>
      <c r="H446" s="689"/>
      <c r="I446" s="689"/>
      <c r="J446" s="689"/>
      <c r="K446" s="689"/>
      <c r="L446" s="689"/>
      <c r="M446" s="408">
        <f t="shared" ref="M446:U446" si="46">M436+M444</f>
        <v>0</v>
      </c>
      <c r="N446" s="408">
        <f t="shared" si="46"/>
        <v>0</v>
      </c>
      <c r="O446" s="409">
        <f t="shared" si="46"/>
        <v>9584249</v>
      </c>
      <c r="P446" s="409">
        <f t="shared" si="46"/>
        <v>13646527</v>
      </c>
      <c r="Q446" s="408">
        <f t="shared" si="46"/>
        <v>1007229</v>
      </c>
      <c r="R446" s="408">
        <f t="shared" si="46"/>
        <v>22585379</v>
      </c>
      <c r="S446" s="408">
        <f t="shared" si="46"/>
        <v>1347327</v>
      </c>
      <c r="T446" s="408">
        <f t="shared" si="46"/>
        <v>1690534</v>
      </c>
      <c r="U446" s="408">
        <f t="shared" si="46"/>
        <v>2040411</v>
      </c>
    </row>
    <row r="447" spans="1:21" ht="15" customHeight="1">
      <c r="B447" s="526"/>
      <c r="C447" s="526"/>
      <c r="D447" s="526"/>
      <c r="E447" s="526"/>
      <c r="F447" s="526"/>
      <c r="G447" s="526"/>
      <c r="H447" s="526"/>
      <c r="I447" s="526"/>
      <c r="J447" s="526"/>
      <c r="K447" s="526"/>
      <c r="L447" s="526"/>
      <c r="M447" s="226"/>
      <c r="N447" s="226"/>
      <c r="O447" s="168"/>
      <c r="P447" s="168"/>
      <c r="Q447" s="219"/>
      <c r="R447" s="219"/>
      <c r="S447" s="219"/>
      <c r="T447" s="219"/>
      <c r="U447" s="219"/>
    </row>
    <row r="448" spans="1:21" ht="24" customHeight="1">
      <c r="B448" s="98" t="s">
        <v>1303</v>
      </c>
      <c r="C448" s="526"/>
      <c r="D448" s="526"/>
      <c r="E448" s="526"/>
      <c r="F448" s="526"/>
      <c r="G448" s="526"/>
      <c r="H448" s="526"/>
      <c r="I448" s="526"/>
      <c r="J448" s="526"/>
      <c r="K448" s="526"/>
      <c r="L448" s="526"/>
      <c r="M448" s="226"/>
      <c r="N448" s="372"/>
      <c r="O448" s="168"/>
      <c r="P448" s="168"/>
      <c r="Q448" s="219"/>
      <c r="R448" s="219"/>
      <c r="S448" s="219"/>
      <c r="T448" s="219"/>
      <c r="U448" s="219"/>
    </row>
    <row r="449" spans="2:21" ht="24" customHeight="1">
      <c r="B449" s="535" t="s">
        <v>1331</v>
      </c>
      <c r="C449" s="534"/>
      <c r="D449" s="534"/>
      <c r="E449" s="535" t="s">
        <v>722</v>
      </c>
      <c r="F449" s="534"/>
      <c r="G449" s="534"/>
      <c r="H449" s="534"/>
      <c r="I449" s="534"/>
      <c r="J449" s="534"/>
      <c r="K449" s="534"/>
      <c r="L449" s="534"/>
      <c r="M449" s="403">
        <v>0</v>
      </c>
      <c r="N449" s="404">
        <v>0</v>
      </c>
      <c r="O449" s="405">
        <v>50117</v>
      </c>
      <c r="P449" s="405">
        <v>34500</v>
      </c>
      <c r="Q449" s="404">
        <v>54720</v>
      </c>
      <c r="R449" s="404">
        <v>56362</v>
      </c>
      <c r="S449" s="404">
        <v>58053</v>
      </c>
      <c r="T449" s="404">
        <v>59795</v>
      </c>
      <c r="U449" s="404">
        <v>61589</v>
      </c>
    </row>
    <row r="450" spans="2:21" ht="24" customHeight="1">
      <c r="B450" s="535" t="s">
        <v>1332</v>
      </c>
      <c r="C450" s="534"/>
      <c r="D450" s="534"/>
      <c r="E450" s="535" t="s">
        <v>8</v>
      </c>
      <c r="F450" s="534"/>
      <c r="G450" s="534"/>
      <c r="H450" s="534"/>
      <c r="I450" s="534"/>
      <c r="J450" s="534"/>
      <c r="K450" s="534"/>
      <c r="L450" s="534"/>
      <c r="M450" s="295">
        <v>0</v>
      </c>
      <c r="N450" s="265">
        <v>0</v>
      </c>
      <c r="O450" s="523">
        <v>5216</v>
      </c>
      <c r="P450" s="523">
        <v>3800</v>
      </c>
      <c r="Q450" s="265">
        <v>4932</v>
      </c>
      <c r="R450" s="240">
        <v>5219</v>
      </c>
      <c r="S450" s="240">
        <v>5538</v>
      </c>
      <c r="T450" s="240">
        <v>5872</v>
      </c>
      <c r="U450" s="240">
        <v>6233</v>
      </c>
    </row>
    <row r="451" spans="2:21" ht="24" customHeight="1">
      <c r="B451" s="535" t="s">
        <v>1333</v>
      </c>
      <c r="C451" s="536"/>
      <c r="D451" s="536"/>
      <c r="E451" s="535" t="s">
        <v>9</v>
      </c>
      <c r="F451" s="536"/>
      <c r="G451" s="536"/>
      <c r="H451" s="536"/>
      <c r="I451" s="536"/>
      <c r="J451" s="536"/>
      <c r="K451" s="536"/>
      <c r="L451" s="536"/>
      <c r="M451" s="295">
        <v>0</v>
      </c>
      <c r="N451" s="265">
        <v>0</v>
      </c>
      <c r="O451" s="523">
        <v>3547</v>
      </c>
      <c r="P451" s="523">
        <v>3000</v>
      </c>
      <c r="Q451" s="265">
        <v>4186</v>
      </c>
      <c r="R451" s="228">
        <v>4312</v>
      </c>
      <c r="S451" s="228">
        <v>4441</v>
      </c>
      <c r="T451" s="228">
        <v>4574</v>
      </c>
      <c r="U451" s="228">
        <v>4711</v>
      </c>
    </row>
    <row r="452" spans="2:21" ht="24" customHeight="1">
      <c r="B452" s="535" t="s">
        <v>1334</v>
      </c>
      <c r="C452" s="536"/>
      <c r="D452" s="536"/>
      <c r="E452" s="535" t="s">
        <v>13</v>
      </c>
      <c r="F452" s="536"/>
      <c r="G452" s="536"/>
      <c r="H452" s="536"/>
      <c r="I452" s="536"/>
      <c r="J452" s="536"/>
      <c r="K452" s="536"/>
      <c r="L452" s="536"/>
      <c r="M452" s="295">
        <v>0</v>
      </c>
      <c r="N452" s="265">
        <v>0</v>
      </c>
      <c r="O452" s="523">
        <v>21690</v>
      </c>
      <c r="P452" s="165">
        <v>900</v>
      </c>
      <c r="Q452" s="265">
        <v>1800</v>
      </c>
      <c r="R452" s="240">
        <v>1800</v>
      </c>
      <c r="S452" s="240">
        <v>1800</v>
      </c>
      <c r="T452" s="240">
        <v>1800</v>
      </c>
      <c r="U452" s="240">
        <v>1800</v>
      </c>
    </row>
    <row r="453" spans="2:21" ht="24" customHeight="1">
      <c r="B453" s="535" t="s">
        <v>1335</v>
      </c>
      <c r="C453" s="536"/>
      <c r="D453" s="536"/>
      <c r="E453" s="535" t="s">
        <v>161</v>
      </c>
      <c r="F453" s="536"/>
      <c r="G453" s="536"/>
      <c r="H453" s="536"/>
      <c r="I453" s="536"/>
      <c r="J453" s="536"/>
      <c r="K453" s="536"/>
      <c r="L453" s="536"/>
      <c r="M453" s="295">
        <v>0</v>
      </c>
      <c r="N453" s="265">
        <v>0</v>
      </c>
      <c r="O453" s="523">
        <v>109</v>
      </c>
      <c r="P453" s="165">
        <v>62</v>
      </c>
      <c r="Q453" s="265">
        <v>127</v>
      </c>
      <c r="R453" s="240">
        <v>128</v>
      </c>
      <c r="S453" s="240">
        <v>129</v>
      </c>
      <c r="T453" s="240">
        <v>130</v>
      </c>
      <c r="U453" s="240">
        <v>131</v>
      </c>
    </row>
    <row r="454" spans="2:21" ht="24" customHeight="1">
      <c r="B454" s="535" t="s">
        <v>1336</v>
      </c>
      <c r="C454" s="536"/>
      <c r="D454" s="536"/>
      <c r="E454" s="535" t="s">
        <v>461</v>
      </c>
      <c r="F454" s="536"/>
      <c r="G454" s="536"/>
      <c r="H454" s="536"/>
      <c r="I454" s="536"/>
      <c r="J454" s="536"/>
      <c r="K454" s="536"/>
      <c r="L454" s="536"/>
      <c r="M454" s="295">
        <v>0</v>
      </c>
      <c r="N454" s="265">
        <v>0</v>
      </c>
      <c r="O454" s="523">
        <v>1352</v>
      </c>
      <c r="P454" s="165">
        <v>444</v>
      </c>
      <c r="Q454" s="265">
        <v>933</v>
      </c>
      <c r="R454" s="240">
        <v>980</v>
      </c>
      <c r="S454" s="240">
        <v>1029</v>
      </c>
      <c r="T454" s="240">
        <v>1080</v>
      </c>
      <c r="U454" s="240">
        <v>1134</v>
      </c>
    </row>
    <row r="455" spans="2:21" ht="24" customHeight="1">
      <c r="B455" s="535" t="s">
        <v>1337</v>
      </c>
      <c r="C455" s="536"/>
      <c r="D455" s="536"/>
      <c r="E455" s="535" t="s">
        <v>463</v>
      </c>
      <c r="F455" s="536"/>
      <c r="G455" s="536"/>
      <c r="H455" s="536"/>
      <c r="I455" s="536"/>
      <c r="J455" s="536"/>
      <c r="K455" s="536"/>
      <c r="L455" s="536"/>
      <c r="M455" s="295">
        <v>0</v>
      </c>
      <c r="N455" s="265">
        <v>0</v>
      </c>
      <c r="O455" s="523">
        <v>197</v>
      </c>
      <c r="P455" s="165">
        <v>76</v>
      </c>
      <c r="Q455" s="265">
        <v>157</v>
      </c>
      <c r="R455" s="240">
        <v>162</v>
      </c>
      <c r="S455" s="240">
        <v>167</v>
      </c>
      <c r="T455" s="240">
        <v>172</v>
      </c>
      <c r="U455" s="240">
        <v>177</v>
      </c>
    </row>
    <row r="456" spans="2:21" ht="24" customHeight="1">
      <c r="B456" s="546" t="s">
        <v>1352</v>
      </c>
      <c r="C456" s="547"/>
      <c r="D456" s="547"/>
      <c r="E456" s="546" t="s">
        <v>1353</v>
      </c>
      <c r="F456" s="547"/>
      <c r="G456" s="547"/>
      <c r="H456" s="547"/>
      <c r="I456" s="547"/>
      <c r="J456" s="547"/>
      <c r="K456" s="547"/>
      <c r="L456" s="547"/>
      <c r="M456" s="295">
        <v>0</v>
      </c>
      <c r="N456" s="265">
        <v>0</v>
      </c>
      <c r="O456" s="523">
        <v>82478</v>
      </c>
      <c r="P456" s="523">
        <v>107035</v>
      </c>
      <c r="Q456" s="265">
        <v>0</v>
      </c>
      <c r="R456" s="265">
        <v>201343</v>
      </c>
      <c r="S456" s="240">
        <v>0</v>
      </c>
      <c r="T456" s="240">
        <v>0</v>
      </c>
      <c r="U456" s="240">
        <v>0</v>
      </c>
    </row>
    <row r="457" spans="2:21" ht="24" customHeight="1">
      <c r="B457" s="607" t="s">
        <v>1408</v>
      </c>
      <c r="C457" s="608"/>
      <c r="D457" s="608"/>
      <c r="E457" s="607" t="s">
        <v>785</v>
      </c>
      <c r="F457" s="608"/>
      <c r="G457" s="608"/>
      <c r="H457" s="608"/>
      <c r="I457" s="608"/>
      <c r="J457" s="608"/>
      <c r="K457" s="608"/>
      <c r="L457" s="608"/>
      <c r="M457" s="240">
        <v>0</v>
      </c>
      <c r="N457" s="240">
        <v>0</v>
      </c>
      <c r="O457" s="164">
        <v>0</v>
      </c>
      <c r="P457" s="164">
        <v>0</v>
      </c>
      <c r="Q457" s="240">
        <v>55000</v>
      </c>
      <c r="R457" s="240">
        <v>0</v>
      </c>
      <c r="S457" s="240">
        <v>0</v>
      </c>
      <c r="T457" s="240">
        <v>0</v>
      </c>
      <c r="U457" s="240">
        <v>0</v>
      </c>
    </row>
    <row r="458" spans="2:21" ht="24" customHeight="1">
      <c r="B458" s="535" t="s">
        <v>1345</v>
      </c>
      <c r="C458" s="536"/>
      <c r="D458" s="536"/>
      <c r="E458" s="535" t="s">
        <v>1045</v>
      </c>
      <c r="F458" s="536"/>
      <c r="G458" s="536"/>
      <c r="H458" s="536"/>
      <c r="I458" s="536"/>
      <c r="J458" s="536"/>
      <c r="K458" s="536"/>
      <c r="L458" s="536"/>
      <c r="M458" s="295">
        <v>0</v>
      </c>
      <c r="N458" s="265">
        <v>0</v>
      </c>
      <c r="O458" s="164">
        <v>0</v>
      </c>
      <c r="P458" s="164">
        <v>0</v>
      </c>
      <c r="Q458" s="265">
        <v>1401</v>
      </c>
      <c r="R458" s="240">
        <v>2290</v>
      </c>
      <c r="S458" s="240">
        <v>0</v>
      </c>
      <c r="T458" s="240">
        <v>1531</v>
      </c>
      <c r="U458" s="240">
        <v>2502</v>
      </c>
    </row>
    <row r="459" spans="2:21" ht="24" customHeight="1">
      <c r="B459" s="535" t="s">
        <v>1340</v>
      </c>
      <c r="C459" s="536"/>
      <c r="D459" s="536"/>
      <c r="E459" s="96" t="s">
        <v>1001</v>
      </c>
      <c r="F459" s="536"/>
      <c r="G459" s="536"/>
      <c r="H459" s="536"/>
      <c r="I459" s="536"/>
      <c r="J459" s="536"/>
      <c r="K459" s="536"/>
      <c r="L459" s="536"/>
      <c r="M459" s="295">
        <v>0</v>
      </c>
      <c r="N459" s="265">
        <v>0</v>
      </c>
      <c r="O459" s="164">
        <v>65510</v>
      </c>
      <c r="P459" s="164">
        <v>65107</v>
      </c>
      <c r="Q459" s="240">
        <v>68362</v>
      </c>
      <c r="R459" s="240">
        <v>71780</v>
      </c>
      <c r="S459" s="240">
        <v>75369</v>
      </c>
      <c r="T459" s="240">
        <v>79137</v>
      </c>
      <c r="U459" s="240">
        <v>83094</v>
      </c>
    </row>
    <row r="460" spans="2:21" ht="24" customHeight="1">
      <c r="B460" s="628" t="s">
        <v>1429</v>
      </c>
      <c r="C460" s="630"/>
      <c r="D460" s="630"/>
      <c r="E460" s="96" t="s">
        <v>209</v>
      </c>
      <c r="F460" s="630"/>
      <c r="G460" s="630"/>
      <c r="H460" s="630"/>
      <c r="I460" s="630"/>
      <c r="J460" s="630"/>
      <c r="K460" s="630"/>
      <c r="L460" s="630"/>
      <c r="M460" s="295">
        <v>0</v>
      </c>
      <c r="N460" s="265">
        <v>0</v>
      </c>
      <c r="O460" s="164">
        <v>0</v>
      </c>
      <c r="P460" s="164">
        <v>315</v>
      </c>
      <c r="Q460" s="240">
        <v>540</v>
      </c>
      <c r="R460" s="240">
        <v>540</v>
      </c>
      <c r="S460" s="240">
        <v>540</v>
      </c>
      <c r="T460" s="240">
        <v>540</v>
      </c>
      <c r="U460" s="240">
        <v>540</v>
      </c>
    </row>
    <row r="461" spans="2:21" ht="24" customHeight="1">
      <c r="B461" s="527" t="s">
        <v>1310</v>
      </c>
      <c r="C461" s="526"/>
      <c r="D461" s="526"/>
      <c r="E461" s="527" t="s">
        <v>556</v>
      </c>
      <c r="F461" s="526"/>
      <c r="G461" s="526"/>
      <c r="H461" s="526"/>
      <c r="I461" s="526"/>
      <c r="J461" s="526"/>
      <c r="K461" s="526"/>
      <c r="L461" s="526"/>
      <c r="M461" s="295">
        <v>0</v>
      </c>
      <c r="N461" s="265">
        <v>0</v>
      </c>
      <c r="O461" s="523">
        <v>160000</v>
      </c>
      <c r="P461" s="523">
        <v>160000</v>
      </c>
      <c r="Q461" s="265">
        <v>150000</v>
      </c>
      <c r="R461" s="265">
        <v>150000</v>
      </c>
      <c r="S461" s="265">
        <v>150000</v>
      </c>
      <c r="T461" s="265">
        <v>150000</v>
      </c>
      <c r="U461" s="265">
        <v>150000</v>
      </c>
    </row>
    <row r="462" spans="2:21" ht="24" customHeight="1">
      <c r="B462" s="604" t="s">
        <v>1405</v>
      </c>
      <c r="C462" s="605"/>
      <c r="D462" s="605"/>
      <c r="E462" s="604" t="s">
        <v>89</v>
      </c>
      <c r="F462" s="605"/>
      <c r="G462" s="605"/>
      <c r="H462" s="605"/>
      <c r="I462" s="605"/>
      <c r="J462" s="605"/>
      <c r="K462" s="605"/>
      <c r="L462" s="605"/>
      <c r="M462" s="295">
        <v>0</v>
      </c>
      <c r="N462" s="265">
        <v>0</v>
      </c>
      <c r="O462" s="523">
        <v>0</v>
      </c>
      <c r="P462" s="523">
        <v>500</v>
      </c>
      <c r="Q462" s="265">
        <v>1000</v>
      </c>
      <c r="R462" s="265">
        <v>1000</v>
      </c>
      <c r="S462" s="265">
        <v>1000</v>
      </c>
      <c r="T462" s="265">
        <v>1000</v>
      </c>
      <c r="U462" s="265">
        <v>1000</v>
      </c>
    </row>
    <row r="463" spans="2:21" ht="24" customHeight="1">
      <c r="B463" s="527" t="s">
        <v>1311</v>
      </c>
      <c r="C463" s="526"/>
      <c r="D463" s="526"/>
      <c r="E463" s="304" t="s">
        <v>153</v>
      </c>
      <c r="F463" s="161"/>
      <c r="G463" s="161"/>
      <c r="H463" s="161"/>
      <c r="I463" s="526"/>
      <c r="J463" s="526"/>
      <c r="K463" s="526"/>
      <c r="L463" s="526"/>
      <c r="M463" s="220">
        <v>0</v>
      </c>
      <c r="N463" s="240">
        <v>0</v>
      </c>
      <c r="O463" s="164">
        <v>2000</v>
      </c>
      <c r="P463" s="164">
        <v>412</v>
      </c>
      <c r="Q463" s="208">
        <v>0</v>
      </c>
      <c r="R463" s="208">
        <v>0</v>
      </c>
      <c r="S463" s="208">
        <v>0</v>
      </c>
      <c r="T463" s="208">
        <v>0</v>
      </c>
      <c r="U463" s="208">
        <v>0</v>
      </c>
    </row>
    <row r="464" spans="2:21" ht="24" customHeight="1">
      <c r="B464" s="527" t="s">
        <v>1312</v>
      </c>
      <c r="C464" s="526"/>
      <c r="D464" s="526"/>
      <c r="E464" s="527" t="s">
        <v>557</v>
      </c>
      <c r="F464" s="526"/>
      <c r="G464" s="526"/>
      <c r="H464" s="526"/>
      <c r="I464" s="526"/>
      <c r="J464" s="526"/>
      <c r="K464" s="526"/>
      <c r="L464" s="526"/>
      <c r="M464" s="220">
        <v>0</v>
      </c>
      <c r="N464" s="240">
        <v>0</v>
      </c>
      <c r="O464" s="164">
        <v>25000</v>
      </c>
      <c r="P464" s="164">
        <v>25000</v>
      </c>
      <c r="Q464" s="208">
        <v>25000</v>
      </c>
      <c r="R464" s="208">
        <v>25000</v>
      </c>
      <c r="S464" s="208">
        <v>25000</v>
      </c>
      <c r="T464" s="208">
        <v>25000</v>
      </c>
      <c r="U464" s="208">
        <v>25000</v>
      </c>
    </row>
    <row r="465" spans="2:21" ht="24" customHeight="1">
      <c r="B465" s="304" t="s">
        <v>1313</v>
      </c>
      <c r="C465" s="526"/>
      <c r="D465" s="526"/>
      <c r="E465" s="527" t="s">
        <v>1197</v>
      </c>
      <c r="F465" s="526"/>
      <c r="G465" s="526"/>
      <c r="H465" s="526"/>
      <c r="I465" s="526"/>
      <c r="J465" s="526"/>
      <c r="K465" s="526"/>
      <c r="L465" s="526"/>
      <c r="M465" s="220">
        <v>0</v>
      </c>
      <c r="N465" s="240">
        <v>0</v>
      </c>
      <c r="O465" s="164">
        <v>6980000</v>
      </c>
      <c r="P465" s="164">
        <v>400000</v>
      </c>
      <c r="Q465" s="240">
        <v>8200000</v>
      </c>
      <c r="R465" s="240">
        <v>0</v>
      </c>
      <c r="S465" s="240">
        <v>0</v>
      </c>
      <c r="T465" s="240">
        <v>0</v>
      </c>
      <c r="U465" s="240">
        <v>0</v>
      </c>
    </row>
    <row r="466" spans="2:21" ht="24" customHeight="1">
      <c r="B466" s="304" t="s">
        <v>1409</v>
      </c>
      <c r="C466" s="547"/>
      <c r="D466" s="547"/>
      <c r="E466" s="546" t="s">
        <v>1357</v>
      </c>
      <c r="F466" s="547"/>
      <c r="G466" s="547"/>
      <c r="H466" s="547"/>
      <c r="I466" s="547"/>
      <c r="J466" s="547"/>
      <c r="K466" s="547"/>
      <c r="L466" s="547"/>
      <c r="M466" s="220">
        <v>0</v>
      </c>
      <c r="N466" s="240">
        <v>0</v>
      </c>
      <c r="O466" s="164">
        <v>0</v>
      </c>
      <c r="P466" s="164">
        <v>0</v>
      </c>
      <c r="Q466" s="240">
        <v>1500000</v>
      </c>
      <c r="R466" s="240">
        <v>10000000</v>
      </c>
      <c r="S466" s="240">
        <v>10500000</v>
      </c>
      <c r="T466" s="240">
        <v>0</v>
      </c>
      <c r="U466" s="240">
        <v>0</v>
      </c>
    </row>
    <row r="467" spans="2:21" ht="24" customHeight="1">
      <c r="B467" s="582" t="s">
        <v>1403</v>
      </c>
      <c r="C467" s="525"/>
      <c r="D467" s="525"/>
      <c r="E467" s="527"/>
      <c r="F467" s="525"/>
      <c r="G467" s="525"/>
      <c r="H467" s="525"/>
      <c r="I467" s="525"/>
      <c r="J467" s="525"/>
      <c r="K467" s="525"/>
      <c r="L467" s="525"/>
      <c r="M467" s="220"/>
      <c r="N467" s="240"/>
      <c r="O467" s="164"/>
      <c r="P467" s="164"/>
      <c r="Q467" s="208"/>
      <c r="R467" s="208"/>
      <c r="S467" s="208"/>
      <c r="T467" s="208"/>
      <c r="U467" s="208"/>
    </row>
    <row r="468" spans="2:21" ht="24" customHeight="1">
      <c r="B468" s="527" t="s">
        <v>1320</v>
      </c>
      <c r="C468" s="525"/>
      <c r="D468" s="525"/>
      <c r="E468" s="527" t="s">
        <v>798</v>
      </c>
      <c r="F468" s="525"/>
      <c r="G468" s="525"/>
      <c r="H468" s="525"/>
      <c r="I468" s="525"/>
      <c r="J468" s="525"/>
      <c r="K468" s="525"/>
      <c r="L468" s="525"/>
      <c r="M468" s="220">
        <v>0</v>
      </c>
      <c r="N468" s="240">
        <v>0</v>
      </c>
      <c r="O468" s="164">
        <v>0</v>
      </c>
      <c r="P468" s="164">
        <v>0</v>
      </c>
      <c r="Q468" s="240">
        <v>320000</v>
      </c>
      <c r="R468" s="240">
        <v>330000</v>
      </c>
      <c r="S468" s="240">
        <v>345000</v>
      </c>
      <c r="T468" s="240">
        <v>360000</v>
      </c>
      <c r="U468" s="240">
        <v>375000</v>
      </c>
    </row>
    <row r="469" spans="2:21" ht="24" customHeight="1">
      <c r="B469" s="527" t="s">
        <v>1321</v>
      </c>
      <c r="C469" s="525"/>
      <c r="D469" s="525"/>
      <c r="E469" s="527" t="s">
        <v>248</v>
      </c>
      <c r="F469" s="525"/>
      <c r="G469" s="525"/>
      <c r="H469" s="525"/>
      <c r="I469" s="525"/>
      <c r="J469" s="525"/>
      <c r="K469" s="525"/>
      <c r="L469" s="525"/>
      <c r="M469" s="220">
        <v>0</v>
      </c>
      <c r="N469" s="240">
        <v>0</v>
      </c>
      <c r="O469" s="164">
        <v>157033</v>
      </c>
      <c r="P469" s="164">
        <v>132474</v>
      </c>
      <c r="Q469" s="240">
        <v>223900</v>
      </c>
      <c r="R469" s="240">
        <v>211100</v>
      </c>
      <c r="S469" s="240">
        <v>197900</v>
      </c>
      <c r="T469" s="240">
        <v>184100</v>
      </c>
      <c r="U469" s="240">
        <v>169700</v>
      </c>
    </row>
    <row r="470" spans="2:21" ht="24" customHeight="1">
      <c r="B470" s="6" t="s">
        <v>1404</v>
      </c>
      <c r="C470" s="545"/>
      <c r="D470" s="545"/>
      <c r="E470" s="546"/>
      <c r="F470" s="545"/>
      <c r="G470" s="545"/>
      <c r="H470" s="545"/>
      <c r="I470" s="545"/>
      <c r="J470" s="545"/>
      <c r="K470" s="545"/>
      <c r="L470" s="545"/>
      <c r="M470" s="224"/>
      <c r="N470" s="261"/>
      <c r="O470" s="167"/>
      <c r="P470" s="167"/>
      <c r="Q470" s="261"/>
      <c r="R470" s="261"/>
      <c r="S470" s="261"/>
      <c r="T470" s="261"/>
      <c r="U470" s="261"/>
    </row>
    <row r="471" spans="2:21" ht="24" customHeight="1">
      <c r="B471" s="546" t="s">
        <v>1355</v>
      </c>
      <c r="C471" s="545"/>
      <c r="D471" s="545"/>
      <c r="E471" s="546" t="s">
        <v>798</v>
      </c>
      <c r="F471" s="545"/>
      <c r="G471" s="545"/>
      <c r="H471" s="545"/>
      <c r="I471" s="545"/>
      <c r="J471" s="545"/>
      <c r="K471" s="545"/>
      <c r="L471" s="545"/>
      <c r="M471" s="220">
        <v>0</v>
      </c>
      <c r="N471" s="240">
        <v>0</v>
      </c>
      <c r="O471" s="164">
        <v>0</v>
      </c>
      <c r="P471" s="164">
        <v>0</v>
      </c>
      <c r="Q471" s="240">
        <v>0</v>
      </c>
      <c r="R471" s="240">
        <v>0</v>
      </c>
      <c r="S471" s="240">
        <v>5000</v>
      </c>
      <c r="T471" s="240">
        <v>370000</v>
      </c>
      <c r="U471" s="240">
        <v>385000</v>
      </c>
    </row>
    <row r="472" spans="2:21" ht="24" customHeight="1">
      <c r="B472" s="546" t="s">
        <v>1356</v>
      </c>
      <c r="C472" s="545"/>
      <c r="D472" s="545"/>
      <c r="E472" s="546" t="s">
        <v>248</v>
      </c>
      <c r="F472" s="545"/>
      <c r="G472" s="545"/>
      <c r="H472" s="545"/>
      <c r="I472" s="545"/>
      <c r="J472" s="545"/>
      <c r="K472" s="545"/>
      <c r="L472" s="545"/>
      <c r="M472" s="220">
        <v>0</v>
      </c>
      <c r="N472" s="240">
        <v>0</v>
      </c>
      <c r="O472" s="164">
        <v>0</v>
      </c>
      <c r="P472" s="164">
        <v>0</v>
      </c>
      <c r="Q472" s="240">
        <v>0</v>
      </c>
      <c r="R472" s="240">
        <v>0</v>
      </c>
      <c r="S472" s="240">
        <v>1155440</v>
      </c>
      <c r="T472" s="240">
        <v>787600</v>
      </c>
      <c r="U472" s="240">
        <v>772800</v>
      </c>
    </row>
    <row r="473" spans="2:21" ht="24" customHeight="1">
      <c r="B473" s="347" t="s">
        <v>1388</v>
      </c>
      <c r="C473" s="347"/>
      <c r="D473" s="347"/>
      <c r="E473" s="347"/>
      <c r="F473" s="347"/>
      <c r="G473" s="347"/>
      <c r="H473" s="347"/>
      <c r="I473" s="347"/>
      <c r="J473" s="347"/>
      <c r="K473" s="98"/>
      <c r="L473" s="98"/>
      <c r="M473" s="267"/>
      <c r="N473" s="267"/>
      <c r="O473" s="168"/>
      <c r="P473" s="168"/>
      <c r="Q473" s="219"/>
      <c r="R473" s="219"/>
      <c r="S473" s="219"/>
      <c r="T473" s="219"/>
      <c r="U473" s="219"/>
    </row>
    <row r="474" spans="2:21" ht="24" customHeight="1">
      <c r="B474" s="593" t="s">
        <v>1391</v>
      </c>
      <c r="C474" s="594"/>
      <c r="D474" s="594"/>
      <c r="E474" s="593" t="s">
        <v>798</v>
      </c>
      <c r="F474" s="594"/>
      <c r="G474" s="594"/>
      <c r="H474" s="594"/>
      <c r="I474" s="594"/>
      <c r="J474" s="594"/>
      <c r="K474" s="594"/>
      <c r="L474" s="594"/>
      <c r="M474" s="240">
        <v>0</v>
      </c>
      <c r="N474" s="240">
        <v>0</v>
      </c>
      <c r="O474" s="164">
        <v>0</v>
      </c>
      <c r="P474" s="164">
        <v>0</v>
      </c>
      <c r="Q474" s="208">
        <v>248158</v>
      </c>
      <c r="R474" s="208">
        <v>250112</v>
      </c>
      <c r="S474" s="208">
        <v>254020</v>
      </c>
      <c r="T474" s="208">
        <v>257928</v>
      </c>
      <c r="U474" s="208">
        <v>0</v>
      </c>
    </row>
    <row r="475" spans="2:21" ht="24" customHeight="1">
      <c r="B475" s="593" t="s">
        <v>1392</v>
      </c>
      <c r="C475" s="594"/>
      <c r="D475" s="594"/>
      <c r="E475" s="593" t="s">
        <v>847</v>
      </c>
      <c r="F475" s="594"/>
      <c r="G475" s="594"/>
      <c r="H475" s="594"/>
      <c r="I475" s="594"/>
      <c r="J475" s="594"/>
      <c r="K475" s="594"/>
      <c r="L475" s="594"/>
      <c r="M475" s="261">
        <v>0</v>
      </c>
      <c r="N475" s="261">
        <v>0</v>
      </c>
      <c r="O475" s="167">
        <v>0</v>
      </c>
      <c r="P475" s="167">
        <v>0</v>
      </c>
      <c r="Q475" s="225">
        <v>11344</v>
      </c>
      <c r="R475" s="225">
        <v>8703</v>
      </c>
      <c r="S475" s="225">
        <v>5846</v>
      </c>
      <c r="T475" s="225">
        <v>2946</v>
      </c>
      <c r="U475" s="225">
        <v>0</v>
      </c>
    </row>
    <row r="476" spans="2:21" ht="24" customHeight="1">
      <c r="B476" s="689" t="s">
        <v>1303</v>
      </c>
      <c r="C476" s="689"/>
      <c r="D476" s="689"/>
      <c r="E476" s="689"/>
      <c r="F476" s="689"/>
      <c r="G476" s="689"/>
      <c r="H476" s="689"/>
      <c r="I476" s="689"/>
      <c r="J476" s="689"/>
      <c r="K476" s="689"/>
      <c r="L476" s="689"/>
      <c r="M476" s="410">
        <f t="shared" ref="M476:U476" si="47">SUM(M449:M475)</f>
        <v>0</v>
      </c>
      <c r="N476" s="410">
        <f t="shared" si="47"/>
        <v>0</v>
      </c>
      <c r="O476" s="472">
        <f t="shared" si="47"/>
        <v>7554249</v>
      </c>
      <c r="P476" s="472">
        <f t="shared" si="47"/>
        <v>933625</v>
      </c>
      <c r="Q476" s="410">
        <f t="shared" si="47"/>
        <v>10871560</v>
      </c>
      <c r="R476" s="410">
        <f t="shared" si="47"/>
        <v>11320831</v>
      </c>
      <c r="S476" s="410">
        <f t="shared" si="47"/>
        <v>12786272</v>
      </c>
      <c r="T476" s="410">
        <f t="shared" si="47"/>
        <v>2293205</v>
      </c>
      <c r="U476" s="410">
        <f t="shared" si="47"/>
        <v>2040411</v>
      </c>
    </row>
    <row r="477" spans="2:21" ht="6.9" customHeight="1">
      <c r="B477" s="527"/>
      <c r="C477" s="526"/>
      <c r="D477" s="526"/>
      <c r="E477" s="527"/>
      <c r="F477" s="526"/>
      <c r="G477" s="526"/>
      <c r="H477" s="526"/>
      <c r="I477" s="526"/>
      <c r="J477" s="526"/>
      <c r="K477" s="526"/>
      <c r="L477" s="526"/>
      <c r="M477" s="220"/>
      <c r="N477" s="240"/>
      <c r="O477" s="164"/>
      <c r="P477" s="164"/>
      <c r="Q477" s="240"/>
      <c r="R477" s="240"/>
      <c r="S477" s="240"/>
      <c r="T477" s="240"/>
      <c r="U477" s="240"/>
    </row>
    <row r="478" spans="2:21" ht="24" customHeight="1">
      <c r="B478" s="525" t="s">
        <v>1314</v>
      </c>
      <c r="C478" s="467"/>
      <c r="D478" s="467"/>
      <c r="E478" s="527" t="s">
        <v>304</v>
      </c>
      <c r="F478" s="467"/>
      <c r="G478" s="467"/>
      <c r="H478" s="467"/>
      <c r="I478" s="467"/>
      <c r="J478" s="467"/>
      <c r="K478" s="467"/>
      <c r="L478" s="467"/>
      <c r="M478" s="529">
        <v>0</v>
      </c>
      <c r="N478" s="440">
        <f>N432</f>
        <v>0</v>
      </c>
      <c r="O478" s="452">
        <v>35000</v>
      </c>
      <c r="P478" s="452">
        <f>P432</f>
        <v>25000</v>
      </c>
      <c r="Q478" s="440">
        <v>0</v>
      </c>
      <c r="R478" s="440">
        <v>0</v>
      </c>
      <c r="S478" s="440">
        <v>0</v>
      </c>
      <c r="T478" s="440">
        <v>0</v>
      </c>
      <c r="U478" s="440">
        <v>0</v>
      </c>
    </row>
    <row r="479" spans="2:21" ht="24" customHeight="1">
      <c r="B479" s="525" t="s">
        <v>1316</v>
      </c>
      <c r="C479" s="467"/>
      <c r="D479" s="467"/>
      <c r="E479" s="527" t="s">
        <v>941</v>
      </c>
      <c r="F479" s="467"/>
      <c r="G479" s="467"/>
      <c r="H479" s="467"/>
      <c r="I479" s="467"/>
      <c r="J479" s="467"/>
      <c r="K479" s="467"/>
      <c r="L479" s="467"/>
      <c r="M479" s="530">
        <v>0</v>
      </c>
      <c r="N479" s="531">
        <v>0</v>
      </c>
      <c r="O479" s="532">
        <v>1995000</v>
      </c>
      <c r="P479" s="532">
        <f t="shared" ref="P479:U479" si="48">P358</f>
        <v>2046503</v>
      </c>
      <c r="Q479" s="531">
        <f t="shared" si="48"/>
        <v>0</v>
      </c>
      <c r="R479" s="531">
        <f t="shared" si="48"/>
        <v>0</v>
      </c>
      <c r="S479" s="531">
        <f t="shared" si="48"/>
        <v>0</v>
      </c>
      <c r="T479" s="531">
        <f t="shared" si="48"/>
        <v>0</v>
      </c>
      <c r="U479" s="531">
        <f t="shared" si="48"/>
        <v>0</v>
      </c>
    </row>
    <row r="480" spans="2:21" ht="15" customHeight="1">
      <c r="B480" s="525"/>
      <c r="C480" s="467"/>
      <c r="D480" s="467"/>
      <c r="E480" s="527"/>
      <c r="F480" s="467"/>
      <c r="G480" s="467"/>
      <c r="H480" s="467"/>
      <c r="I480" s="467"/>
      <c r="J480" s="467"/>
      <c r="K480" s="467"/>
      <c r="L480" s="467"/>
      <c r="M480" s="474"/>
      <c r="N480" s="475"/>
      <c r="O480" s="476"/>
      <c r="P480" s="476"/>
      <c r="Q480" s="475"/>
      <c r="R480" s="475"/>
      <c r="S480" s="475"/>
      <c r="T480" s="475"/>
      <c r="U480" s="475"/>
    </row>
    <row r="481" spans="1:25" ht="24" customHeight="1">
      <c r="B481" s="689" t="s">
        <v>599</v>
      </c>
      <c r="C481" s="689"/>
      <c r="D481" s="689"/>
      <c r="E481" s="689"/>
      <c r="F481" s="689"/>
      <c r="G481" s="689"/>
      <c r="H481" s="689"/>
      <c r="I481" s="689"/>
      <c r="J481" s="689"/>
      <c r="K481" s="689"/>
      <c r="L481" s="689"/>
      <c r="M481" s="412">
        <f t="shared" ref="M481:U481" si="49">SUM(M478:M480)</f>
        <v>0</v>
      </c>
      <c r="N481" s="412">
        <f t="shared" si="49"/>
        <v>0</v>
      </c>
      <c r="O481" s="413">
        <f t="shared" si="49"/>
        <v>2030000</v>
      </c>
      <c r="P481" s="413">
        <f t="shared" si="49"/>
        <v>2071503</v>
      </c>
      <c r="Q481" s="478">
        <f t="shared" si="49"/>
        <v>0</v>
      </c>
      <c r="R481" s="478">
        <f t="shared" si="49"/>
        <v>0</v>
      </c>
      <c r="S481" s="478">
        <f t="shared" si="49"/>
        <v>0</v>
      </c>
      <c r="T481" s="478">
        <f t="shared" si="49"/>
        <v>0</v>
      </c>
      <c r="U481" s="478">
        <f t="shared" si="49"/>
        <v>0</v>
      </c>
    </row>
    <row r="482" spans="1:25" ht="15" customHeight="1">
      <c r="B482" s="477"/>
      <c r="C482" s="477"/>
      <c r="D482" s="477"/>
      <c r="E482" s="477"/>
      <c r="F482" s="477"/>
      <c r="G482" s="477"/>
      <c r="H482" s="477"/>
      <c r="I482" s="477"/>
      <c r="J482" s="477"/>
      <c r="K482" s="477"/>
      <c r="L482" s="477"/>
      <c r="M482" s="412"/>
      <c r="N482" s="364"/>
      <c r="O482" s="189"/>
      <c r="P482" s="189"/>
      <c r="Q482" s="364"/>
      <c r="R482" s="364"/>
      <c r="S482" s="364"/>
      <c r="T482" s="364"/>
      <c r="U482" s="364"/>
    </row>
    <row r="483" spans="1:25" s="526" customFormat="1" ht="24" customHeight="1">
      <c r="A483" s="576"/>
      <c r="B483" s="689" t="s">
        <v>1304</v>
      </c>
      <c r="C483" s="689"/>
      <c r="D483" s="689"/>
      <c r="E483" s="689"/>
      <c r="F483" s="689"/>
      <c r="G483" s="689"/>
      <c r="H483" s="689"/>
      <c r="I483" s="689"/>
      <c r="J483" s="689"/>
      <c r="K483" s="689"/>
      <c r="L483" s="689"/>
      <c r="M483" s="408">
        <f t="shared" ref="M483:U483" si="50">M476+M481</f>
        <v>0</v>
      </c>
      <c r="N483" s="408">
        <f t="shared" si="50"/>
        <v>0</v>
      </c>
      <c r="O483" s="409">
        <f t="shared" si="50"/>
        <v>9584249</v>
      </c>
      <c r="P483" s="409">
        <f t="shared" si="50"/>
        <v>3005128</v>
      </c>
      <c r="Q483" s="408">
        <f t="shared" si="50"/>
        <v>10871560</v>
      </c>
      <c r="R483" s="408">
        <f t="shared" si="50"/>
        <v>11320831</v>
      </c>
      <c r="S483" s="408">
        <f t="shared" si="50"/>
        <v>12786272</v>
      </c>
      <c r="T483" s="408">
        <f t="shared" si="50"/>
        <v>2293205</v>
      </c>
      <c r="U483" s="408">
        <f t="shared" si="50"/>
        <v>2040411</v>
      </c>
    </row>
    <row r="484" spans="1:25" s="526" customFormat="1" ht="15" customHeight="1">
      <c r="A484" s="576"/>
      <c r="B484" s="145"/>
      <c r="C484" s="145"/>
      <c r="D484" s="145"/>
      <c r="E484" s="145"/>
      <c r="F484" s="145"/>
      <c r="G484" s="145"/>
      <c r="H484" s="145"/>
      <c r="I484" s="145"/>
      <c r="J484" s="145"/>
      <c r="K484" s="145"/>
      <c r="L484" s="145"/>
      <c r="M484" s="409"/>
      <c r="N484" s="409"/>
      <c r="O484" s="409"/>
      <c r="P484" s="409"/>
      <c r="Q484" s="409"/>
      <c r="R484" s="409"/>
      <c r="S484" s="409"/>
      <c r="T484" s="409"/>
      <c r="U484" s="409"/>
    </row>
    <row r="485" spans="1:25" s="526" customFormat="1" ht="24" customHeight="1">
      <c r="A485" s="576"/>
      <c r="B485" s="697" t="s">
        <v>1315</v>
      </c>
      <c r="C485" s="697"/>
      <c r="D485" s="697"/>
      <c r="E485" s="697"/>
      <c r="F485" s="697"/>
      <c r="G485" s="697"/>
      <c r="H485" s="697"/>
      <c r="I485" s="697"/>
      <c r="J485" s="697"/>
      <c r="K485" s="697"/>
      <c r="L485" s="697"/>
      <c r="M485" s="409">
        <f t="shared" ref="M485:U485" si="51">M476</f>
        <v>0</v>
      </c>
      <c r="N485" s="409">
        <f t="shared" si="51"/>
        <v>0</v>
      </c>
      <c r="O485" s="409">
        <f t="shared" si="51"/>
        <v>7554249</v>
      </c>
      <c r="P485" s="409">
        <f t="shared" si="51"/>
        <v>933625</v>
      </c>
      <c r="Q485" s="409">
        <f t="shared" si="51"/>
        <v>10871560</v>
      </c>
      <c r="R485" s="409">
        <f t="shared" si="51"/>
        <v>11320831</v>
      </c>
      <c r="S485" s="409">
        <f t="shared" si="51"/>
        <v>12786272</v>
      </c>
      <c r="T485" s="409">
        <f t="shared" si="51"/>
        <v>2293205</v>
      </c>
      <c r="U485" s="409">
        <f t="shared" si="51"/>
        <v>2040411</v>
      </c>
    </row>
    <row r="486" spans="1:25" s="526" customFormat="1" ht="15" customHeight="1">
      <c r="A486" s="576"/>
      <c r="B486" s="145"/>
      <c r="C486" s="145"/>
      <c r="D486" s="145"/>
      <c r="E486" s="145"/>
      <c r="F486" s="145"/>
      <c r="G486" s="145"/>
      <c r="H486" s="145"/>
      <c r="I486" s="145"/>
      <c r="J486" s="145"/>
      <c r="K486" s="145"/>
      <c r="L486" s="145"/>
      <c r="M486" s="428"/>
      <c r="N486" s="428"/>
      <c r="O486" s="428"/>
      <c r="P486" s="428"/>
      <c r="Q486" s="428"/>
      <c r="R486" s="428"/>
      <c r="S486" s="428"/>
      <c r="T486" s="428"/>
      <c r="U486" s="428"/>
    </row>
    <row r="487" spans="1:25" s="526" customFormat="1" ht="24" customHeight="1">
      <c r="A487" s="576"/>
      <c r="B487" s="145"/>
      <c r="C487" s="692" t="s">
        <v>838</v>
      </c>
      <c r="D487" s="692"/>
      <c r="E487" s="692"/>
      <c r="F487" s="692"/>
      <c r="G487" s="692"/>
      <c r="H487" s="692"/>
      <c r="I487" s="692"/>
      <c r="J487" s="692"/>
      <c r="K487" s="692"/>
      <c r="L487" s="692"/>
      <c r="M487" s="428">
        <f t="shared" ref="M487:U487" si="52">M444</f>
        <v>0</v>
      </c>
      <c r="N487" s="428">
        <f t="shared" si="52"/>
        <v>0</v>
      </c>
      <c r="O487" s="428">
        <f t="shared" si="52"/>
        <v>9396511</v>
      </c>
      <c r="P487" s="428">
        <f t="shared" si="52"/>
        <v>13512024</v>
      </c>
      <c r="Q487" s="428">
        <f t="shared" si="52"/>
        <v>776443</v>
      </c>
      <c r="R487" s="428">
        <f t="shared" si="52"/>
        <v>22402686</v>
      </c>
      <c r="S487" s="428">
        <f t="shared" si="52"/>
        <v>1160440</v>
      </c>
      <c r="T487" s="428">
        <f t="shared" si="52"/>
        <v>1494878</v>
      </c>
      <c r="U487" s="428">
        <f t="shared" si="52"/>
        <v>1837264</v>
      </c>
    </row>
    <row r="488" spans="1:25" s="526" customFormat="1" ht="24" customHeight="1">
      <c r="A488" s="576"/>
      <c r="B488" s="484"/>
      <c r="C488" s="693" t="s">
        <v>1204</v>
      </c>
      <c r="D488" s="693"/>
      <c r="E488" s="693"/>
      <c r="F488" s="693"/>
      <c r="G488" s="693"/>
      <c r="H488" s="693"/>
      <c r="I488" s="693"/>
      <c r="J488" s="693"/>
      <c r="K488" s="693"/>
      <c r="L488" s="693"/>
      <c r="M488" s="483">
        <f t="shared" ref="M488:U488" si="53">-M481</f>
        <v>0</v>
      </c>
      <c r="N488" s="483">
        <f t="shared" si="53"/>
        <v>0</v>
      </c>
      <c r="O488" s="483">
        <f t="shared" si="53"/>
        <v>-2030000</v>
      </c>
      <c r="P488" s="483">
        <f t="shared" si="53"/>
        <v>-2071503</v>
      </c>
      <c r="Q488" s="483">
        <f t="shared" si="53"/>
        <v>0</v>
      </c>
      <c r="R488" s="483">
        <f t="shared" si="53"/>
        <v>0</v>
      </c>
      <c r="S488" s="483">
        <f t="shared" si="53"/>
        <v>0</v>
      </c>
      <c r="T488" s="483">
        <f t="shared" si="53"/>
        <v>0</v>
      </c>
      <c r="U488" s="483">
        <f t="shared" si="53"/>
        <v>0</v>
      </c>
    </row>
    <row r="489" spans="1:25" s="526" customFormat="1" ht="24" customHeight="1">
      <c r="A489" s="576"/>
      <c r="B489" s="145"/>
      <c r="C489" s="691" t="s">
        <v>1317</v>
      </c>
      <c r="D489" s="691"/>
      <c r="E489" s="691"/>
      <c r="F489" s="691"/>
      <c r="G489" s="691"/>
      <c r="H489" s="691"/>
      <c r="I489" s="691"/>
      <c r="J489" s="691"/>
      <c r="K489" s="691"/>
      <c r="L489" s="691"/>
      <c r="M489" s="409">
        <f t="shared" ref="M489:U489" si="54">SUM(M487:M488)</f>
        <v>0</v>
      </c>
      <c r="N489" s="409">
        <f t="shared" si="54"/>
        <v>0</v>
      </c>
      <c r="O489" s="409">
        <f t="shared" si="54"/>
        <v>7366511</v>
      </c>
      <c r="P489" s="409">
        <f t="shared" si="54"/>
        <v>11440521</v>
      </c>
      <c r="Q489" s="409">
        <f t="shared" si="54"/>
        <v>776443</v>
      </c>
      <c r="R489" s="409">
        <f t="shared" si="54"/>
        <v>22402686</v>
      </c>
      <c r="S489" s="409">
        <f t="shared" si="54"/>
        <v>1160440</v>
      </c>
      <c r="T489" s="409">
        <f t="shared" si="54"/>
        <v>1494878</v>
      </c>
      <c r="U489" s="409">
        <f t="shared" si="54"/>
        <v>1837264</v>
      </c>
    </row>
    <row r="490" spans="1:25" s="526" customFormat="1" ht="15" customHeight="1">
      <c r="A490" s="576"/>
      <c r="B490" s="145"/>
      <c r="C490" s="145"/>
      <c r="D490" s="145"/>
      <c r="E490" s="145"/>
      <c r="F490" s="145"/>
      <c r="G490" s="145"/>
      <c r="H490" s="145"/>
      <c r="I490" s="145"/>
      <c r="J490" s="145"/>
      <c r="K490" s="145"/>
      <c r="L490" s="145"/>
      <c r="M490" s="428"/>
      <c r="N490" s="428"/>
      <c r="O490" s="428"/>
      <c r="P490" s="428"/>
      <c r="Q490" s="428"/>
      <c r="R490" s="428"/>
      <c r="S490" s="428"/>
      <c r="T490" s="428"/>
      <c r="U490" s="428"/>
    </row>
    <row r="491" spans="1:25" s="526" customFormat="1" ht="24" customHeight="1">
      <c r="A491" s="576"/>
      <c r="B491" s="145"/>
      <c r="C491" s="145"/>
      <c r="D491" s="145"/>
      <c r="E491" s="145"/>
      <c r="F491" s="145"/>
      <c r="G491" s="145"/>
      <c r="H491" s="145"/>
      <c r="I491" s="145"/>
      <c r="J491" s="145"/>
      <c r="K491" s="145"/>
      <c r="L491" s="360" t="s">
        <v>425</v>
      </c>
      <c r="M491" s="280">
        <f t="shared" ref="M491:U491" si="55">M436-M485+M489</f>
        <v>0</v>
      </c>
      <c r="N491" s="280">
        <f t="shared" si="55"/>
        <v>0</v>
      </c>
      <c r="O491" s="280">
        <f t="shared" si="55"/>
        <v>0</v>
      </c>
      <c r="P491" s="280">
        <f t="shared" si="55"/>
        <v>10641399</v>
      </c>
      <c r="Q491" s="280">
        <f t="shared" si="55"/>
        <v>-9864331</v>
      </c>
      <c r="R491" s="280">
        <f t="shared" si="55"/>
        <v>11264548</v>
      </c>
      <c r="S491" s="280">
        <f t="shared" si="55"/>
        <v>-11438945</v>
      </c>
      <c r="T491" s="280">
        <f t="shared" si="55"/>
        <v>-602671</v>
      </c>
      <c r="U491" s="280">
        <f t="shared" si="55"/>
        <v>0</v>
      </c>
    </row>
    <row r="492" spans="1:25" s="526" customFormat="1" ht="15" customHeight="1">
      <c r="A492" s="576"/>
      <c r="B492" s="145"/>
      <c r="C492" s="145"/>
      <c r="D492" s="145"/>
      <c r="E492" s="145"/>
      <c r="F492" s="145"/>
      <c r="G492" s="145"/>
      <c r="H492" s="145"/>
      <c r="I492" s="145"/>
      <c r="J492" s="145"/>
      <c r="K492" s="145"/>
      <c r="L492" s="360"/>
      <c r="M492" s="409"/>
      <c r="N492" s="409"/>
      <c r="O492" s="409"/>
      <c r="P492" s="409"/>
      <c r="Q492" s="409"/>
      <c r="R492" s="409"/>
      <c r="S492" s="409"/>
      <c r="T492" s="409"/>
      <c r="U492" s="409"/>
    </row>
    <row r="493" spans="1:25" s="526" customFormat="1" ht="24" customHeight="1">
      <c r="A493" s="576"/>
      <c r="B493" s="145"/>
      <c r="C493" s="145"/>
      <c r="D493" s="145"/>
      <c r="E493" s="145"/>
      <c r="F493" s="145"/>
      <c r="G493" s="145"/>
      <c r="H493" s="145"/>
      <c r="I493" s="145"/>
      <c r="J493" s="145"/>
      <c r="K493" s="145"/>
      <c r="L493" s="423" t="s">
        <v>427</v>
      </c>
      <c r="M493" s="409">
        <v>0</v>
      </c>
      <c r="N493" s="409">
        <v>0</v>
      </c>
      <c r="O493" s="409">
        <v>0</v>
      </c>
      <c r="P493" s="409">
        <f>N493+P491</f>
        <v>10641399</v>
      </c>
      <c r="Q493" s="409">
        <f>P493+Q491</f>
        <v>777068</v>
      </c>
      <c r="R493" s="409">
        <f>R491+Q493</f>
        <v>12041616</v>
      </c>
      <c r="S493" s="409">
        <f>S491+R493</f>
        <v>602671</v>
      </c>
      <c r="T493" s="409">
        <f>T491+S493</f>
        <v>0</v>
      </c>
      <c r="U493" s="409">
        <f>U491+T493</f>
        <v>0</v>
      </c>
      <c r="V493" s="161"/>
      <c r="W493" s="161"/>
      <c r="X493" s="161"/>
      <c r="Y493" s="161"/>
    </row>
    <row r="494" spans="1:25" ht="15" customHeight="1">
      <c r="B494" s="526"/>
      <c r="C494" s="526"/>
      <c r="D494" s="526"/>
      <c r="E494" s="526"/>
      <c r="F494" s="526"/>
      <c r="G494" s="526"/>
      <c r="H494" s="526"/>
      <c r="I494" s="526"/>
      <c r="J494" s="526"/>
      <c r="K494" s="526"/>
      <c r="L494" s="100"/>
      <c r="M494" s="245"/>
      <c r="N494" s="245"/>
      <c r="O494" s="180"/>
      <c r="P494" s="180"/>
      <c r="Q494" s="246"/>
      <c r="R494" s="246"/>
      <c r="S494" s="246"/>
      <c r="T494" s="246"/>
      <c r="U494" s="246"/>
    </row>
    <row r="495" spans="1:25" ht="24" customHeight="1">
      <c r="B495" s="102" t="s">
        <v>1287</v>
      </c>
      <c r="C495" s="89"/>
      <c r="D495" s="89"/>
      <c r="E495" s="89"/>
      <c r="F495" s="89"/>
      <c r="G495" s="89"/>
      <c r="H495" s="89"/>
      <c r="I495" s="89"/>
      <c r="J495" s="89"/>
      <c r="K495" s="89"/>
      <c r="L495" s="100"/>
      <c r="M495" s="245"/>
      <c r="N495" s="245"/>
      <c r="O495" s="180"/>
      <c r="P495" s="180"/>
      <c r="Q495" s="246"/>
      <c r="R495" s="246"/>
      <c r="S495" s="246"/>
      <c r="T495" s="246"/>
      <c r="U495" s="246"/>
    </row>
    <row r="496" spans="1:25" ht="15" customHeight="1">
      <c r="B496" s="89"/>
      <c r="C496" s="89"/>
      <c r="D496" s="89"/>
      <c r="E496" s="89"/>
      <c r="F496" s="89"/>
      <c r="G496" s="89"/>
      <c r="H496" s="89"/>
      <c r="I496" s="89"/>
      <c r="J496" s="89"/>
      <c r="K496" s="89"/>
      <c r="L496" s="100"/>
      <c r="M496" s="245"/>
      <c r="N496" s="245"/>
      <c r="O496" s="180"/>
      <c r="P496" s="180"/>
      <c r="Q496" s="246"/>
      <c r="R496" s="246"/>
      <c r="S496" s="246"/>
      <c r="T496" s="246"/>
      <c r="U496" s="246"/>
    </row>
    <row r="497" spans="2:21" ht="24" customHeight="1">
      <c r="B497" s="379" t="s">
        <v>1179</v>
      </c>
      <c r="C497" s="377"/>
      <c r="D497" s="378"/>
      <c r="E497" s="380" t="s">
        <v>43</v>
      </c>
      <c r="F497" s="377"/>
      <c r="G497" s="378"/>
      <c r="H497" s="378"/>
      <c r="I497" s="378"/>
      <c r="J497" s="378"/>
      <c r="K497" s="378"/>
      <c r="L497" s="378"/>
      <c r="M497" s="440">
        <v>4795</v>
      </c>
      <c r="N497" s="440">
        <v>9490</v>
      </c>
      <c r="O497" s="452">
        <v>0</v>
      </c>
      <c r="P497" s="452">
        <v>9590</v>
      </c>
      <c r="Q497" s="454">
        <v>0</v>
      </c>
      <c r="R497" s="453">
        <v>0</v>
      </c>
      <c r="S497" s="453">
        <v>0</v>
      </c>
      <c r="T497" s="453">
        <v>0</v>
      </c>
      <c r="U497" s="453">
        <v>0</v>
      </c>
    </row>
    <row r="498" spans="2:21" ht="24" customHeight="1">
      <c r="B498" s="1" t="s">
        <v>895</v>
      </c>
      <c r="C498" s="95"/>
      <c r="D498" s="89"/>
      <c r="E498" s="1" t="s">
        <v>731</v>
      </c>
      <c r="F498" s="95"/>
      <c r="G498" s="89"/>
      <c r="H498" s="89"/>
      <c r="I498" s="89"/>
      <c r="J498" s="89"/>
      <c r="K498" s="89"/>
      <c r="L498" s="89"/>
      <c r="M498" s="308">
        <v>92100</v>
      </c>
      <c r="N498" s="308">
        <v>69450</v>
      </c>
      <c r="O498" s="172">
        <v>30000</v>
      </c>
      <c r="P498" s="172">
        <v>35000</v>
      </c>
      <c r="Q498" s="234">
        <v>30000</v>
      </c>
      <c r="R498" s="234">
        <v>30000</v>
      </c>
      <c r="S498" s="234">
        <v>30000</v>
      </c>
      <c r="T498" s="234">
        <v>30000</v>
      </c>
      <c r="U498" s="234">
        <v>30000</v>
      </c>
    </row>
    <row r="499" spans="2:21" ht="24" customHeight="1">
      <c r="B499" s="1" t="s">
        <v>1107</v>
      </c>
      <c r="C499" s="95"/>
      <c r="D499" s="89"/>
      <c r="E499" s="1" t="s">
        <v>1108</v>
      </c>
      <c r="F499" s="95"/>
      <c r="G499" s="89"/>
      <c r="H499" s="89"/>
      <c r="I499" s="89"/>
      <c r="J499" s="89"/>
      <c r="K499" s="89"/>
      <c r="L499" s="89"/>
      <c r="M499" s="308">
        <v>1536</v>
      </c>
      <c r="N499" s="308">
        <v>2441</v>
      </c>
      <c r="O499" s="172">
        <v>0</v>
      </c>
      <c r="P499" s="172">
        <v>2000</v>
      </c>
      <c r="Q499" s="234">
        <v>1000</v>
      </c>
      <c r="R499" s="234">
        <v>1000</v>
      </c>
      <c r="S499" s="234">
        <v>1000</v>
      </c>
      <c r="T499" s="234">
        <v>1000</v>
      </c>
      <c r="U499" s="234">
        <v>1000</v>
      </c>
    </row>
    <row r="500" spans="2:21" ht="24" customHeight="1">
      <c r="B500" s="89" t="s">
        <v>893</v>
      </c>
      <c r="C500" s="89"/>
      <c r="D500" s="89"/>
      <c r="E500" s="1" t="s">
        <v>250</v>
      </c>
      <c r="F500" s="89"/>
      <c r="G500" s="89"/>
      <c r="H500" s="89"/>
      <c r="I500" s="89"/>
      <c r="J500" s="89"/>
      <c r="K500" s="89"/>
      <c r="L500" s="89"/>
      <c r="M500" s="308">
        <v>11550</v>
      </c>
      <c r="N500" s="308">
        <v>22400</v>
      </c>
      <c r="O500" s="172">
        <v>10000</v>
      </c>
      <c r="P500" s="172">
        <v>25000</v>
      </c>
      <c r="Q500" s="234">
        <v>10000</v>
      </c>
      <c r="R500" s="234">
        <v>10000</v>
      </c>
      <c r="S500" s="234">
        <v>10000</v>
      </c>
      <c r="T500" s="234">
        <v>10000</v>
      </c>
      <c r="U500" s="234">
        <v>10000</v>
      </c>
    </row>
    <row r="501" spans="2:21" ht="24" customHeight="1">
      <c r="B501" s="1" t="s">
        <v>894</v>
      </c>
      <c r="C501" s="95"/>
      <c r="D501" s="89"/>
      <c r="E501" s="1" t="s">
        <v>732</v>
      </c>
      <c r="F501" s="95"/>
      <c r="G501" s="89"/>
      <c r="H501" s="89"/>
      <c r="I501" s="89"/>
      <c r="J501" s="89"/>
      <c r="K501" s="89"/>
      <c r="L501" s="89"/>
      <c r="M501" s="308">
        <v>252600</v>
      </c>
      <c r="N501" s="308">
        <v>163150</v>
      </c>
      <c r="O501" s="172">
        <v>64500</v>
      </c>
      <c r="P501" s="172">
        <v>75000</v>
      </c>
      <c r="Q501" s="234">
        <v>64500</v>
      </c>
      <c r="R501" s="234">
        <v>64500</v>
      </c>
      <c r="S501" s="234">
        <v>64500</v>
      </c>
      <c r="T501" s="234">
        <v>64500</v>
      </c>
      <c r="U501" s="234">
        <v>64500</v>
      </c>
    </row>
    <row r="502" spans="2:21" ht="24" customHeight="1">
      <c r="B502" s="1" t="s">
        <v>896</v>
      </c>
      <c r="C502" s="95"/>
      <c r="D502" s="89"/>
      <c r="E502" s="1" t="s">
        <v>759</v>
      </c>
      <c r="F502" s="95"/>
      <c r="G502" s="89"/>
      <c r="H502" s="89"/>
      <c r="I502" s="89"/>
      <c r="J502" s="89"/>
      <c r="K502" s="89"/>
      <c r="L502" s="89"/>
      <c r="M502" s="308">
        <v>5875</v>
      </c>
      <c r="N502" s="308">
        <v>11200</v>
      </c>
      <c r="O502" s="172">
        <v>5000</v>
      </c>
      <c r="P502" s="172">
        <v>12000</v>
      </c>
      <c r="Q502" s="234">
        <v>5000</v>
      </c>
      <c r="R502" s="234">
        <v>5000</v>
      </c>
      <c r="S502" s="234">
        <v>5000</v>
      </c>
      <c r="T502" s="234">
        <v>5000</v>
      </c>
      <c r="U502" s="234">
        <v>5000</v>
      </c>
    </row>
    <row r="503" spans="2:21" ht="24" customHeight="1">
      <c r="B503" s="1" t="s">
        <v>897</v>
      </c>
      <c r="C503" s="95"/>
      <c r="D503" s="89"/>
      <c r="E503" s="688" t="s">
        <v>244</v>
      </c>
      <c r="F503" s="688"/>
      <c r="G503" s="688"/>
      <c r="H503" s="688"/>
      <c r="I503" s="688"/>
      <c r="J503" s="688"/>
      <c r="K503" s="688"/>
      <c r="L503" s="688"/>
      <c r="M503" s="240">
        <v>6023</v>
      </c>
      <c r="N503" s="240">
        <v>3228</v>
      </c>
      <c r="O503" s="164">
        <v>7000</v>
      </c>
      <c r="P503" s="164">
        <v>6000</v>
      </c>
      <c r="Q503" s="208">
        <v>6000</v>
      </c>
      <c r="R503" s="208">
        <v>6000</v>
      </c>
      <c r="S503" s="208">
        <v>6000</v>
      </c>
      <c r="T503" s="208">
        <v>6000</v>
      </c>
      <c r="U503" s="208">
        <v>6000</v>
      </c>
    </row>
    <row r="504" spans="2:21" ht="24" customHeight="1">
      <c r="B504" s="1" t="s">
        <v>898</v>
      </c>
      <c r="C504" s="95"/>
      <c r="D504" s="89"/>
      <c r="E504" s="688" t="s">
        <v>704</v>
      </c>
      <c r="F504" s="688"/>
      <c r="G504" s="688"/>
      <c r="H504" s="688"/>
      <c r="I504" s="688"/>
      <c r="J504" s="688"/>
      <c r="K504" s="688"/>
      <c r="L504" s="688"/>
      <c r="M504" s="240">
        <v>776</v>
      </c>
      <c r="N504" s="240">
        <v>770</v>
      </c>
      <c r="O504" s="164">
        <v>800</v>
      </c>
      <c r="P504" s="164">
        <v>800</v>
      </c>
      <c r="Q504" s="208">
        <v>800</v>
      </c>
      <c r="R504" s="208">
        <v>800</v>
      </c>
      <c r="S504" s="208">
        <v>800</v>
      </c>
      <c r="T504" s="208">
        <v>800</v>
      </c>
      <c r="U504" s="208">
        <v>800</v>
      </c>
    </row>
    <row r="505" spans="2:21" ht="24" customHeight="1">
      <c r="B505" s="607" t="s">
        <v>1406</v>
      </c>
      <c r="C505" s="609"/>
      <c r="D505" s="609"/>
      <c r="E505" s="607" t="s">
        <v>1407</v>
      </c>
      <c r="F505" s="609"/>
      <c r="G505" s="609"/>
      <c r="H505" s="609"/>
      <c r="I505" s="609"/>
      <c r="J505" s="609"/>
      <c r="K505" s="609"/>
      <c r="L505" s="609"/>
      <c r="M505" s="308">
        <v>0</v>
      </c>
      <c r="N505" s="308">
        <v>0</v>
      </c>
      <c r="O505" s="172">
        <v>0</v>
      </c>
      <c r="P505" s="172">
        <v>0</v>
      </c>
      <c r="Q505" s="308">
        <v>55000</v>
      </c>
      <c r="R505" s="234">
        <v>0</v>
      </c>
      <c r="S505" s="234">
        <v>0</v>
      </c>
      <c r="T505" s="234">
        <v>0</v>
      </c>
      <c r="U505" s="234">
        <v>0</v>
      </c>
    </row>
    <row r="506" spans="2:21" ht="24" customHeight="1">
      <c r="B506" s="1" t="s">
        <v>899</v>
      </c>
      <c r="C506" s="89"/>
      <c r="D506" s="89"/>
      <c r="E506" s="1" t="s">
        <v>247</v>
      </c>
      <c r="F506" s="89"/>
      <c r="G506" s="89"/>
      <c r="H506" s="89"/>
      <c r="I506" s="89"/>
      <c r="J506" s="89"/>
      <c r="K506" s="89"/>
      <c r="L506" s="89"/>
      <c r="M506" s="308">
        <v>2215</v>
      </c>
      <c r="N506" s="308">
        <v>1877</v>
      </c>
      <c r="O506" s="172">
        <v>2000</v>
      </c>
      <c r="P506" s="172">
        <v>0</v>
      </c>
      <c r="Q506" s="234">
        <v>2000</v>
      </c>
      <c r="R506" s="234">
        <v>2000</v>
      </c>
      <c r="S506" s="234">
        <v>2000</v>
      </c>
      <c r="T506" s="234">
        <v>2000</v>
      </c>
      <c r="U506" s="234">
        <v>2000</v>
      </c>
    </row>
    <row r="507" spans="2:21" ht="24" customHeight="1">
      <c r="B507" s="1" t="s">
        <v>1036</v>
      </c>
      <c r="C507" s="89"/>
      <c r="D507" s="89"/>
      <c r="E507" s="1" t="s">
        <v>1037</v>
      </c>
      <c r="F507" s="89"/>
      <c r="G507" s="89"/>
      <c r="H507" s="89"/>
      <c r="I507" s="89"/>
      <c r="J507" s="89"/>
      <c r="K507" s="89"/>
      <c r="L507" s="89"/>
      <c r="M507" s="308">
        <v>0</v>
      </c>
      <c r="N507" s="308">
        <v>0</v>
      </c>
      <c r="O507" s="172">
        <v>31000</v>
      </c>
      <c r="P507" s="172">
        <v>109154</v>
      </c>
      <c r="Q507" s="308">
        <v>0</v>
      </c>
      <c r="R507" s="234">
        <v>0</v>
      </c>
      <c r="S507" s="234">
        <v>0</v>
      </c>
      <c r="T507" s="234">
        <v>0</v>
      </c>
      <c r="U507" s="234">
        <v>0</v>
      </c>
    </row>
    <row r="508" spans="2:21" ht="24" customHeight="1">
      <c r="B508" s="1" t="s">
        <v>900</v>
      </c>
      <c r="C508" s="89"/>
      <c r="D508" s="89"/>
      <c r="E508" s="1" t="s">
        <v>786</v>
      </c>
      <c r="F508" s="89"/>
      <c r="G508" s="89"/>
      <c r="H508" s="89"/>
      <c r="I508" s="89"/>
      <c r="J508" s="89"/>
      <c r="K508" s="89"/>
      <c r="L508" s="89"/>
      <c r="M508" s="308">
        <v>24032</v>
      </c>
      <c r="N508" s="308">
        <v>218334</v>
      </c>
      <c r="O508" s="172">
        <v>91732</v>
      </c>
      <c r="P508" s="172">
        <v>91732</v>
      </c>
      <c r="Q508" s="308">
        <v>47825</v>
      </c>
      <c r="R508" s="308">
        <v>203456</v>
      </c>
      <c r="S508" s="308">
        <v>195350</v>
      </c>
      <c r="T508" s="308">
        <v>201650</v>
      </c>
      <c r="U508" s="308">
        <v>217500</v>
      </c>
    </row>
    <row r="509" spans="2:21" ht="24" customHeight="1">
      <c r="B509" s="1" t="s">
        <v>901</v>
      </c>
      <c r="C509" s="89"/>
      <c r="D509" s="89"/>
      <c r="E509" s="1" t="s">
        <v>787</v>
      </c>
      <c r="F509" s="89"/>
      <c r="G509" s="89"/>
      <c r="H509" s="89"/>
      <c r="I509" s="89"/>
      <c r="J509" s="89"/>
      <c r="K509" s="89"/>
      <c r="L509" s="89"/>
      <c r="M509" s="308">
        <v>0</v>
      </c>
      <c r="N509" s="308">
        <v>622551</v>
      </c>
      <c r="O509" s="172">
        <v>100000</v>
      </c>
      <c r="P509" s="172">
        <v>108000</v>
      </c>
      <c r="Q509" s="308">
        <v>549408</v>
      </c>
      <c r="R509" s="308">
        <v>363497</v>
      </c>
      <c r="S509" s="308">
        <v>393646</v>
      </c>
      <c r="T509" s="308">
        <v>393646</v>
      </c>
      <c r="U509" s="308">
        <v>393646</v>
      </c>
    </row>
    <row r="510" spans="2:21" ht="24" customHeight="1">
      <c r="B510" s="1" t="s">
        <v>902</v>
      </c>
      <c r="C510" s="89"/>
      <c r="D510" s="89"/>
      <c r="E510" s="1" t="s">
        <v>865</v>
      </c>
      <c r="F510" s="89"/>
      <c r="G510" s="89"/>
      <c r="H510" s="89"/>
      <c r="I510" s="89"/>
      <c r="J510" s="89"/>
      <c r="K510" s="89"/>
      <c r="L510" s="89"/>
      <c r="M510" s="308">
        <v>0</v>
      </c>
      <c r="N510" s="308">
        <v>385000</v>
      </c>
      <c r="O510" s="172">
        <v>88866</v>
      </c>
      <c r="P510" s="172">
        <v>88866</v>
      </c>
      <c r="Q510" s="308">
        <v>154854</v>
      </c>
      <c r="R510" s="308">
        <v>277774</v>
      </c>
      <c r="S510" s="308">
        <v>338774</v>
      </c>
      <c r="T510" s="308">
        <v>323774</v>
      </c>
      <c r="U510" s="308">
        <v>323774</v>
      </c>
    </row>
    <row r="511" spans="2:21" ht="24" customHeight="1">
      <c r="B511" s="1" t="s">
        <v>1054</v>
      </c>
      <c r="C511" s="89"/>
      <c r="D511" s="89"/>
      <c r="E511" s="1" t="s">
        <v>1045</v>
      </c>
      <c r="F511" s="89"/>
      <c r="G511" s="89"/>
      <c r="H511" s="89"/>
      <c r="I511" s="89"/>
      <c r="J511" s="89"/>
      <c r="K511" s="89"/>
      <c r="L511" s="89"/>
      <c r="M511" s="258">
        <v>66721</v>
      </c>
      <c r="N511" s="258">
        <v>3642</v>
      </c>
      <c r="O511" s="190">
        <v>12232</v>
      </c>
      <c r="P511" s="190">
        <v>12232</v>
      </c>
      <c r="Q511" s="258">
        <v>86983</v>
      </c>
      <c r="R511" s="258">
        <v>13122</v>
      </c>
      <c r="S511" s="258">
        <v>20328</v>
      </c>
      <c r="T511" s="258">
        <v>88483</v>
      </c>
      <c r="U511" s="258">
        <v>15386</v>
      </c>
    </row>
    <row r="512" spans="2:21" ht="24" customHeight="1">
      <c r="B512" s="1" t="s">
        <v>903</v>
      </c>
      <c r="C512" s="95"/>
      <c r="D512" s="89"/>
      <c r="E512" s="714" t="s">
        <v>761</v>
      </c>
      <c r="F512" s="714"/>
      <c r="G512" s="714"/>
      <c r="H512" s="714"/>
      <c r="I512" s="714"/>
      <c r="J512" s="714"/>
      <c r="K512" s="714"/>
      <c r="L512" s="714"/>
      <c r="M512" s="240">
        <v>1084</v>
      </c>
      <c r="N512" s="240">
        <v>150</v>
      </c>
      <c r="O512" s="164">
        <v>1000</v>
      </c>
      <c r="P512" s="164">
        <v>0</v>
      </c>
      <c r="Q512" s="240">
        <v>0</v>
      </c>
      <c r="R512" s="240">
        <v>0</v>
      </c>
      <c r="S512" s="240">
        <v>0</v>
      </c>
      <c r="T512" s="240">
        <v>0</v>
      </c>
      <c r="U512" s="240">
        <v>0</v>
      </c>
    </row>
    <row r="513" spans="2:21" ht="24" customHeight="1">
      <c r="B513" s="1" t="s">
        <v>1090</v>
      </c>
      <c r="C513" s="95"/>
      <c r="D513" s="89"/>
      <c r="E513" s="4" t="s">
        <v>1086</v>
      </c>
      <c r="F513" s="4"/>
      <c r="G513" s="4"/>
      <c r="H513" s="4"/>
      <c r="I513" s="4"/>
      <c r="J513" s="4"/>
      <c r="K513" s="4"/>
      <c r="L513" s="4"/>
      <c r="M513" s="240">
        <v>1149</v>
      </c>
      <c r="N513" s="240">
        <v>0</v>
      </c>
      <c r="O513" s="164">
        <v>0</v>
      </c>
      <c r="P513" s="164">
        <v>105</v>
      </c>
      <c r="Q513" s="240">
        <v>0</v>
      </c>
      <c r="R513" s="240">
        <v>0</v>
      </c>
      <c r="S513" s="240">
        <v>0</v>
      </c>
      <c r="T513" s="240">
        <v>0</v>
      </c>
      <c r="U513" s="240">
        <v>0</v>
      </c>
    </row>
    <row r="514" spans="2:21" ht="24" customHeight="1">
      <c r="B514" s="383" t="s">
        <v>1181</v>
      </c>
      <c r="C514" s="381"/>
      <c r="D514" s="382"/>
      <c r="E514" s="383" t="s">
        <v>1182</v>
      </c>
      <c r="F514" s="384"/>
      <c r="G514" s="384"/>
      <c r="H514" s="384"/>
      <c r="I514" s="384"/>
      <c r="J514" s="384"/>
      <c r="K514" s="384"/>
      <c r="L514" s="384"/>
      <c r="M514" s="240">
        <v>10368</v>
      </c>
      <c r="N514" s="240">
        <v>0</v>
      </c>
      <c r="O514" s="164">
        <v>0</v>
      </c>
      <c r="P514" s="164">
        <v>0</v>
      </c>
      <c r="Q514" s="240">
        <v>0</v>
      </c>
      <c r="R514" s="240">
        <v>0</v>
      </c>
      <c r="S514" s="240">
        <v>0</v>
      </c>
      <c r="T514" s="240">
        <v>0</v>
      </c>
      <c r="U514" s="240">
        <v>0</v>
      </c>
    </row>
    <row r="515" spans="2:21" ht="24" customHeight="1">
      <c r="B515" s="313" t="s">
        <v>1152</v>
      </c>
      <c r="C515" s="312"/>
      <c r="D515" s="315"/>
      <c r="E515" s="313" t="s">
        <v>1132</v>
      </c>
      <c r="F515" s="314"/>
      <c r="G515" s="314"/>
      <c r="H515" s="314"/>
      <c r="I515" s="314"/>
      <c r="J515" s="314"/>
      <c r="K515" s="314"/>
      <c r="L515" s="314"/>
      <c r="M515" s="240">
        <v>33714</v>
      </c>
      <c r="N515" s="240">
        <v>9190</v>
      </c>
      <c r="O515" s="164">
        <v>102096</v>
      </c>
      <c r="P515" s="164">
        <v>10000</v>
      </c>
      <c r="Q515" s="240">
        <v>40000</v>
      </c>
      <c r="R515" s="240">
        <v>102096</v>
      </c>
      <c r="S515" s="240">
        <v>0</v>
      </c>
      <c r="T515" s="240">
        <v>0</v>
      </c>
      <c r="U515" s="240">
        <v>0</v>
      </c>
    </row>
    <row r="516" spans="2:21" ht="24" customHeight="1">
      <c r="B516" s="379" t="s">
        <v>1177</v>
      </c>
      <c r="C516" s="377"/>
      <c r="D516" s="378"/>
      <c r="E516" s="379" t="s">
        <v>1178</v>
      </c>
      <c r="F516" s="378"/>
      <c r="G516" s="378"/>
      <c r="H516" s="378"/>
      <c r="I516" s="378"/>
      <c r="J516" s="378"/>
      <c r="K516" s="378"/>
      <c r="L516" s="378"/>
      <c r="M516" s="240">
        <v>492</v>
      </c>
      <c r="N516" s="240">
        <v>0</v>
      </c>
      <c r="O516" s="164">
        <v>0</v>
      </c>
      <c r="P516" s="164">
        <v>0</v>
      </c>
      <c r="Q516" s="240">
        <v>0</v>
      </c>
      <c r="R516" s="240">
        <v>0</v>
      </c>
      <c r="S516" s="240">
        <v>0</v>
      </c>
      <c r="T516" s="240">
        <v>0</v>
      </c>
      <c r="U516" s="240">
        <v>0</v>
      </c>
    </row>
    <row r="517" spans="2:21" ht="24" customHeight="1">
      <c r="B517" s="1" t="s">
        <v>904</v>
      </c>
      <c r="C517" s="89"/>
      <c r="D517" s="89"/>
      <c r="E517" s="1" t="s">
        <v>762</v>
      </c>
      <c r="F517" s="89"/>
      <c r="G517" s="89"/>
      <c r="H517" s="89"/>
      <c r="I517" s="89"/>
      <c r="J517" s="89"/>
      <c r="K517" s="89"/>
      <c r="L517" s="89"/>
      <c r="M517" s="240">
        <v>87</v>
      </c>
      <c r="N517" s="240">
        <v>666</v>
      </c>
      <c r="O517" s="164">
        <v>0</v>
      </c>
      <c r="P517" s="164">
        <v>0</v>
      </c>
      <c r="Q517" s="208">
        <v>0</v>
      </c>
      <c r="R517" s="208">
        <v>0</v>
      </c>
      <c r="S517" s="208">
        <v>0</v>
      </c>
      <c r="T517" s="208">
        <v>0</v>
      </c>
      <c r="U517" s="208">
        <v>0</v>
      </c>
    </row>
    <row r="518" spans="2:21" ht="24" customHeight="1">
      <c r="B518" s="1" t="s">
        <v>905</v>
      </c>
      <c r="C518" s="89"/>
      <c r="D518" s="89"/>
      <c r="E518" s="1" t="s">
        <v>760</v>
      </c>
      <c r="F518" s="89"/>
      <c r="G518" s="89"/>
      <c r="H518" s="89"/>
      <c r="I518" s="89"/>
      <c r="J518" s="89"/>
      <c r="K518" s="89"/>
      <c r="L518" s="89"/>
      <c r="M518" s="228">
        <v>39</v>
      </c>
      <c r="N518" s="228">
        <v>665</v>
      </c>
      <c r="O518" s="165">
        <v>1000</v>
      </c>
      <c r="P518" s="165">
        <v>0</v>
      </c>
      <c r="Q518" s="223">
        <v>500</v>
      </c>
      <c r="R518" s="223">
        <v>500</v>
      </c>
      <c r="S518" s="223">
        <v>500</v>
      </c>
      <c r="T518" s="223">
        <v>500</v>
      </c>
      <c r="U518" s="223">
        <v>500</v>
      </c>
    </row>
    <row r="519" spans="2:21" ht="24" customHeight="1">
      <c r="B519" s="1" t="s">
        <v>980</v>
      </c>
      <c r="C519" s="89"/>
      <c r="D519" s="89"/>
      <c r="E519" s="1" t="s">
        <v>981</v>
      </c>
      <c r="F519" s="89"/>
      <c r="G519" s="89"/>
      <c r="H519" s="89"/>
      <c r="I519" s="89"/>
      <c r="J519" s="89"/>
      <c r="K519" s="89"/>
      <c r="L519" s="89"/>
      <c r="M519" s="385">
        <v>27</v>
      </c>
      <c r="N519" s="385">
        <v>589</v>
      </c>
      <c r="O519" s="170">
        <v>0</v>
      </c>
      <c r="P519" s="170">
        <v>0</v>
      </c>
      <c r="Q519" s="230">
        <v>0</v>
      </c>
      <c r="R519" s="230">
        <v>0</v>
      </c>
      <c r="S519" s="230">
        <v>0</v>
      </c>
      <c r="T519" s="230">
        <v>0</v>
      </c>
      <c r="U519" s="230">
        <v>0</v>
      </c>
    </row>
    <row r="520" spans="2:21" ht="24" customHeight="1">
      <c r="B520" s="689" t="s">
        <v>1220</v>
      </c>
      <c r="C520" s="689"/>
      <c r="D520" s="689"/>
      <c r="E520" s="689"/>
      <c r="F520" s="689"/>
      <c r="G520" s="689"/>
      <c r="H520" s="689"/>
      <c r="I520" s="689"/>
      <c r="J520" s="689"/>
      <c r="K520" s="689"/>
      <c r="L520" s="689"/>
      <c r="M520" s="410">
        <f t="shared" ref="M520:U520" si="56">SUM(M497:M519)</f>
        <v>515183</v>
      </c>
      <c r="N520" s="410">
        <f t="shared" si="56"/>
        <v>1524793</v>
      </c>
      <c r="O520" s="407">
        <f t="shared" si="56"/>
        <v>547226</v>
      </c>
      <c r="P520" s="407">
        <f t="shared" si="56"/>
        <v>585479</v>
      </c>
      <c r="Q520" s="410">
        <f t="shared" si="56"/>
        <v>1053870</v>
      </c>
      <c r="R520" s="410">
        <f t="shared" si="56"/>
        <v>1079745</v>
      </c>
      <c r="S520" s="410">
        <f t="shared" si="56"/>
        <v>1067898</v>
      </c>
      <c r="T520" s="410">
        <f t="shared" si="56"/>
        <v>1127353</v>
      </c>
      <c r="U520" s="410">
        <f t="shared" si="56"/>
        <v>1070106</v>
      </c>
    </row>
    <row r="521" spans="2:21" ht="6.9" customHeight="1">
      <c r="B521" s="468"/>
      <c r="C521" s="470"/>
      <c r="D521" s="470"/>
      <c r="E521" s="468"/>
      <c r="F521" s="470"/>
      <c r="G521" s="470"/>
      <c r="H521" s="470"/>
      <c r="I521" s="470"/>
      <c r="J521" s="470"/>
      <c r="K521" s="470"/>
      <c r="L521" s="470"/>
      <c r="M521" s="222"/>
      <c r="N521" s="228"/>
      <c r="O521" s="165"/>
      <c r="P521" s="165"/>
      <c r="Q521" s="223"/>
      <c r="R521" s="223"/>
      <c r="S521" s="223"/>
      <c r="T521" s="223"/>
      <c r="U521" s="223"/>
    </row>
    <row r="522" spans="2:21" ht="24" customHeight="1">
      <c r="B522" s="320" t="s">
        <v>1135</v>
      </c>
      <c r="C522" s="321"/>
      <c r="D522" s="321"/>
      <c r="E522" s="320" t="s">
        <v>1136</v>
      </c>
      <c r="F522" s="321"/>
      <c r="G522" s="321"/>
      <c r="H522" s="321"/>
      <c r="I522" s="321"/>
      <c r="J522" s="321"/>
      <c r="K522" s="321"/>
      <c r="L522" s="321"/>
      <c r="M522" s="228">
        <v>548273</v>
      </c>
      <c r="N522" s="228">
        <v>0</v>
      </c>
      <c r="O522" s="165">
        <v>0</v>
      </c>
      <c r="P522" s="165">
        <v>0</v>
      </c>
      <c r="Q522" s="223">
        <v>0</v>
      </c>
      <c r="R522" s="223">
        <v>0</v>
      </c>
      <c r="S522" s="223">
        <v>0</v>
      </c>
      <c r="T522" s="223">
        <v>0</v>
      </c>
      <c r="U522" s="223">
        <v>0</v>
      </c>
    </row>
    <row r="523" spans="2:21" ht="24" customHeight="1">
      <c r="B523" s="328" t="s">
        <v>1146</v>
      </c>
      <c r="C523" s="329"/>
      <c r="D523" s="329"/>
      <c r="E523" s="328" t="s">
        <v>1147</v>
      </c>
      <c r="F523" s="329"/>
      <c r="G523" s="329"/>
      <c r="H523" s="329"/>
      <c r="I523" s="329"/>
      <c r="J523" s="329"/>
      <c r="K523" s="329"/>
      <c r="L523" s="329"/>
      <c r="M523" s="228">
        <v>450</v>
      </c>
      <c r="N523" s="228">
        <v>0</v>
      </c>
      <c r="O523" s="165">
        <v>0</v>
      </c>
      <c r="P523" s="165">
        <v>0</v>
      </c>
      <c r="Q523" s="223">
        <v>0</v>
      </c>
      <c r="R523" s="223">
        <v>0</v>
      </c>
      <c r="S523" s="223">
        <v>0</v>
      </c>
      <c r="T523" s="223">
        <v>0</v>
      </c>
      <c r="U523" s="223">
        <v>0</v>
      </c>
    </row>
    <row r="524" spans="2:21" ht="24" customHeight="1">
      <c r="B524" s="1" t="s">
        <v>906</v>
      </c>
      <c r="C524" s="89"/>
      <c r="D524" s="89"/>
      <c r="E524" s="1" t="s">
        <v>845</v>
      </c>
      <c r="F524" s="89"/>
      <c r="G524" s="89"/>
      <c r="H524" s="89"/>
      <c r="I524" s="89"/>
      <c r="J524" s="89"/>
      <c r="K524" s="89"/>
      <c r="L524" s="89"/>
      <c r="M524" s="240">
        <f>4518+730+3275</f>
        <v>8523</v>
      </c>
      <c r="N524" s="240">
        <v>8015</v>
      </c>
      <c r="O524" s="164">
        <v>0</v>
      </c>
      <c r="P524" s="164">
        <v>695</v>
      </c>
      <c r="Q524" s="240">
        <v>0</v>
      </c>
      <c r="R524" s="240">
        <v>0</v>
      </c>
      <c r="S524" s="240">
        <v>0</v>
      </c>
      <c r="T524" s="240">
        <v>0</v>
      </c>
      <c r="U524" s="240">
        <v>0</v>
      </c>
    </row>
    <row r="525" spans="2:21" ht="24" customHeight="1">
      <c r="B525" s="1" t="s">
        <v>907</v>
      </c>
      <c r="C525" s="89"/>
      <c r="D525" s="89"/>
      <c r="E525" s="1" t="s">
        <v>855</v>
      </c>
      <c r="F525" s="89"/>
      <c r="G525" s="89"/>
      <c r="H525" s="89"/>
      <c r="I525" s="89"/>
      <c r="J525" s="89"/>
      <c r="K525" s="89"/>
      <c r="L525" s="89"/>
      <c r="M525" s="240">
        <v>1300</v>
      </c>
      <c r="N525" s="240">
        <v>0</v>
      </c>
      <c r="O525" s="164">
        <v>0</v>
      </c>
      <c r="P525" s="164">
        <v>30903</v>
      </c>
      <c r="Q525" s="208">
        <f>40000+10000+500+1500</f>
        <v>52000</v>
      </c>
      <c r="R525" s="240">
        <v>0</v>
      </c>
      <c r="S525" s="240">
        <v>0</v>
      </c>
      <c r="T525" s="240">
        <v>0</v>
      </c>
      <c r="U525" s="240">
        <v>0</v>
      </c>
    </row>
    <row r="526" spans="2:21" ht="24" customHeight="1">
      <c r="B526" s="1" t="s">
        <v>967</v>
      </c>
      <c r="C526" s="89"/>
      <c r="D526" s="89"/>
      <c r="E526" s="1" t="s">
        <v>968</v>
      </c>
      <c r="F526" s="89"/>
      <c r="G526" s="89"/>
      <c r="H526" s="89"/>
      <c r="I526" s="89"/>
      <c r="J526" s="89"/>
      <c r="K526" s="89"/>
      <c r="L526" s="89"/>
      <c r="M526" s="240">
        <v>450</v>
      </c>
      <c r="N526" s="240">
        <v>5912</v>
      </c>
      <c r="O526" s="164">
        <v>0</v>
      </c>
      <c r="P526" s="164">
        <v>4000</v>
      </c>
      <c r="Q526" s="208">
        <v>0</v>
      </c>
      <c r="R526" s="240">
        <v>0</v>
      </c>
      <c r="S526" s="240">
        <v>0</v>
      </c>
      <c r="T526" s="240">
        <v>0</v>
      </c>
      <c r="U526" s="240">
        <v>0</v>
      </c>
    </row>
    <row r="527" spans="2:21" ht="24" customHeight="1">
      <c r="B527" s="628" t="s">
        <v>1430</v>
      </c>
      <c r="C527" s="630"/>
      <c r="D527" s="630"/>
      <c r="E527" s="628" t="s">
        <v>1431</v>
      </c>
      <c r="F527" s="630"/>
      <c r="G527" s="630"/>
      <c r="H527" s="630"/>
      <c r="I527" s="630"/>
      <c r="J527" s="630"/>
      <c r="K527" s="630"/>
      <c r="L527" s="630"/>
      <c r="M527" s="261">
        <f t="shared" ref="M527:U527" si="57">M851</f>
        <v>0</v>
      </c>
      <c r="N527" s="261">
        <f t="shared" si="57"/>
        <v>0</v>
      </c>
      <c r="O527" s="167">
        <f t="shared" si="57"/>
        <v>0</v>
      </c>
      <c r="P527" s="167">
        <f t="shared" si="57"/>
        <v>32267</v>
      </c>
      <c r="Q527" s="225">
        <f t="shared" si="57"/>
        <v>0</v>
      </c>
      <c r="R527" s="225">
        <f t="shared" si="57"/>
        <v>0</v>
      </c>
      <c r="S527" s="225">
        <f t="shared" si="57"/>
        <v>0</v>
      </c>
      <c r="T527" s="225">
        <f t="shared" si="57"/>
        <v>0</v>
      </c>
      <c r="U527" s="225">
        <f t="shared" si="57"/>
        <v>0</v>
      </c>
    </row>
    <row r="528" spans="2:21" ht="24" customHeight="1">
      <c r="B528" s="689" t="s">
        <v>592</v>
      </c>
      <c r="C528" s="689"/>
      <c r="D528" s="689"/>
      <c r="E528" s="689"/>
      <c r="F528" s="689"/>
      <c r="G528" s="689"/>
      <c r="H528" s="689"/>
      <c r="I528" s="689"/>
      <c r="J528" s="689"/>
      <c r="K528" s="689"/>
      <c r="L528" s="689"/>
      <c r="M528" s="410">
        <f t="shared" ref="M528:U528" si="58">SUM(M522:M527)</f>
        <v>558996</v>
      </c>
      <c r="N528" s="410">
        <f t="shared" si="58"/>
        <v>13927</v>
      </c>
      <c r="O528" s="407">
        <f t="shared" si="58"/>
        <v>0</v>
      </c>
      <c r="P528" s="407">
        <f t="shared" si="58"/>
        <v>67865</v>
      </c>
      <c r="Q528" s="410">
        <f t="shared" si="58"/>
        <v>52000</v>
      </c>
      <c r="R528" s="410">
        <f t="shared" si="58"/>
        <v>0</v>
      </c>
      <c r="S528" s="410">
        <f t="shared" si="58"/>
        <v>0</v>
      </c>
      <c r="T528" s="410">
        <f t="shared" si="58"/>
        <v>0</v>
      </c>
      <c r="U528" s="410">
        <f t="shared" si="58"/>
        <v>0</v>
      </c>
    </row>
    <row r="529" spans="1:21" ht="15" customHeight="1">
      <c r="B529" s="89"/>
      <c r="C529" s="89"/>
      <c r="D529" s="89"/>
      <c r="E529" s="89"/>
      <c r="F529" s="89"/>
      <c r="G529" s="89"/>
      <c r="H529" s="89"/>
      <c r="I529" s="89"/>
      <c r="J529" s="89"/>
      <c r="K529" s="89"/>
      <c r="L529" s="89"/>
      <c r="M529" s="226"/>
      <c r="N529" s="226"/>
      <c r="O529" s="168"/>
      <c r="P529" s="168"/>
      <c r="Q529" s="219"/>
      <c r="R529" s="219"/>
      <c r="S529" s="219"/>
      <c r="T529" s="219"/>
      <c r="U529" s="219"/>
    </row>
    <row r="530" spans="1:21" s="89" customFormat="1" ht="24" customHeight="1">
      <c r="A530" s="576"/>
      <c r="B530" s="715" t="s">
        <v>1247</v>
      </c>
      <c r="C530" s="715"/>
      <c r="D530" s="715"/>
      <c r="E530" s="715"/>
      <c r="F530" s="715"/>
      <c r="G530" s="715"/>
      <c r="H530" s="715"/>
      <c r="I530" s="715"/>
      <c r="J530" s="715"/>
      <c r="K530" s="715"/>
      <c r="L530" s="715"/>
      <c r="M530" s="408">
        <f t="shared" ref="M530:U530" si="59">M520+M528</f>
        <v>1074179</v>
      </c>
      <c r="N530" s="408">
        <f t="shared" si="59"/>
        <v>1538720</v>
      </c>
      <c r="O530" s="409">
        <f t="shared" si="59"/>
        <v>547226</v>
      </c>
      <c r="P530" s="409">
        <f t="shared" si="59"/>
        <v>653344</v>
      </c>
      <c r="Q530" s="408">
        <f t="shared" si="59"/>
        <v>1105870</v>
      </c>
      <c r="R530" s="408">
        <f t="shared" si="59"/>
        <v>1079745</v>
      </c>
      <c r="S530" s="408">
        <f t="shared" si="59"/>
        <v>1067898</v>
      </c>
      <c r="T530" s="408">
        <f t="shared" si="59"/>
        <v>1127353</v>
      </c>
      <c r="U530" s="408">
        <f t="shared" si="59"/>
        <v>1070106</v>
      </c>
    </row>
    <row r="531" spans="1:21" ht="15" customHeight="1">
      <c r="B531" s="89"/>
      <c r="C531" s="89"/>
      <c r="D531" s="89"/>
      <c r="E531" s="89"/>
      <c r="F531" s="89"/>
      <c r="G531" s="89"/>
      <c r="H531" s="89"/>
      <c r="I531" s="89"/>
      <c r="J531" s="89"/>
      <c r="K531" s="89"/>
      <c r="L531" s="89"/>
      <c r="M531" s="226"/>
      <c r="N531" s="226"/>
      <c r="O531" s="168"/>
      <c r="P531" s="168"/>
      <c r="Q531" s="219"/>
      <c r="R531" s="219"/>
      <c r="S531" s="219"/>
      <c r="T531" s="219"/>
      <c r="U531" s="219"/>
    </row>
    <row r="532" spans="1:21" ht="24" customHeight="1">
      <c r="B532" s="98" t="s">
        <v>571</v>
      </c>
      <c r="C532" s="89"/>
      <c r="D532" s="89"/>
      <c r="E532" s="89"/>
      <c r="F532" s="89"/>
      <c r="G532" s="89"/>
      <c r="H532" s="89"/>
      <c r="I532" s="89"/>
      <c r="J532" s="89"/>
      <c r="K532" s="89"/>
      <c r="L532" s="89"/>
      <c r="M532" s="226"/>
      <c r="N532" s="226"/>
      <c r="O532" s="168"/>
      <c r="P532" s="168"/>
      <c r="Q532" s="219"/>
      <c r="R532" s="219"/>
      <c r="S532" s="219"/>
      <c r="T532" s="219"/>
      <c r="U532" s="219"/>
    </row>
    <row r="533" spans="1:21" ht="24" customHeight="1">
      <c r="B533" s="621" t="s">
        <v>1425</v>
      </c>
      <c r="C533" s="620"/>
      <c r="D533" s="620"/>
      <c r="E533" s="621" t="s">
        <v>81</v>
      </c>
      <c r="F533" s="620"/>
      <c r="G533" s="620"/>
      <c r="H533" s="620"/>
      <c r="I533" s="620"/>
      <c r="J533" s="620"/>
      <c r="K533" s="620"/>
      <c r="L533" s="620"/>
      <c r="M533" s="437">
        <v>0</v>
      </c>
      <c r="N533" s="437">
        <v>0</v>
      </c>
      <c r="O533" s="450">
        <v>0</v>
      </c>
      <c r="P533" s="450">
        <v>0</v>
      </c>
      <c r="Q533" s="437">
        <v>45000</v>
      </c>
      <c r="R533" s="437">
        <f>ROUND((30000*(9/12))+((30000)*(3/12)),0)</f>
        <v>30000</v>
      </c>
      <c r="S533" s="437">
        <f>ROUND((30000*(9/12))+((30000)*(3/12)),0)</f>
        <v>30000</v>
      </c>
      <c r="T533" s="437">
        <f>ROUND((30000*(9/12))+((30000)*(3/12)),0)</f>
        <v>30000</v>
      </c>
      <c r="U533" s="437">
        <v>40000</v>
      </c>
    </row>
    <row r="534" spans="1:21" ht="24" customHeight="1">
      <c r="B534" s="1" t="s">
        <v>733</v>
      </c>
      <c r="C534" s="95"/>
      <c r="D534" s="95"/>
      <c r="E534" s="1" t="s">
        <v>832</v>
      </c>
      <c r="F534" s="95"/>
      <c r="G534" s="95"/>
      <c r="H534" s="95"/>
      <c r="I534" s="95"/>
      <c r="J534" s="95"/>
      <c r="K534" s="95"/>
      <c r="L534" s="95"/>
      <c r="M534" s="624">
        <v>4289</v>
      </c>
      <c r="N534" s="624">
        <v>457</v>
      </c>
      <c r="O534" s="625">
        <v>8750</v>
      </c>
      <c r="P534" s="625">
        <f>8750</f>
        <v>8750</v>
      </c>
      <c r="Q534" s="624">
        <v>8750</v>
      </c>
      <c r="R534" s="624">
        <v>8750</v>
      </c>
      <c r="S534" s="624">
        <v>8750</v>
      </c>
      <c r="T534" s="624">
        <v>8750</v>
      </c>
      <c r="U534" s="624">
        <v>8750</v>
      </c>
    </row>
    <row r="535" spans="1:21" ht="24" customHeight="1">
      <c r="B535" s="304" t="s">
        <v>734</v>
      </c>
      <c r="C535" s="97"/>
      <c r="D535" s="97"/>
      <c r="E535" s="1" t="s">
        <v>245</v>
      </c>
      <c r="F535" s="97"/>
      <c r="G535" s="97"/>
      <c r="H535" s="97"/>
      <c r="I535" s="97"/>
      <c r="J535" s="97"/>
      <c r="K535" s="97"/>
      <c r="L535" s="97"/>
      <c r="M535" s="240">
        <v>0</v>
      </c>
      <c r="N535" s="240">
        <v>44320</v>
      </c>
      <c r="O535" s="164">
        <v>50000</v>
      </c>
      <c r="P535" s="164">
        <v>0</v>
      </c>
      <c r="Q535" s="240">
        <v>20000</v>
      </c>
      <c r="R535" s="240">
        <v>20000</v>
      </c>
      <c r="S535" s="240">
        <v>0</v>
      </c>
      <c r="T535" s="240">
        <v>0</v>
      </c>
      <c r="U535" s="240">
        <v>0</v>
      </c>
    </row>
    <row r="536" spans="1:21" ht="24" customHeight="1">
      <c r="B536" s="304" t="s">
        <v>735</v>
      </c>
      <c r="C536" s="97"/>
      <c r="D536" s="97"/>
      <c r="E536" s="690" t="s">
        <v>246</v>
      </c>
      <c r="F536" s="690"/>
      <c r="G536" s="690"/>
      <c r="H536" s="690"/>
      <c r="I536" s="690"/>
      <c r="J536" s="690"/>
      <c r="K536" s="690"/>
      <c r="L536" s="690"/>
      <c r="M536" s="261">
        <f>57152+2550</f>
        <v>59702</v>
      </c>
      <c r="N536" s="261">
        <v>113782</v>
      </c>
      <c r="O536" s="167">
        <v>260000</v>
      </c>
      <c r="P536" s="167">
        <v>120259</v>
      </c>
      <c r="Q536" s="261">
        <f>60000+60000+60000</f>
        <v>180000</v>
      </c>
      <c r="R536" s="261">
        <f>63000+63000+63000</f>
        <v>189000</v>
      </c>
      <c r="S536" s="261">
        <f>64800+64800+64800</f>
        <v>194400</v>
      </c>
      <c r="T536" s="261">
        <f>66900+66900+66900</f>
        <v>200700</v>
      </c>
      <c r="U536" s="261">
        <f>68850+68850+68850</f>
        <v>206550</v>
      </c>
    </row>
    <row r="537" spans="1:21" s="89" customFormat="1" ht="24" customHeight="1">
      <c r="A537" s="576"/>
      <c r="B537" s="689" t="s">
        <v>747</v>
      </c>
      <c r="C537" s="689"/>
      <c r="D537" s="689"/>
      <c r="E537" s="689"/>
      <c r="F537" s="689"/>
      <c r="G537" s="689"/>
      <c r="H537" s="689"/>
      <c r="I537" s="689"/>
      <c r="J537" s="689"/>
      <c r="K537" s="689"/>
      <c r="L537" s="689"/>
      <c r="M537" s="408">
        <f t="shared" ref="M537:U537" si="60">SUM(M533:M536)</f>
        <v>63991</v>
      </c>
      <c r="N537" s="408">
        <f t="shared" si="60"/>
        <v>158559</v>
      </c>
      <c r="O537" s="409">
        <f t="shared" si="60"/>
        <v>318750</v>
      </c>
      <c r="P537" s="409">
        <f t="shared" si="60"/>
        <v>129009</v>
      </c>
      <c r="Q537" s="408">
        <f t="shared" si="60"/>
        <v>253750</v>
      </c>
      <c r="R537" s="408">
        <f t="shared" si="60"/>
        <v>247750</v>
      </c>
      <c r="S537" s="408">
        <f t="shared" si="60"/>
        <v>233150</v>
      </c>
      <c r="T537" s="408">
        <f t="shared" si="60"/>
        <v>239450</v>
      </c>
      <c r="U537" s="408">
        <f t="shared" si="60"/>
        <v>255300</v>
      </c>
    </row>
    <row r="538" spans="1:21" ht="15" customHeight="1">
      <c r="B538" s="89"/>
      <c r="C538" s="89"/>
      <c r="D538" s="89"/>
      <c r="E538" s="89"/>
      <c r="F538" s="89"/>
      <c r="G538" s="89"/>
      <c r="H538" s="89"/>
      <c r="I538" s="89"/>
      <c r="J538" s="89"/>
      <c r="K538" s="89"/>
      <c r="L538" s="89"/>
      <c r="M538" s="242"/>
      <c r="N538" s="242"/>
      <c r="O538" s="191"/>
      <c r="P538" s="191"/>
      <c r="Q538" s="260"/>
      <c r="R538" s="260"/>
      <c r="S538" s="260"/>
      <c r="T538" s="260"/>
      <c r="U538" s="260"/>
    </row>
    <row r="539" spans="1:21" ht="24" customHeight="1">
      <c r="B539" s="98" t="s">
        <v>1035</v>
      </c>
      <c r="C539" s="89"/>
      <c r="D539" s="89"/>
      <c r="E539" s="89"/>
      <c r="F539" s="89"/>
      <c r="G539" s="89"/>
      <c r="H539" s="89"/>
      <c r="I539" s="89"/>
      <c r="J539" s="89"/>
      <c r="K539" s="89"/>
      <c r="L539" s="89"/>
      <c r="M539" s="242"/>
      <c r="N539" s="242"/>
      <c r="O539" s="191"/>
      <c r="P539" s="191"/>
      <c r="Q539" s="260"/>
      <c r="R539" s="260"/>
      <c r="S539" s="260"/>
      <c r="T539" s="260"/>
      <c r="U539" s="260"/>
    </row>
    <row r="540" spans="1:21" ht="24" customHeight="1">
      <c r="B540" s="1" t="s">
        <v>1061</v>
      </c>
      <c r="C540" s="95"/>
      <c r="D540" s="95"/>
      <c r="E540" s="1" t="s">
        <v>218</v>
      </c>
      <c r="F540" s="95"/>
      <c r="G540" s="95"/>
      <c r="H540" s="95"/>
      <c r="I540" s="95"/>
      <c r="J540" s="95"/>
      <c r="K540" s="95"/>
      <c r="L540" s="95"/>
      <c r="M540" s="429">
        <v>66720</v>
      </c>
      <c r="N540" s="429">
        <v>3643</v>
      </c>
      <c r="O540" s="428">
        <v>12232</v>
      </c>
      <c r="P540" s="428">
        <f t="shared" ref="P540:U540" si="61">P511</f>
        <v>12232</v>
      </c>
      <c r="Q540" s="429">
        <f t="shared" si="61"/>
        <v>86983</v>
      </c>
      <c r="R540" s="429">
        <f t="shared" si="61"/>
        <v>13122</v>
      </c>
      <c r="S540" s="429">
        <f t="shared" si="61"/>
        <v>20328</v>
      </c>
      <c r="T540" s="429">
        <f t="shared" si="61"/>
        <v>88483</v>
      </c>
      <c r="U540" s="429">
        <f t="shared" si="61"/>
        <v>15386</v>
      </c>
    </row>
    <row r="541" spans="1:21" ht="24" customHeight="1">
      <c r="B541" s="1" t="s">
        <v>1062</v>
      </c>
      <c r="C541" s="97"/>
      <c r="D541" s="97"/>
      <c r="E541" s="690" t="s">
        <v>246</v>
      </c>
      <c r="F541" s="690"/>
      <c r="G541" s="690"/>
      <c r="H541" s="690"/>
      <c r="I541" s="690"/>
      <c r="J541" s="690"/>
      <c r="K541" s="690"/>
      <c r="L541" s="690"/>
      <c r="M541" s="261">
        <v>0</v>
      </c>
      <c r="N541" s="261">
        <v>0</v>
      </c>
      <c r="O541" s="167">
        <v>31000</v>
      </c>
      <c r="P541" s="167">
        <v>110095</v>
      </c>
      <c r="Q541" s="225">
        <v>0</v>
      </c>
      <c r="R541" s="225">
        <v>0</v>
      </c>
      <c r="S541" s="225">
        <v>0</v>
      </c>
      <c r="T541" s="225">
        <v>0</v>
      </c>
      <c r="U541" s="225">
        <v>0</v>
      </c>
    </row>
    <row r="542" spans="1:21" ht="24" customHeight="1">
      <c r="B542" s="689" t="s">
        <v>1064</v>
      </c>
      <c r="C542" s="689"/>
      <c r="D542" s="689"/>
      <c r="E542" s="689"/>
      <c r="F542" s="689"/>
      <c r="G542" s="689"/>
      <c r="H542" s="689"/>
      <c r="I542" s="689"/>
      <c r="J542" s="689"/>
      <c r="K542" s="689"/>
      <c r="L542" s="689"/>
      <c r="M542" s="408">
        <f>SUM(M540:M541)</f>
        <v>66720</v>
      </c>
      <c r="N542" s="408">
        <f t="shared" ref="N542:U542" si="62">SUM(N540:N541)</f>
        <v>3643</v>
      </c>
      <c r="O542" s="409">
        <f t="shared" si="62"/>
        <v>43232</v>
      </c>
      <c r="P542" s="409">
        <f t="shared" si="62"/>
        <v>122327</v>
      </c>
      <c r="Q542" s="408">
        <f t="shared" si="62"/>
        <v>86983</v>
      </c>
      <c r="R542" s="408">
        <f t="shared" si="62"/>
        <v>13122</v>
      </c>
      <c r="S542" s="408">
        <f t="shared" si="62"/>
        <v>20328</v>
      </c>
      <c r="T542" s="408">
        <f t="shared" si="62"/>
        <v>88483</v>
      </c>
      <c r="U542" s="408">
        <f t="shared" si="62"/>
        <v>15386</v>
      </c>
    </row>
    <row r="543" spans="1:21" ht="15" customHeight="1">
      <c r="B543" s="89"/>
      <c r="C543" s="89"/>
      <c r="D543" s="89"/>
      <c r="E543" s="89"/>
      <c r="F543" s="89"/>
      <c r="G543" s="89"/>
      <c r="H543" s="89"/>
      <c r="I543" s="89"/>
      <c r="J543" s="89"/>
      <c r="K543" s="89"/>
      <c r="L543" s="89"/>
      <c r="M543" s="242"/>
      <c r="N543" s="242"/>
      <c r="O543" s="191"/>
      <c r="P543" s="191"/>
      <c r="Q543" s="260"/>
      <c r="R543" s="260"/>
      <c r="S543" s="260"/>
      <c r="T543" s="260"/>
      <c r="U543" s="260"/>
    </row>
    <row r="544" spans="1:21" ht="24" customHeight="1">
      <c r="B544" s="98" t="s">
        <v>647</v>
      </c>
      <c r="C544" s="89"/>
      <c r="D544" s="89"/>
      <c r="E544" s="89"/>
      <c r="F544" s="89"/>
      <c r="G544" s="89"/>
      <c r="H544" s="89"/>
      <c r="I544" s="89"/>
      <c r="J544" s="89"/>
      <c r="K544" s="89"/>
      <c r="L544" s="89"/>
      <c r="M544" s="242"/>
      <c r="N544" s="242"/>
      <c r="O544" s="191"/>
      <c r="P544" s="191"/>
      <c r="Q544" s="260"/>
      <c r="R544" s="260"/>
      <c r="S544" s="260"/>
      <c r="T544" s="260"/>
      <c r="U544" s="260"/>
    </row>
    <row r="545" spans="1:21" ht="24" customHeight="1">
      <c r="B545" s="1" t="s">
        <v>736</v>
      </c>
      <c r="C545" s="95"/>
      <c r="D545" s="95"/>
      <c r="E545" s="1" t="s">
        <v>49</v>
      </c>
      <c r="F545" s="95"/>
      <c r="G545" s="95"/>
      <c r="H545" s="95"/>
      <c r="I545" s="95"/>
      <c r="J545" s="95"/>
      <c r="K545" s="95"/>
      <c r="L545" s="95"/>
      <c r="M545" s="404">
        <v>580</v>
      </c>
      <c r="N545" s="404">
        <v>469</v>
      </c>
      <c r="O545" s="405">
        <v>750</v>
      </c>
      <c r="P545" s="405">
        <v>750</v>
      </c>
      <c r="Q545" s="414">
        <v>750</v>
      </c>
      <c r="R545" s="414">
        <v>750</v>
      </c>
      <c r="S545" s="414">
        <v>750</v>
      </c>
      <c r="T545" s="414">
        <v>750</v>
      </c>
      <c r="U545" s="414">
        <v>750</v>
      </c>
    </row>
    <row r="546" spans="1:21" ht="24" customHeight="1">
      <c r="B546" s="1" t="s">
        <v>737</v>
      </c>
      <c r="C546" s="95"/>
      <c r="D546" s="95"/>
      <c r="E546" s="1" t="s">
        <v>12</v>
      </c>
      <c r="F546" s="95"/>
      <c r="G546" s="95"/>
      <c r="H546" s="95"/>
      <c r="I546" s="95"/>
      <c r="J546" s="95"/>
      <c r="K546" s="95"/>
      <c r="L546" s="95"/>
      <c r="M546" s="308">
        <v>0</v>
      </c>
      <c r="N546" s="308">
        <v>0</v>
      </c>
      <c r="O546" s="172">
        <v>1000</v>
      </c>
      <c r="P546" s="172">
        <f t="shared" ref="P546:U546" si="63">P518</f>
        <v>0</v>
      </c>
      <c r="Q546" s="234">
        <f t="shared" si="63"/>
        <v>500</v>
      </c>
      <c r="R546" s="234">
        <f t="shared" si="63"/>
        <v>500</v>
      </c>
      <c r="S546" s="234">
        <f t="shared" si="63"/>
        <v>500</v>
      </c>
      <c r="T546" s="234">
        <f t="shared" si="63"/>
        <v>500</v>
      </c>
      <c r="U546" s="234">
        <f t="shared" si="63"/>
        <v>500</v>
      </c>
    </row>
    <row r="547" spans="1:21" ht="24" customHeight="1">
      <c r="B547" s="304" t="s">
        <v>738</v>
      </c>
      <c r="C547" s="97"/>
      <c r="D547" s="97"/>
      <c r="E547" s="1" t="s">
        <v>245</v>
      </c>
      <c r="F547" s="97"/>
      <c r="G547" s="97"/>
      <c r="H547" s="97"/>
      <c r="I547" s="97"/>
      <c r="J547" s="97"/>
      <c r="K547" s="97"/>
      <c r="L547" s="97"/>
      <c r="M547" s="240">
        <v>0</v>
      </c>
      <c r="N547" s="240">
        <v>63986</v>
      </c>
      <c r="O547" s="164">
        <v>15000</v>
      </c>
      <c r="P547" s="164">
        <f>45477-3000+10786+14752+16114+21219+2000+8147+8147+8147+8147</f>
        <v>139936</v>
      </c>
      <c r="Q547" s="240">
        <f>60000+8500+15000+15000+95000+15000+25000+9000+16300+8000+173140</f>
        <v>439940</v>
      </c>
      <c r="R547" s="240">
        <v>100000</v>
      </c>
      <c r="S547" s="240">
        <v>100000</v>
      </c>
      <c r="T547" s="240">
        <v>100000</v>
      </c>
      <c r="U547" s="240">
        <v>100000</v>
      </c>
    </row>
    <row r="548" spans="1:21" ht="24" customHeight="1">
      <c r="B548" s="304" t="s">
        <v>739</v>
      </c>
      <c r="C548" s="97"/>
      <c r="D548" s="97"/>
      <c r="E548" s="690" t="s">
        <v>246</v>
      </c>
      <c r="F548" s="690"/>
      <c r="G548" s="690"/>
      <c r="H548" s="690"/>
      <c r="I548" s="690"/>
      <c r="J548" s="690"/>
      <c r="K548" s="690"/>
      <c r="L548" s="690"/>
      <c r="M548" s="240">
        <v>201110</v>
      </c>
      <c r="N548" s="240">
        <v>99369</v>
      </c>
      <c r="O548" s="164">
        <v>911000</v>
      </c>
      <c r="P548" s="164">
        <f>130348-8147-8147</f>
        <v>114054</v>
      </c>
      <c r="Q548" s="240">
        <v>786474</v>
      </c>
      <c r="R548" s="240">
        <v>300000</v>
      </c>
      <c r="S548" s="240">
        <v>300000</v>
      </c>
      <c r="T548" s="240">
        <v>300000</v>
      </c>
      <c r="U548" s="240">
        <v>300000</v>
      </c>
    </row>
    <row r="549" spans="1:21" ht="24" customHeight="1">
      <c r="B549" s="121" t="s">
        <v>754</v>
      </c>
      <c r="C549" s="97"/>
      <c r="D549" s="97"/>
      <c r="E549" s="1"/>
      <c r="F549" s="97"/>
      <c r="G549" s="97"/>
      <c r="H549" s="97"/>
      <c r="I549" s="97"/>
      <c r="J549" s="97"/>
      <c r="K549" s="97"/>
      <c r="M549" s="240"/>
      <c r="N549" s="240"/>
      <c r="O549" s="164"/>
      <c r="P549" s="164"/>
      <c r="Q549" s="208"/>
      <c r="R549" s="208"/>
      <c r="S549" s="208"/>
      <c r="T549" s="208"/>
      <c r="U549" s="208"/>
    </row>
    <row r="550" spans="1:21" ht="24" customHeight="1">
      <c r="B550" s="1" t="s">
        <v>740</v>
      </c>
      <c r="C550" s="97"/>
      <c r="D550" s="97"/>
      <c r="E550" s="1" t="s">
        <v>798</v>
      </c>
      <c r="F550" s="97"/>
      <c r="G550" s="97"/>
      <c r="H550" s="97"/>
      <c r="I550" s="97"/>
      <c r="J550" s="97"/>
      <c r="K550" s="97"/>
      <c r="L550" s="97"/>
      <c r="M550" s="240">
        <v>42905</v>
      </c>
      <c r="N550" s="240">
        <v>51664</v>
      </c>
      <c r="O550" s="164">
        <v>53527</v>
      </c>
      <c r="P550" s="164">
        <f>ROUND((4543.9+4510.65+4571.07+4538.8+4552.87+4612.05+4581.28+4639.63+4609.87+4624.16+4766.78+4653.27)*0.969621,0)</f>
        <v>53527</v>
      </c>
      <c r="Q550" s="208">
        <f>ROUND((4709.52+4682.29+4737.69+4711.49+4726.1+4780.22+4755.57+4808.82+4785.22+4800.05+4926.15+4830.21)*0.969621,0)</f>
        <v>55514</v>
      </c>
      <c r="R550" s="208">
        <f>ROUND((4881.28+4860.31+4910.5+4890.6+4905.76+4954.62+4936.33+4984.29+4967.08+4982.48+5060.26+5013.61)*0.969621,0)</f>
        <v>57544</v>
      </c>
      <c r="S550" s="208">
        <f>ROUND((5059.32+5044.84+5089.63+5076.26+5091.99+5135.4+5123.7+5166.18+5155.6+5171.58+5262.76+5203.92)*0.969621,0)</f>
        <v>59710</v>
      </c>
      <c r="T550" s="240">
        <f>ROUND((5244.06+5236.31+5275.5+5268.9+5285.23+5322.99+5318.12+5354.91+5351.21+5367.79+5440.54+5401.3)*0.969621,0)</f>
        <v>61927</v>
      </c>
      <c r="U550" s="240">
        <f>ROUND((5435.66+5434.89+5468.27+5468.69+5485.65+5517.54+5519.76+5550.65+5554.08+5571.29+5624.91+5606)*0.969621,0)</f>
        <v>64225</v>
      </c>
    </row>
    <row r="551" spans="1:21" ht="24" customHeight="1">
      <c r="B551" s="1" t="s">
        <v>741</v>
      </c>
      <c r="C551" s="97"/>
      <c r="D551" s="97"/>
      <c r="E551" s="1" t="s">
        <v>248</v>
      </c>
      <c r="F551" s="97"/>
      <c r="G551" s="97"/>
      <c r="H551" s="97"/>
      <c r="I551" s="97"/>
      <c r="J551" s="97"/>
      <c r="K551" s="97"/>
      <c r="L551" s="97"/>
      <c r="M551" s="261">
        <v>23771</v>
      </c>
      <c r="N551" s="261">
        <v>17732</v>
      </c>
      <c r="O551" s="167">
        <v>15869</v>
      </c>
      <c r="P551" s="167">
        <f>ROUND((1420.28+1453.53+1393.11+1425.38+1411.31+1352.13+1382.9+1324.55+1354.31+1340.02+1197.4+1310.91)*0.969621,0)</f>
        <v>15869</v>
      </c>
      <c r="Q551" s="225">
        <f>ROUND((1254.66+1281.89+1226.49+1252.69+1238.08+1183.96+1208.61+1155.36+1178.96+1164.13+1038.03+1133.97)*0.969621,0)</f>
        <v>13882</v>
      </c>
      <c r="R551" s="225">
        <f>ROUND((1082.9+1103.87+1053.68+1073.58+1058.42+1009.56+1027.85+979.89+997.1+981.7+903.92+950.57)*0.969621,0)</f>
        <v>11852</v>
      </c>
      <c r="S551" s="225">
        <f>ROUND((904.86+919.34+874.55+887.92+872.19+828.78+840.48+798+808.58+792.6+701.42+760.26)*0.969621,0)</f>
        <v>9686</v>
      </c>
      <c r="T551" s="261">
        <f>ROUND((720.12+727.87+688.68+695.28+678.95+641.19+646.06+609.27+612.97+596.39+523.64+562.88)*0.969621,0)</f>
        <v>7469</v>
      </c>
      <c r="U551" s="261">
        <f>ROUND((528.52+529.29+495.91+495.49+478.53+446.64+444.42+413.53+410.1+392.89+339.27+358.18)*0.969621,0)</f>
        <v>5171</v>
      </c>
    </row>
    <row r="552" spans="1:21" ht="24" customHeight="1">
      <c r="B552" s="689" t="s">
        <v>748</v>
      </c>
      <c r="C552" s="689"/>
      <c r="D552" s="689"/>
      <c r="E552" s="689"/>
      <c r="F552" s="689"/>
      <c r="G552" s="689"/>
      <c r="H552" s="689"/>
      <c r="I552" s="689"/>
      <c r="J552" s="689"/>
      <c r="K552" s="689"/>
      <c r="L552" s="689"/>
      <c r="M552" s="410">
        <f t="shared" ref="M552:U552" si="64">SUM(M545:M551)</f>
        <v>268366</v>
      </c>
      <c r="N552" s="410">
        <f t="shared" si="64"/>
        <v>233220</v>
      </c>
      <c r="O552" s="407">
        <f t="shared" si="64"/>
        <v>997146</v>
      </c>
      <c r="P552" s="407">
        <f t="shared" si="64"/>
        <v>324136</v>
      </c>
      <c r="Q552" s="410">
        <f t="shared" si="64"/>
        <v>1297060</v>
      </c>
      <c r="R552" s="410">
        <f t="shared" si="64"/>
        <v>470646</v>
      </c>
      <c r="S552" s="410">
        <f t="shared" si="64"/>
        <v>470646</v>
      </c>
      <c r="T552" s="410">
        <f t="shared" si="64"/>
        <v>470646</v>
      </c>
      <c r="U552" s="410">
        <f t="shared" si="64"/>
        <v>470646</v>
      </c>
    </row>
    <row r="553" spans="1:21" ht="6.9" customHeight="1">
      <c r="B553" s="468"/>
      <c r="C553" s="467"/>
      <c r="D553" s="467"/>
      <c r="E553" s="468"/>
      <c r="F553" s="467"/>
      <c r="G553" s="467"/>
      <c r="H553" s="467"/>
      <c r="I553" s="467"/>
      <c r="J553" s="467"/>
      <c r="K553" s="467"/>
      <c r="L553" s="467"/>
      <c r="M553" s="220"/>
      <c r="N553" s="240"/>
      <c r="O553" s="164"/>
      <c r="P553" s="164"/>
      <c r="Q553" s="208"/>
      <c r="R553" s="208"/>
      <c r="S553" s="208"/>
      <c r="T553" s="240"/>
      <c r="U553" s="240"/>
    </row>
    <row r="554" spans="1:21" ht="24" customHeight="1">
      <c r="B554" s="320" t="s">
        <v>1137</v>
      </c>
      <c r="C554" s="97"/>
      <c r="D554" s="97"/>
      <c r="E554" s="304" t="s">
        <v>1138</v>
      </c>
      <c r="F554" s="311"/>
      <c r="G554" s="311"/>
      <c r="H554" s="311"/>
      <c r="I554" s="311"/>
      <c r="J554" s="311"/>
      <c r="K554" s="311"/>
      <c r="L554" s="311"/>
      <c r="M554" s="436">
        <f>ROUND(548273*0.969621,0)</f>
        <v>531617</v>
      </c>
      <c r="N554" s="436">
        <v>0</v>
      </c>
      <c r="O554" s="449">
        <v>0</v>
      </c>
      <c r="P554" s="449">
        <v>0</v>
      </c>
      <c r="Q554" s="479">
        <v>0</v>
      </c>
      <c r="R554" s="479">
        <v>0</v>
      </c>
      <c r="S554" s="479">
        <v>0</v>
      </c>
      <c r="T554" s="479">
        <v>0</v>
      </c>
      <c r="U554" s="436">
        <v>0</v>
      </c>
    </row>
    <row r="555" spans="1:21" s="89" customFormat="1" ht="24" customHeight="1">
      <c r="A555" s="576"/>
      <c r="B555" s="689" t="s">
        <v>599</v>
      </c>
      <c r="C555" s="689"/>
      <c r="D555" s="689"/>
      <c r="E555" s="689"/>
      <c r="F555" s="689"/>
      <c r="G555" s="689"/>
      <c r="H555" s="689"/>
      <c r="I555" s="689"/>
      <c r="J555" s="689"/>
      <c r="K555" s="689"/>
      <c r="L555" s="689"/>
      <c r="M555" s="408">
        <f t="shared" ref="M555:U555" si="65">M554</f>
        <v>531617</v>
      </c>
      <c r="N555" s="408">
        <f t="shared" si="65"/>
        <v>0</v>
      </c>
      <c r="O555" s="409">
        <f t="shared" si="65"/>
        <v>0</v>
      </c>
      <c r="P555" s="409">
        <f t="shared" si="65"/>
        <v>0</v>
      </c>
      <c r="Q555" s="408">
        <f t="shared" si="65"/>
        <v>0</v>
      </c>
      <c r="R555" s="408">
        <f t="shared" si="65"/>
        <v>0</v>
      </c>
      <c r="S555" s="408">
        <f t="shared" si="65"/>
        <v>0</v>
      </c>
      <c r="T555" s="408">
        <f t="shared" si="65"/>
        <v>0</v>
      </c>
      <c r="U555" s="408">
        <f t="shared" si="65"/>
        <v>0</v>
      </c>
    </row>
    <row r="556" spans="1:21" s="470" customFormat="1" ht="15" customHeight="1">
      <c r="A556" s="576"/>
      <c r="L556" s="98"/>
      <c r="M556" s="408"/>
      <c r="N556" s="408"/>
      <c r="O556" s="409"/>
      <c r="P556" s="409"/>
      <c r="Q556" s="408"/>
      <c r="R556" s="408"/>
      <c r="S556" s="408"/>
      <c r="T556" s="408"/>
      <c r="U556" s="408"/>
    </row>
    <row r="557" spans="1:21" s="470" customFormat="1" ht="24" customHeight="1">
      <c r="A557" s="576"/>
      <c r="B557" s="689" t="s">
        <v>1248</v>
      </c>
      <c r="C557" s="689"/>
      <c r="D557" s="689"/>
      <c r="E557" s="689"/>
      <c r="F557" s="689"/>
      <c r="G557" s="689"/>
      <c r="H557" s="689"/>
      <c r="I557" s="689"/>
      <c r="J557" s="689"/>
      <c r="K557" s="689"/>
      <c r="L557" s="689"/>
      <c r="M557" s="408">
        <f t="shared" ref="M557:U557" si="66">M552+M555</f>
        <v>799983</v>
      </c>
      <c r="N557" s="408">
        <f t="shared" si="66"/>
        <v>233220</v>
      </c>
      <c r="O557" s="409">
        <f t="shared" si="66"/>
        <v>997146</v>
      </c>
      <c r="P557" s="409">
        <f t="shared" si="66"/>
        <v>324136</v>
      </c>
      <c r="Q557" s="408">
        <f t="shared" si="66"/>
        <v>1297060</v>
      </c>
      <c r="R557" s="408">
        <f t="shared" si="66"/>
        <v>470646</v>
      </c>
      <c r="S557" s="408">
        <f t="shared" si="66"/>
        <v>470646</v>
      </c>
      <c r="T557" s="408">
        <f t="shared" si="66"/>
        <v>470646</v>
      </c>
      <c r="U557" s="408">
        <f t="shared" si="66"/>
        <v>470646</v>
      </c>
    </row>
    <row r="558" spans="1:21" ht="15" customHeight="1">
      <c r="B558" s="89"/>
      <c r="C558" s="89"/>
      <c r="D558" s="89"/>
      <c r="E558" s="89"/>
      <c r="F558" s="89"/>
      <c r="G558" s="89"/>
      <c r="H558" s="89"/>
      <c r="I558" s="89"/>
      <c r="J558" s="89"/>
      <c r="K558" s="89"/>
      <c r="L558" s="89"/>
      <c r="M558" s="242"/>
      <c r="N558" s="242"/>
      <c r="O558" s="191"/>
      <c r="P558" s="191"/>
      <c r="Q558" s="260"/>
      <c r="R558" s="260"/>
      <c r="S558" s="260"/>
      <c r="T558" s="260"/>
      <c r="U558" s="260"/>
    </row>
    <row r="559" spans="1:21" ht="24" customHeight="1">
      <c r="B559" s="98" t="s">
        <v>755</v>
      </c>
      <c r="C559" s="89"/>
      <c r="D559" s="89"/>
      <c r="E559" s="89"/>
      <c r="F559" s="89"/>
      <c r="G559" s="89"/>
      <c r="H559" s="89"/>
      <c r="I559" s="89"/>
      <c r="J559" s="89"/>
      <c r="K559" s="89"/>
      <c r="L559" s="89"/>
      <c r="M559" s="242"/>
      <c r="N559" s="242"/>
      <c r="O559" s="191"/>
      <c r="P559" s="191"/>
      <c r="Q559" s="260"/>
      <c r="R559" s="260"/>
      <c r="S559" s="260"/>
      <c r="T559" s="260"/>
      <c r="U559" s="260"/>
    </row>
    <row r="560" spans="1:21" ht="24" customHeight="1">
      <c r="B560" s="1" t="s">
        <v>1106</v>
      </c>
      <c r="C560" s="89"/>
      <c r="D560" s="89"/>
      <c r="E560" s="1" t="s">
        <v>832</v>
      </c>
      <c r="F560" s="95"/>
      <c r="G560" s="95"/>
      <c r="H560" s="95"/>
      <c r="I560" s="95"/>
      <c r="J560" s="95"/>
      <c r="K560" s="95"/>
      <c r="L560" s="95"/>
      <c r="M560" s="441">
        <v>10</v>
      </c>
      <c r="N560" s="441">
        <v>0</v>
      </c>
      <c r="O560" s="455">
        <v>1600</v>
      </c>
      <c r="P560" s="455">
        <v>0</v>
      </c>
      <c r="Q560" s="441">
        <v>1600</v>
      </c>
      <c r="R560" s="441">
        <v>1600</v>
      </c>
      <c r="S560" s="441">
        <v>1600</v>
      </c>
      <c r="T560" s="441">
        <v>1600</v>
      </c>
      <c r="U560" s="441">
        <v>1600</v>
      </c>
    </row>
    <row r="561" spans="1:21" ht="24" customHeight="1">
      <c r="B561" s="304" t="s">
        <v>1131</v>
      </c>
      <c r="C561" s="315"/>
      <c r="D561" s="315"/>
      <c r="E561" s="313" t="s">
        <v>1072</v>
      </c>
      <c r="F561" s="312"/>
      <c r="G561" s="312"/>
      <c r="H561" s="312"/>
      <c r="I561" s="312"/>
      <c r="J561" s="312"/>
      <c r="K561" s="312"/>
      <c r="L561" s="312"/>
      <c r="M561" s="325">
        <f>33714+7404</f>
        <v>41118</v>
      </c>
      <c r="N561" s="325">
        <f>7190+35767+7174</f>
        <v>50131</v>
      </c>
      <c r="O561" s="175">
        <v>152096</v>
      </c>
      <c r="P561" s="175">
        <v>23658</v>
      </c>
      <c r="Q561" s="325">
        <v>310000</v>
      </c>
      <c r="R561" s="325">
        <v>284096</v>
      </c>
      <c r="S561" s="325">
        <f>105000+60000+75000</f>
        <v>240000</v>
      </c>
      <c r="T561" s="325">
        <f>85000+70000+70000</f>
        <v>225000</v>
      </c>
      <c r="U561" s="325">
        <f>100000+125000</f>
        <v>225000</v>
      </c>
    </row>
    <row r="562" spans="1:21" ht="24" customHeight="1">
      <c r="B562" s="304" t="s">
        <v>742</v>
      </c>
      <c r="C562" s="97"/>
      <c r="D562" s="97"/>
      <c r="E562" s="1" t="s">
        <v>245</v>
      </c>
      <c r="F562" s="97"/>
      <c r="G562" s="97"/>
      <c r="H562" s="97"/>
      <c r="I562" s="97"/>
      <c r="J562" s="97"/>
      <c r="K562" s="97"/>
      <c r="L562" s="97"/>
      <c r="M562" s="240">
        <v>0</v>
      </c>
      <c r="N562" s="240">
        <v>57758</v>
      </c>
      <c r="O562" s="175">
        <v>50000</v>
      </c>
      <c r="P562" s="175">
        <v>48835</v>
      </c>
      <c r="Q562" s="325">
        <v>73156</v>
      </c>
      <c r="R562" s="325">
        <v>50000</v>
      </c>
      <c r="S562" s="325">
        <v>50000</v>
      </c>
      <c r="T562" s="325">
        <v>50000</v>
      </c>
      <c r="U562" s="325">
        <v>50000</v>
      </c>
    </row>
    <row r="563" spans="1:21" ht="24" customHeight="1">
      <c r="B563" s="304" t="s">
        <v>856</v>
      </c>
      <c r="C563" s="97"/>
      <c r="D563" s="97"/>
      <c r="E563" s="1" t="s">
        <v>246</v>
      </c>
      <c r="F563" s="97"/>
      <c r="G563" s="97"/>
      <c r="H563" s="97"/>
      <c r="I563" s="97"/>
      <c r="J563" s="97"/>
      <c r="K563" s="97"/>
      <c r="L563" s="97"/>
      <c r="M563" s="240">
        <v>67958</v>
      </c>
      <c r="N563" s="240">
        <v>59135</v>
      </c>
      <c r="O563" s="164">
        <v>313000</v>
      </c>
      <c r="P563" s="164">
        <v>0</v>
      </c>
      <c r="Q563" s="240">
        <f>160500+50000</f>
        <v>210500</v>
      </c>
      <c r="R563" s="325">
        <v>50000</v>
      </c>
      <c r="S563" s="325">
        <v>50000</v>
      </c>
      <c r="T563" s="325">
        <v>50000</v>
      </c>
      <c r="U563" s="325">
        <v>50000</v>
      </c>
    </row>
    <row r="564" spans="1:21" ht="24" customHeight="1">
      <c r="B564" s="121" t="s">
        <v>754</v>
      </c>
      <c r="C564" s="97"/>
      <c r="D564" s="97"/>
      <c r="E564" s="1"/>
      <c r="F564" s="97"/>
      <c r="G564" s="97"/>
      <c r="H564" s="97"/>
      <c r="I564" s="97"/>
      <c r="J564" s="97"/>
      <c r="K564" s="97"/>
      <c r="L564" s="97"/>
      <c r="M564" s="240"/>
      <c r="N564" s="240"/>
      <c r="O564" s="164"/>
      <c r="P564" s="164"/>
      <c r="Q564" s="208"/>
      <c r="R564" s="240"/>
      <c r="S564" s="240"/>
      <c r="T564" s="240"/>
      <c r="U564" s="240"/>
    </row>
    <row r="565" spans="1:21" ht="24" customHeight="1">
      <c r="B565" s="1" t="s">
        <v>743</v>
      </c>
      <c r="C565" s="97"/>
      <c r="D565" s="97"/>
      <c r="E565" s="1" t="s">
        <v>798</v>
      </c>
      <c r="F565" s="97"/>
      <c r="G565" s="97"/>
      <c r="H565" s="97"/>
      <c r="I565" s="97"/>
      <c r="J565" s="97"/>
      <c r="K565" s="97"/>
      <c r="L565" s="97"/>
      <c r="M565" s="240">
        <v>1344</v>
      </c>
      <c r="N565" s="240">
        <v>1619</v>
      </c>
      <c r="O565" s="164">
        <v>1677</v>
      </c>
      <c r="P565" s="164">
        <f>ROUND((4543.9+4510.65+4571.07+4538.8+4552.87+4612.05+4581.28+4639.63+4609.87+4624.16+4766.78+4653.27)*0.030379,0)</f>
        <v>1677</v>
      </c>
      <c r="Q565" s="208">
        <f>ROUND((4709.52+4682.29+4737.69+4711.49+4726.1+4780.22+4755.57+4808.82+4785.22+4800.05+4926.15+4830.21)*0.030379,0)</f>
        <v>1739</v>
      </c>
      <c r="R565" s="208">
        <f>ROUND((4881.28+4860.31+4910.5+4890.6+4905.76+4954.62+4936.33+4984.29+4967.08+4982.48+5060.26+5013.61)*0.030379,0)</f>
        <v>1803</v>
      </c>
      <c r="S565" s="208">
        <f>ROUND((5059.32+5044.84+5089.63+5076.26+5091.99+5135.4+5123.7+5166.18+5155.6+5171.58+5262.76+5203.92)*0.030379,0)</f>
        <v>1871</v>
      </c>
      <c r="T565" s="240">
        <f>ROUND((5244.06+5236.31+5275.5+5268.9+5285.23+5322.99+5318.12+5354.91+5351.21+5367.79+5440.54+5401.3)*0.030379,0)</f>
        <v>1940</v>
      </c>
      <c r="U565" s="240">
        <f>ROUND((5435.66+5434.89+5468.27+5468.69+5485.65+5517.54+5519.76+5550.65+5554.08+5571.29+5624.91+5606)*0.030379,0)</f>
        <v>2012</v>
      </c>
    </row>
    <row r="566" spans="1:21" ht="24" customHeight="1">
      <c r="B566" s="1" t="s">
        <v>744</v>
      </c>
      <c r="C566" s="97"/>
      <c r="D566" s="97"/>
      <c r="E566" s="1" t="s">
        <v>248</v>
      </c>
      <c r="F566" s="97"/>
      <c r="G566" s="97"/>
      <c r="H566" s="97"/>
      <c r="I566" s="97"/>
      <c r="J566" s="97"/>
      <c r="K566" s="97"/>
      <c r="L566" s="97"/>
      <c r="M566" s="261">
        <v>745</v>
      </c>
      <c r="N566" s="261">
        <v>556</v>
      </c>
      <c r="O566" s="167">
        <v>497</v>
      </c>
      <c r="P566" s="167">
        <f>ROUND((1420.28+1453.53+1393.11+1425.38+1411.31+1352.13+1382.9+1324.55+1354.31+1340.02+1197.4+1310.91)*0.030379,0)</f>
        <v>497</v>
      </c>
      <c r="Q566" s="225">
        <f>ROUND((1254.66+1281.89+1226.49+1252.69+1238.08+1183.96+1208.61+1155.36+1178.96+1164.13+1038.03+1133.97)*0.030379,0)</f>
        <v>435</v>
      </c>
      <c r="R566" s="225">
        <f>ROUND((1082.9+1103.87+1053.68+1073.58+1058.42+1009.56+1027.85+979.89+997.1+981.7+903.92+950.57)*0.030379,0)</f>
        <v>371</v>
      </c>
      <c r="S566" s="225">
        <f>ROUND((904.86+919.34+874.55+887.92+872.19+828.78+840.48+798+808.58+792.6+701.42+760.26)*0.030379,0)</f>
        <v>303</v>
      </c>
      <c r="T566" s="261">
        <f>ROUND((720.12+727.87+688.68+695.28+678.95+641.19+646.06+609.27+612.97+596.39+523.64+562.88)*0.030379,0)</f>
        <v>234</v>
      </c>
      <c r="U566" s="261">
        <f>ROUND((528.52+529.29+495.91+495.49+478.53+446.64+444.42+413.53+410.1+392.89+339.27+358.18)*0.030379,0)</f>
        <v>162</v>
      </c>
    </row>
    <row r="567" spans="1:21" ht="24" customHeight="1">
      <c r="B567" s="689" t="s">
        <v>1221</v>
      </c>
      <c r="C567" s="689"/>
      <c r="D567" s="689"/>
      <c r="E567" s="689"/>
      <c r="F567" s="689"/>
      <c r="G567" s="689"/>
      <c r="H567" s="689"/>
      <c r="I567" s="689"/>
      <c r="J567" s="689"/>
      <c r="K567" s="689"/>
      <c r="L567" s="689"/>
      <c r="M567" s="410">
        <f t="shared" ref="M567:U567" si="67">SUM(M560:M566)</f>
        <v>111175</v>
      </c>
      <c r="N567" s="410">
        <f t="shared" si="67"/>
        <v>169199</v>
      </c>
      <c r="O567" s="407">
        <f t="shared" si="67"/>
        <v>518870</v>
      </c>
      <c r="P567" s="407">
        <f t="shared" si="67"/>
        <v>74667</v>
      </c>
      <c r="Q567" s="410">
        <f t="shared" si="67"/>
        <v>597430</v>
      </c>
      <c r="R567" s="410">
        <f t="shared" si="67"/>
        <v>387870</v>
      </c>
      <c r="S567" s="410">
        <f t="shared" si="67"/>
        <v>343774</v>
      </c>
      <c r="T567" s="410">
        <f t="shared" si="67"/>
        <v>328774</v>
      </c>
      <c r="U567" s="410">
        <f t="shared" si="67"/>
        <v>328774</v>
      </c>
    </row>
    <row r="568" spans="1:21" ht="6.9" customHeight="1">
      <c r="B568" s="468"/>
      <c r="C568" s="467"/>
      <c r="D568" s="467"/>
      <c r="E568" s="468"/>
      <c r="F568" s="467"/>
      <c r="G568" s="467"/>
      <c r="H568" s="467"/>
      <c r="I568" s="467"/>
      <c r="J568" s="467"/>
      <c r="K568" s="467"/>
      <c r="L568" s="467"/>
      <c r="M568" s="220"/>
      <c r="N568" s="240"/>
      <c r="O568" s="164"/>
      <c r="P568" s="164"/>
      <c r="Q568" s="208"/>
      <c r="R568" s="208"/>
      <c r="S568" s="208"/>
      <c r="T568" s="240"/>
      <c r="U568" s="240"/>
    </row>
    <row r="569" spans="1:21" ht="24" customHeight="1">
      <c r="B569" s="320" t="s">
        <v>1139</v>
      </c>
      <c r="C569" s="97"/>
      <c r="D569" s="97"/>
      <c r="E569" s="304" t="s">
        <v>1138</v>
      </c>
      <c r="F569" s="311"/>
      <c r="G569" s="311"/>
      <c r="H569" s="311"/>
      <c r="I569" s="311"/>
      <c r="J569" s="311"/>
      <c r="K569" s="311"/>
      <c r="L569" s="311"/>
      <c r="M569" s="261">
        <f>ROUND(548273*0.030379,0)</f>
        <v>16656</v>
      </c>
      <c r="N569" s="261">
        <v>0</v>
      </c>
      <c r="O569" s="167">
        <v>0</v>
      </c>
      <c r="P569" s="167">
        <v>0</v>
      </c>
      <c r="Q569" s="225">
        <v>0</v>
      </c>
      <c r="R569" s="225">
        <v>0</v>
      </c>
      <c r="S569" s="225">
        <v>0</v>
      </c>
      <c r="T569" s="225">
        <v>0</v>
      </c>
      <c r="U569" s="261">
        <v>0</v>
      </c>
    </row>
    <row r="570" spans="1:21" s="89" customFormat="1" ht="24" customHeight="1">
      <c r="A570" s="576"/>
      <c r="B570" s="689" t="s">
        <v>599</v>
      </c>
      <c r="C570" s="689"/>
      <c r="D570" s="689"/>
      <c r="E570" s="689"/>
      <c r="F570" s="689"/>
      <c r="G570" s="689"/>
      <c r="H570" s="689"/>
      <c r="I570" s="689"/>
      <c r="J570" s="689"/>
      <c r="K570" s="689"/>
      <c r="L570" s="689"/>
      <c r="M570" s="408">
        <f t="shared" ref="M570:U570" si="68">M569</f>
        <v>16656</v>
      </c>
      <c r="N570" s="408">
        <f t="shared" si="68"/>
        <v>0</v>
      </c>
      <c r="O570" s="409">
        <f t="shared" si="68"/>
        <v>0</v>
      </c>
      <c r="P570" s="409">
        <f t="shared" si="68"/>
        <v>0</v>
      </c>
      <c r="Q570" s="408">
        <f t="shared" si="68"/>
        <v>0</v>
      </c>
      <c r="R570" s="408">
        <f t="shared" si="68"/>
        <v>0</v>
      </c>
      <c r="S570" s="408">
        <f t="shared" si="68"/>
        <v>0</v>
      </c>
      <c r="T570" s="408">
        <f t="shared" si="68"/>
        <v>0</v>
      </c>
      <c r="U570" s="408">
        <f t="shared" si="68"/>
        <v>0</v>
      </c>
    </row>
    <row r="571" spans="1:21" s="470" customFormat="1" ht="15" customHeight="1">
      <c r="A571" s="576"/>
      <c r="B571" s="480"/>
      <c r="C571" s="480"/>
      <c r="D571" s="480"/>
      <c r="E571" s="480"/>
      <c r="F571" s="480"/>
      <c r="G571" s="480"/>
      <c r="H571" s="480"/>
      <c r="I571" s="480"/>
      <c r="J571" s="480"/>
      <c r="K571" s="480"/>
      <c r="L571" s="480"/>
      <c r="M571" s="408"/>
      <c r="N571" s="408"/>
      <c r="O571" s="409"/>
      <c r="P571" s="409"/>
      <c r="Q571" s="408"/>
      <c r="R571" s="408"/>
      <c r="S571" s="408"/>
      <c r="T571" s="408"/>
      <c r="U571" s="408"/>
    </row>
    <row r="572" spans="1:21" s="470" customFormat="1" ht="24" customHeight="1">
      <c r="A572" s="576"/>
      <c r="B572" s="689" t="s">
        <v>1249</v>
      </c>
      <c r="C572" s="689"/>
      <c r="D572" s="689"/>
      <c r="E572" s="689"/>
      <c r="F572" s="689"/>
      <c r="G572" s="689"/>
      <c r="H572" s="689"/>
      <c r="I572" s="689"/>
      <c r="J572" s="689"/>
      <c r="K572" s="689"/>
      <c r="L572" s="689"/>
      <c r="M572" s="408">
        <f t="shared" ref="M572:U572" si="69">M567+M570</f>
        <v>127831</v>
      </c>
      <c r="N572" s="408">
        <f t="shared" si="69"/>
        <v>169199</v>
      </c>
      <c r="O572" s="409">
        <f t="shared" si="69"/>
        <v>518870</v>
      </c>
      <c r="P572" s="409">
        <f t="shared" si="69"/>
        <v>74667</v>
      </c>
      <c r="Q572" s="408">
        <f t="shared" si="69"/>
        <v>597430</v>
      </c>
      <c r="R572" s="408">
        <f t="shared" si="69"/>
        <v>387870</v>
      </c>
      <c r="S572" s="408">
        <f t="shared" si="69"/>
        <v>343774</v>
      </c>
      <c r="T572" s="408">
        <f t="shared" si="69"/>
        <v>328774</v>
      </c>
      <c r="U572" s="408">
        <f t="shared" si="69"/>
        <v>328774</v>
      </c>
    </row>
    <row r="573" spans="1:21" s="89" customFormat="1" ht="15" customHeight="1">
      <c r="A573" s="576"/>
      <c r="B573" s="465"/>
      <c r="C573" s="465"/>
      <c r="D573" s="465"/>
      <c r="E573" s="465"/>
      <c r="F573" s="465"/>
      <c r="G573" s="465"/>
      <c r="H573" s="465"/>
      <c r="I573" s="465"/>
      <c r="J573" s="465"/>
      <c r="K573" s="465"/>
      <c r="L573" s="466"/>
      <c r="M573" s="485"/>
      <c r="N573" s="485"/>
      <c r="O573" s="486"/>
      <c r="P573" s="486"/>
      <c r="Q573" s="485"/>
      <c r="R573" s="485"/>
      <c r="S573" s="485"/>
      <c r="T573" s="485"/>
      <c r="U573" s="485"/>
    </row>
    <row r="574" spans="1:21" s="470" customFormat="1" ht="24" customHeight="1">
      <c r="A574" s="576"/>
      <c r="B574" s="691" t="s">
        <v>1222</v>
      </c>
      <c r="C574" s="691"/>
      <c r="D574" s="691"/>
      <c r="E574" s="691"/>
      <c r="F574" s="691"/>
      <c r="G574" s="691"/>
      <c r="H574" s="691"/>
      <c r="I574" s="691"/>
      <c r="J574" s="691"/>
      <c r="K574" s="691"/>
      <c r="L574" s="691"/>
      <c r="M574" s="409">
        <f t="shared" ref="M574:U574" si="70">M537+M542+M552+M567</f>
        <v>510252</v>
      </c>
      <c r="N574" s="409">
        <f t="shared" si="70"/>
        <v>564621</v>
      </c>
      <c r="O574" s="409">
        <f t="shared" si="70"/>
        <v>1877998</v>
      </c>
      <c r="P574" s="409">
        <f t="shared" si="70"/>
        <v>650139</v>
      </c>
      <c r="Q574" s="409">
        <f t="shared" si="70"/>
        <v>2235223</v>
      </c>
      <c r="R574" s="409">
        <f t="shared" si="70"/>
        <v>1119388</v>
      </c>
      <c r="S574" s="409">
        <f t="shared" si="70"/>
        <v>1067898</v>
      </c>
      <c r="T574" s="409">
        <f t="shared" si="70"/>
        <v>1127353</v>
      </c>
      <c r="U574" s="409">
        <f t="shared" si="70"/>
        <v>1070106</v>
      </c>
    </row>
    <row r="575" spans="1:21" s="470" customFormat="1" ht="15" customHeight="1">
      <c r="A575" s="576"/>
      <c r="B575" s="145"/>
      <c r="C575" s="145"/>
      <c r="D575" s="145"/>
      <c r="E575" s="145"/>
      <c r="F575" s="145"/>
      <c r="G575" s="145"/>
      <c r="H575" s="145"/>
      <c r="I575" s="145"/>
      <c r="J575" s="145"/>
      <c r="K575" s="145"/>
      <c r="L575" s="360"/>
      <c r="M575" s="169"/>
      <c r="N575" s="169"/>
      <c r="O575" s="169"/>
      <c r="P575" s="169"/>
      <c r="Q575" s="169"/>
      <c r="R575" s="169"/>
      <c r="S575" s="169"/>
      <c r="T575" s="169"/>
      <c r="U575" s="169"/>
    </row>
    <row r="576" spans="1:21" s="470" customFormat="1" ht="24" customHeight="1">
      <c r="A576" s="576"/>
      <c r="B576" s="420"/>
      <c r="C576" s="692" t="s">
        <v>838</v>
      </c>
      <c r="D576" s="692"/>
      <c r="E576" s="692"/>
      <c r="F576" s="692"/>
      <c r="G576" s="692"/>
      <c r="H576" s="692"/>
      <c r="I576" s="692"/>
      <c r="J576" s="692"/>
      <c r="K576" s="692"/>
      <c r="L576" s="692"/>
      <c r="M576" s="428">
        <f t="shared" ref="M576:U576" si="71">M528</f>
        <v>558996</v>
      </c>
      <c r="N576" s="428">
        <f t="shared" si="71"/>
        <v>13927</v>
      </c>
      <c r="O576" s="428">
        <f t="shared" si="71"/>
        <v>0</v>
      </c>
      <c r="P576" s="428">
        <f t="shared" si="71"/>
        <v>67865</v>
      </c>
      <c r="Q576" s="428">
        <f t="shared" si="71"/>
        <v>52000</v>
      </c>
      <c r="R576" s="428">
        <f t="shared" si="71"/>
        <v>0</v>
      </c>
      <c r="S576" s="428">
        <f t="shared" si="71"/>
        <v>0</v>
      </c>
      <c r="T576" s="428">
        <f t="shared" si="71"/>
        <v>0</v>
      </c>
      <c r="U576" s="428">
        <f t="shared" si="71"/>
        <v>0</v>
      </c>
    </row>
    <row r="577" spans="1:21" s="470" customFormat="1" ht="24" customHeight="1">
      <c r="A577" s="576"/>
      <c r="B577" s="421"/>
      <c r="C577" s="693" t="s">
        <v>1204</v>
      </c>
      <c r="D577" s="693"/>
      <c r="E577" s="693"/>
      <c r="F577" s="693"/>
      <c r="G577" s="693"/>
      <c r="H577" s="693"/>
      <c r="I577" s="693"/>
      <c r="J577" s="693"/>
      <c r="K577" s="693"/>
      <c r="L577" s="693"/>
      <c r="M577" s="427">
        <f t="shared" ref="M577:U577" si="72">-M555+-M570</f>
        <v>-548273</v>
      </c>
      <c r="N577" s="427">
        <f t="shared" si="72"/>
        <v>0</v>
      </c>
      <c r="O577" s="427">
        <f t="shared" si="72"/>
        <v>0</v>
      </c>
      <c r="P577" s="427">
        <f t="shared" si="72"/>
        <v>0</v>
      </c>
      <c r="Q577" s="427">
        <f t="shared" si="72"/>
        <v>0</v>
      </c>
      <c r="R577" s="427">
        <f t="shared" si="72"/>
        <v>0</v>
      </c>
      <c r="S577" s="427">
        <f t="shared" si="72"/>
        <v>0</v>
      </c>
      <c r="T577" s="427">
        <f t="shared" si="72"/>
        <v>0</v>
      </c>
      <c r="U577" s="427">
        <f t="shared" si="72"/>
        <v>0</v>
      </c>
    </row>
    <row r="578" spans="1:21" s="470" customFormat="1" ht="24" customHeight="1">
      <c r="A578" s="576"/>
      <c r="B578" s="360"/>
      <c r="C578" s="691" t="s">
        <v>1223</v>
      </c>
      <c r="D578" s="691"/>
      <c r="E578" s="691"/>
      <c r="F578" s="691"/>
      <c r="G578" s="691"/>
      <c r="H578" s="691"/>
      <c r="I578" s="691"/>
      <c r="J578" s="691"/>
      <c r="K578" s="691"/>
      <c r="L578" s="691"/>
      <c r="M578" s="409">
        <f>M576+M577</f>
        <v>10723</v>
      </c>
      <c r="N578" s="409">
        <f>N576+N577</f>
        <v>13927</v>
      </c>
      <c r="O578" s="409">
        <f t="shared" ref="O578:U578" si="73">O576+O577</f>
        <v>0</v>
      </c>
      <c r="P578" s="409">
        <f t="shared" si="73"/>
        <v>67865</v>
      </c>
      <c r="Q578" s="409">
        <f t="shared" si="73"/>
        <v>52000</v>
      </c>
      <c r="R578" s="409">
        <f t="shared" si="73"/>
        <v>0</v>
      </c>
      <c r="S578" s="409">
        <f t="shared" si="73"/>
        <v>0</v>
      </c>
      <c r="T578" s="409">
        <f t="shared" si="73"/>
        <v>0</v>
      </c>
      <c r="U578" s="409">
        <f t="shared" si="73"/>
        <v>0</v>
      </c>
    </row>
    <row r="579" spans="1:21" s="470" customFormat="1" ht="15" customHeight="1">
      <c r="A579" s="576"/>
      <c r="B579" s="145"/>
      <c r="C579" s="145"/>
      <c r="D579" s="145"/>
      <c r="E579" s="145"/>
      <c r="F579" s="145"/>
      <c r="G579" s="145"/>
      <c r="H579" s="145"/>
      <c r="I579" s="145"/>
      <c r="J579" s="145"/>
      <c r="K579" s="145"/>
      <c r="L579" s="360"/>
      <c r="M579" s="169"/>
      <c r="N579" s="169"/>
      <c r="O579" s="169"/>
      <c r="P579" s="169"/>
      <c r="Q579" s="169"/>
      <c r="R579" s="169"/>
      <c r="S579" s="169"/>
      <c r="T579" s="169"/>
      <c r="U579" s="169"/>
    </row>
    <row r="580" spans="1:21" s="89" customFormat="1" ht="24" customHeight="1">
      <c r="A580" s="576"/>
      <c r="B580" s="145"/>
      <c r="C580" s="145"/>
      <c r="D580" s="145"/>
      <c r="E580" s="145"/>
      <c r="F580" s="145"/>
      <c r="G580" s="145"/>
      <c r="H580" s="145"/>
      <c r="I580" s="145"/>
      <c r="J580" s="145"/>
      <c r="K580" s="145"/>
      <c r="L580" s="360" t="s">
        <v>425</v>
      </c>
      <c r="M580" s="280">
        <f t="shared" ref="M580:U580" si="74">M520-M574+M578</f>
        <v>15654</v>
      </c>
      <c r="N580" s="280">
        <f t="shared" si="74"/>
        <v>974099</v>
      </c>
      <c r="O580" s="280">
        <f t="shared" si="74"/>
        <v>-1330772</v>
      </c>
      <c r="P580" s="280">
        <f t="shared" si="74"/>
        <v>3205</v>
      </c>
      <c r="Q580" s="280">
        <f t="shared" si="74"/>
        <v>-1129353</v>
      </c>
      <c r="R580" s="280">
        <f t="shared" si="74"/>
        <v>-39643</v>
      </c>
      <c r="S580" s="280">
        <f t="shared" si="74"/>
        <v>0</v>
      </c>
      <c r="T580" s="280">
        <f t="shared" si="74"/>
        <v>0</v>
      </c>
      <c r="U580" s="280">
        <f t="shared" si="74"/>
        <v>0</v>
      </c>
    </row>
    <row r="581" spans="1:21" s="89" customFormat="1" ht="15" customHeight="1">
      <c r="A581" s="576"/>
      <c r="B581" s="488"/>
      <c r="C581" s="488"/>
      <c r="D581" s="488"/>
      <c r="E581" s="488"/>
      <c r="F581" s="488"/>
      <c r="G581" s="488"/>
      <c r="H581" s="488"/>
      <c r="I581" s="488"/>
      <c r="J581" s="488"/>
      <c r="K581" s="488"/>
      <c r="L581" s="489"/>
      <c r="M581" s="193"/>
      <c r="N581" s="193"/>
      <c r="O581" s="193"/>
      <c r="P581" s="193"/>
      <c r="Q581" s="193"/>
      <c r="R581" s="193"/>
      <c r="S581" s="193"/>
      <c r="T581" s="193"/>
      <c r="U581" s="193"/>
    </row>
    <row r="582" spans="1:21" s="89" customFormat="1" ht="24" customHeight="1">
      <c r="A582" s="576"/>
      <c r="B582" s="145"/>
      <c r="C582" s="145"/>
      <c r="D582" s="698" t="s">
        <v>779</v>
      </c>
      <c r="E582" s="698"/>
      <c r="F582" s="698"/>
      <c r="G582" s="698"/>
      <c r="H582" s="698"/>
      <c r="I582" s="698"/>
      <c r="J582" s="698"/>
      <c r="K582" s="698"/>
      <c r="L582" s="698"/>
      <c r="M582" s="457">
        <v>73881</v>
      </c>
      <c r="N582" s="457">
        <v>227811</v>
      </c>
      <c r="O582" s="457">
        <v>0</v>
      </c>
      <c r="P582" s="457">
        <f>N582+(P530-P500-P501-P502-P506-P512-P518-P509-P525-P510-P526-P519-P511-P507-P513-P515-P522-P523-P516-P505-P514-P527)-P537</f>
        <v>244619</v>
      </c>
      <c r="Q582" s="457">
        <f>P582+(Q530-Q500-Q501-Q502-Q506-Q512-Q518-Q509-Q525-Q510-Q526-Q519-Q511-Q507-Q513-Q515-Q522-Q523-Q516-Q505-Q514-Q527)-Q537</f>
        <v>76494</v>
      </c>
      <c r="R582" s="457">
        <f>Q582+(R530-R500-R501-R502-R506-R512-R518-R509-R525-R510-R526-R519-R511-R507-R513-R515-R522-R523-R516-R505-R514-R527)-R537</f>
        <v>70000</v>
      </c>
      <c r="S582" s="457">
        <f>R582+(S530-S500-S501-S502-S506-S512-S518-S509-S525-S510-S526-S519-S511-S507-S513-S515-S522-S523-S516-S505-S514-S527)-S537</f>
        <v>70000</v>
      </c>
      <c r="T582" s="457">
        <f>S582+(T530-T500-T501-T502-T506-T512-T518-T509-T525-T510-T526-T519-T511-T507-T513-T515-T522-T523-T516-T505-T514-T527)-T537</f>
        <v>70000</v>
      </c>
      <c r="U582" s="457">
        <f>T582+(U530-U500-U501-U502-U506-U512-U518-U509-U525-U510-U526-U519-U511-U507-U513-U515-U522-U523-U516-U505-U514-U527)-U537</f>
        <v>70000</v>
      </c>
    </row>
    <row r="583" spans="1:21" s="89" customFormat="1" ht="15" customHeight="1">
      <c r="A583" s="576"/>
      <c r="B583" s="145"/>
      <c r="C583" s="145"/>
      <c r="D583" s="490"/>
      <c r="E583" s="490"/>
      <c r="F583" s="490"/>
      <c r="G583" s="490"/>
      <c r="H583" s="490"/>
      <c r="I583" s="490"/>
      <c r="J583" s="490"/>
      <c r="K583" s="490"/>
      <c r="L583" s="491"/>
      <c r="M583" s="194"/>
      <c r="N583" s="194"/>
      <c r="O583" s="194"/>
      <c r="P583" s="194"/>
      <c r="Q583" s="194"/>
      <c r="R583" s="194"/>
      <c r="S583" s="194"/>
      <c r="T583" s="194"/>
      <c r="U583" s="194"/>
    </row>
    <row r="584" spans="1:21" s="89" customFormat="1" ht="24" customHeight="1">
      <c r="A584" s="576"/>
      <c r="B584" s="145"/>
      <c r="C584" s="145"/>
      <c r="D584" s="698" t="s">
        <v>1038</v>
      </c>
      <c r="E584" s="698"/>
      <c r="F584" s="698"/>
      <c r="G584" s="698"/>
      <c r="H584" s="698"/>
      <c r="I584" s="698"/>
      <c r="J584" s="698"/>
      <c r="K584" s="698"/>
      <c r="L584" s="698"/>
      <c r="M584" s="194">
        <v>941</v>
      </c>
      <c r="N584" s="194">
        <v>941</v>
      </c>
      <c r="O584" s="194">
        <v>941</v>
      </c>
      <c r="P584" s="194">
        <f>N584+(P507+P511+P523+P516)-P542</f>
        <v>0</v>
      </c>
      <c r="Q584" s="194">
        <f>P584+(Q507+Q511+Q523+Q516)-Q542</f>
        <v>0</v>
      </c>
      <c r="R584" s="194">
        <f>Q584+(R507+R511+R523+R516)-R542</f>
        <v>0</v>
      </c>
      <c r="S584" s="194">
        <f>R584+(S507+S511+S523+S516)-S542</f>
        <v>0</v>
      </c>
      <c r="T584" s="194">
        <f>S584+(T507+T511+T523+T516)-T542</f>
        <v>0</v>
      </c>
      <c r="U584" s="194">
        <f>T584+(U507+U511+U523+U516)-U542</f>
        <v>0</v>
      </c>
    </row>
    <row r="585" spans="1:21" s="89" customFormat="1" ht="15" customHeight="1">
      <c r="A585" s="576"/>
      <c r="B585" s="145"/>
      <c r="C585" s="145"/>
      <c r="D585" s="490"/>
      <c r="E585" s="490"/>
      <c r="F585" s="490"/>
      <c r="G585" s="490"/>
      <c r="H585" s="490"/>
      <c r="I585" s="490"/>
      <c r="J585" s="490"/>
      <c r="K585" s="490"/>
      <c r="L585" s="491"/>
      <c r="M585" s="194"/>
      <c r="N585" s="194"/>
      <c r="O585" s="194"/>
      <c r="P585" s="194"/>
      <c r="Q585" s="194"/>
      <c r="R585" s="194"/>
      <c r="S585" s="194"/>
      <c r="T585" s="194"/>
      <c r="U585" s="194"/>
    </row>
    <row r="586" spans="1:21" s="89" customFormat="1" ht="24" customHeight="1">
      <c r="A586" s="576"/>
      <c r="B586" s="145"/>
      <c r="C586" s="145"/>
      <c r="D586" s="698" t="s">
        <v>780</v>
      </c>
      <c r="E586" s="698"/>
      <c r="F586" s="698"/>
      <c r="G586" s="698"/>
      <c r="H586" s="698"/>
      <c r="I586" s="698"/>
      <c r="J586" s="698"/>
      <c r="K586" s="698"/>
      <c r="L586" s="698"/>
      <c r="M586" s="194">
        <v>101612</v>
      </c>
      <c r="N586" s="194">
        <v>679034</v>
      </c>
      <c r="O586" s="194">
        <v>22469</v>
      </c>
      <c r="P586" s="194">
        <f>N586+(P530-P498-P502-P503-P504-P512-P524-P517-P508-P510-P526-P519-P511-P507-P513-P499-P515-P523-P516-P497-P527)-P552-P555</f>
        <v>593801</v>
      </c>
      <c r="Q586" s="194">
        <f>P586+(Q530-Q498-Q502-Q503-Q504-Q512-Q524-Q517-Q508-Q510-Q526-Q519-Q511-Q507-Q513-Q499-Q515-Q523-Q516-Q497-Q527)-Q552-Q555</f>
        <v>30149</v>
      </c>
      <c r="R586" s="194">
        <f>Q586+(R530-R498-R502-R503-R504-R512-R524-R517-R508-R510-R526-R519-R511-R507-R513-R499-R515-R523-R516-R497-R527)-R552-R555</f>
        <v>0</v>
      </c>
      <c r="S586" s="194">
        <f>R586+(S530-S498-S502-S503-S504-S512-S524-S517-S508-S510-S526-S519-S511-S507-S513-S499-S515-S523-S516-S497-S527)-S552-S555</f>
        <v>0</v>
      </c>
      <c r="T586" s="194">
        <f>S586+(T530-T498-T502-T503-T504-T512-T524-T517-T508-T510-T526-T519-T511-T507-T513-T499-T515-T523-T516-T497-T527)-T552-T555</f>
        <v>0</v>
      </c>
      <c r="U586" s="194">
        <f>T586+(U530-U498-U502-U503-U504-U512-U524-U517-U508-U510-U526-U519-U511-U507-U513-U499-U515-U523-U516-U497-U527)-U552-U555</f>
        <v>0</v>
      </c>
    </row>
    <row r="587" spans="1:21" s="89" customFormat="1" ht="15" customHeight="1">
      <c r="A587" s="576"/>
      <c r="B587" s="145"/>
      <c r="C587" s="145"/>
      <c r="D587" s="490"/>
      <c r="E587" s="490"/>
      <c r="F587" s="490"/>
      <c r="G587" s="490"/>
      <c r="H587" s="490"/>
      <c r="I587" s="490"/>
      <c r="J587" s="490"/>
      <c r="K587" s="490"/>
      <c r="L587" s="491"/>
      <c r="M587" s="194"/>
      <c r="N587" s="194"/>
      <c r="O587" s="194"/>
      <c r="P587" s="194"/>
      <c r="Q587" s="194"/>
      <c r="R587" s="194"/>
      <c r="S587" s="194"/>
      <c r="T587" s="194"/>
      <c r="U587" s="194"/>
    </row>
    <row r="588" spans="1:21" s="89" customFormat="1" ht="24" customHeight="1">
      <c r="A588" s="576"/>
      <c r="B588" s="145"/>
      <c r="C588" s="145"/>
      <c r="D588" s="698" t="s">
        <v>781</v>
      </c>
      <c r="E588" s="698"/>
      <c r="F588" s="698"/>
      <c r="G588" s="698"/>
      <c r="H588" s="698"/>
      <c r="I588" s="698"/>
      <c r="J588" s="698"/>
      <c r="K588" s="698"/>
      <c r="L588" s="698"/>
      <c r="M588" s="194">
        <v>335258</v>
      </c>
      <c r="N588" s="194">
        <v>578005</v>
      </c>
      <c r="O588" s="194">
        <v>250000</v>
      </c>
      <c r="P588" s="194">
        <f>N588+(P530-P498-P500-P501-P503-P504-P506-P524-P518-P517-P508-P509-P525-P511-P507-P499-P523-P516-P497-P505)-P567-P570</f>
        <v>650576</v>
      </c>
      <c r="Q588" s="194">
        <f>P588+(Q530-Q498-Q500-Q501-Q503-Q504-Q506-Q524-Q518-Q517-Q508-Q509-Q525-Q511-Q507-Q499-Q523-Q516-Q497-Q505)-Q567-Q570</f>
        <v>253000</v>
      </c>
      <c r="R588" s="194">
        <f>Q588+(R530-R498-R500-R501-R503-R504-R506-R524-R518-R517-R508-R509-R525-R511-R507-R499-R523-R516-R497-R505)-R567-R570</f>
        <v>250000</v>
      </c>
      <c r="S588" s="194">
        <f>R588+(S530-S498-S500-S501-S503-S504-S506-S524-S518-S517-S508-S509-S525-S511-S507-S499-S523-S516-S497-S505)-S567-S570</f>
        <v>250000</v>
      </c>
      <c r="T588" s="194">
        <f>S588+(T530-T498-T500-T501-T503-T504-T506-T524-T518-T517-T508-T509-T525-T511-T507-T499-T523-T516-T497-T505)-T567-T570</f>
        <v>250000</v>
      </c>
      <c r="U588" s="194">
        <f>T588+(U530-U498-U500-U501-U503-U504-U506-U524-U518-U517-U508-U509-U525-U511-U507-U499-U523-U516-U497-U505)-U567-U570</f>
        <v>250000</v>
      </c>
    </row>
    <row r="589" spans="1:21" s="89" customFormat="1" ht="15" customHeight="1">
      <c r="A589" s="576"/>
      <c r="B589" s="145"/>
      <c r="C589" s="145"/>
      <c r="D589" s="145"/>
      <c r="E589" s="145"/>
      <c r="F589" s="145"/>
      <c r="G589" s="145"/>
      <c r="H589" s="145"/>
      <c r="I589" s="145"/>
      <c r="J589" s="145"/>
      <c r="K589" s="145"/>
      <c r="L589" s="360"/>
      <c r="M589" s="178"/>
      <c r="N589" s="178"/>
      <c r="O589" s="178"/>
      <c r="P589" s="178"/>
      <c r="Q589" s="178"/>
      <c r="R589" s="178"/>
      <c r="S589" s="178"/>
      <c r="T589" s="178"/>
      <c r="U589" s="178"/>
    </row>
    <row r="590" spans="1:21" s="89" customFormat="1" ht="24" customHeight="1">
      <c r="A590" s="576"/>
      <c r="B590" s="145"/>
      <c r="C590" s="145"/>
      <c r="D590" s="145"/>
      <c r="E590" s="145"/>
      <c r="F590" s="145"/>
      <c r="G590" s="145"/>
      <c r="H590" s="145"/>
      <c r="I590" s="145"/>
      <c r="J590" s="145"/>
      <c r="K590" s="145"/>
      <c r="L590" s="423" t="s">
        <v>427</v>
      </c>
      <c r="M590" s="409">
        <v>511692</v>
      </c>
      <c r="N590" s="409">
        <v>1485791</v>
      </c>
      <c r="O590" s="409">
        <v>273410</v>
      </c>
      <c r="P590" s="409">
        <f>P582+P586+P588+P584</f>
        <v>1488996</v>
      </c>
      <c r="Q590" s="409">
        <f t="shared" ref="Q590:U590" si="75">Q582+Q586+Q588+Q584</f>
        <v>359643</v>
      </c>
      <c r="R590" s="409">
        <f>R582+R586+R588+R584</f>
        <v>320000</v>
      </c>
      <c r="S590" s="409">
        <f t="shared" si="75"/>
        <v>320000</v>
      </c>
      <c r="T590" s="409">
        <f t="shared" si="75"/>
        <v>320000</v>
      </c>
      <c r="U590" s="409">
        <f t="shared" si="75"/>
        <v>320000</v>
      </c>
    </row>
    <row r="591" spans="1:21" ht="15" customHeight="1">
      <c r="B591" s="145"/>
      <c r="C591" s="145"/>
      <c r="D591" s="145"/>
      <c r="E591" s="145"/>
      <c r="F591" s="145"/>
      <c r="G591" s="145"/>
      <c r="H591" s="145"/>
      <c r="I591" s="145"/>
      <c r="J591" s="145"/>
      <c r="K591" s="145"/>
      <c r="L591" s="145"/>
      <c r="M591" s="492"/>
      <c r="N591" s="492"/>
      <c r="O591" s="180"/>
      <c r="P591" s="180"/>
      <c r="Q591" s="180"/>
      <c r="R591" s="180"/>
      <c r="S591" s="180"/>
      <c r="T591" s="180"/>
      <c r="U591" s="180"/>
    </row>
    <row r="592" spans="1:21" ht="15" customHeight="1">
      <c r="B592" s="89"/>
      <c r="C592" s="89"/>
      <c r="D592" s="89"/>
      <c r="E592" s="89"/>
      <c r="F592" s="89"/>
      <c r="G592" s="89"/>
      <c r="H592" s="89"/>
      <c r="I592" s="89"/>
      <c r="J592" s="89"/>
      <c r="K592" s="89"/>
      <c r="L592" s="100"/>
      <c r="M592" s="245"/>
      <c r="N592" s="323"/>
      <c r="O592" s="195"/>
      <c r="P592" s="195"/>
      <c r="Q592" s="262"/>
      <c r="R592" s="262"/>
      <c r="S592" s="262"/>
      <c r="T592" s="262"/>
      <c r="U592" s="262"/>
    </row>
    <row r="593" spans="1:21" ht="24" customHeight="1">
      <c r="B593" s="163" t="s">
        <v>1288</v>
      </c>
      <c r="C593" s="161"/>
      <c r="D593" s="161"/>
      <c r="E593" s="161"/>
      <c r="F593" s="161"/>
      <c r="G593" s="161"/>
      <c r="H593" s="161"/>
      <c r="I593" s="161"/>
      <c r="J593" s="161"/>
      <c r="K593" s="161"/>
      <c r="L593" s="161"/>
      <c r="M593" s="263"/>
      <c r="N593" s="263"/>
      <c r="O593" s="196"/>
      <c r="P593" s="196"/>
      <c r="Q593" s="264"/>
      <c r="R593" s="264"/>
      <c r="S593" s="264"/>
      <c r="T593" s="264"/>
      <c r="U593" s="264"/>
    </row>
    <row r="594" spans="1:21" ht="15" customHeight="1">
      <c r="B594" s="89"/>
      <c r="C594" s="89"/>
      <c r="D594" s="89"/>
      <c r="E594" s="89"/>
      <c r="F594" s="89"/>
      <c r="G594" s="89"/>
      <c r="H594" s="89"/>
      <c r="I594" s="89"/>
      <c r="J594" s="89"/>
      <c r="K594" s="89"/>
      <c r="L594" s="89"/>
      <c r="M594" s="263"/>
      <c r="N594" s="373"/>
      <c r="O594" s="196"/>
      <c r="P594" s="196"/>
      <c r="Q594" s="264"/>
      <c r="R594" s="264"/>
      <c r="S594" s="264"/>
      <c r="T594" s="264"/>
      <c r="U594" s="264"/>
    </row>
    <row r="595" spans="1:21" ht="24" customHeight="1">
      <c r="B595" s="89" t="s">
        <v>255</v>
      </c>
      <c r="C595" s="89"/>
      <c r="D595" s="89"/>
      <c r="E595" s="89" t="s">
        <v>256</v>
      </c>
      <c r="F595" s="89"/>
      <c r="G595" s="89"/>
      <c r="H595" s="89"/>
      <c r="I595" s="89"/>
      <c r="J595" s="89"/>
      <c r="K595" s="89"/>
      <c r="L595" s="89"/>
      <c r="M595" s="435">
        <v>8555</v>
      </c>
      <c r="N595" s="436">
        <v>12994</v>
      </c>
      <c r="O595" s="476">
        <v>8000</v>
      </c>
      <c r="P595" s="476">
        <v>9500</v>
      </c>
      <c r="Q595" s="505">
        <v>8000</v>
      </c>
      <c r="R595" s="505">
        <v>0</v>
      </c>
      <c r="S595" s="505">
        <v>0</v>
      </c>
      <c r="T595" s="505">
        <v>0</v>
      </c>
      <c r="U595" s="505">
        <v>0</v>
      </c>
    </row>
    <row r="596" spans="1:21" ht="24" customHeight="1">
      <c r="B596" s="689" t="s">
        <v>1231</v>
      </c>
      <c r="C596" s="689"/>
      <c r="D596" s="689"/>
      <c r="E596" s="689"/>
      <c r="F596" s="689"/>
      <c r="G596" s="689"/>
      <c r="H596" s="689"/>
      <c r="I596" s="689"/>
      <c r="J596" s="689"/>
      <c r="K596" s="689"/>
      <c r="L596" s="689"/>
      <c r="M596" s="410">
        <f t="shared" ref="M596:U596" si="76">SUM(M595)</f>
        <v>8555</v>
      </c>
      <c r="N596" s="410">
        <f t="shared" si="76"/>
        <v>12994</v>
      </c>
      <c r="O596" s="407">
        <f t="shared" si="76"/>
        <v>8000</v>
      </c>
      <c r="P596" s="407">
        <f t="shared" si="76"/>
        <v>9500</v>
      </c>
      <c r="Q596" s="410">
        <f t="shared" si="76"/>
        <v>8000</v>
      </c>
      <c r="R596" s="410">
        <f t="shared" si="76"/>
        <v>0</v>
      </c>
      <c r="S596" s="410">
        <f t="shared" si="76"/>
        <v>0</v>
      </c>
      <c r="T596" s="410">
        <f t="shared" si="76"/>
        <v>0</v>
      </c>
      <c r="U596" s="410">
        <f t="shared" si="76"/>
        <v>0</v>
      </c>
    </row>
    <row r="597" spans="1:21" ht="6.9" customHeight="1">
      <c r="B597" s="470"/>
      <c r="C597" s="470"/>
      <c r="D597" s="470"/>
      <c r="E597" s="470"/>
      <c r="F597" s="470"/>
      <c r="G597" s="470"/>
      <c r="H597" s="470"/>
      <c r="I597" s="470"/>
      <c r="J597" s="470"/>
      <c r="K597" s="470"/>
      <c r="L597" s="470"/>
      <c r="M597" s="403"/>
      <c r="N597" s="404"/>
      <c r="O597" s="452"/>
      <c r="P597" s="452"/>
      <c r="Q597" s="454"/>
      <c r="R597" s="454"/>
      <c r="S597" s="454"/>
      <c r="T597" s="454"/>
      <c r="U597" s="454"/>
    </row>
    <row r="598" spans="1:21" ht="24" customHeight="1">
      <c r="B598" s="1" t="s">
        <v>257</v>
      </c>
      <c r="C598" s="95"/>
      <c r="D598" s="95"/>
      <c r="E598" s="1" t="s">
        <v>238</v>
      </c>
      <c r="F598" s="95"/>
      <c r="G598" s="95"/>
      <c r="H598" s="95"/>
      <c r="I598" s="95"/>
      <c r="J598" s="95"/>
      <c r="K598" s="95"/>
      <c r="L598" s="95"/>
      <c r="M598" s="435">
        <v>315470</v>
      </c>
      <c r="N598" s="436">
        <v>310231</v>
      </c>
      <c r="O598" s="449">
        <v>321375</v>
      </c>
      <c r="P598" s="449">
        <f>321375-4000+2500</f>
        <v>319875</v>
      </c>
      <c r="Q598" s="479">
        <v>322075</v>
      </c>
      <c r="R598" s="479">
        <v>0</v>
      </c>
      <c r="S598" s="479">
        <v>0</v>
      </c>
      <c r="T598" s="479">
        <v>0</v>
      </c>
      <c r="U598" s="479">
        <v>0</v>
      </c>
    </row>
    <row r="599" spans="1:21" ht="24" customHeight="1">
      <c r="B599" s="689" t="s">
        <v>592</v>
      </c>
      <c r="C599" s="689"/>
      <c r="D599" s="689"/>
      <c r="E599" s="689"/>
      <c r="F599" s="689"/>
      <c r="G599" s="689"/>
      <c r="H599" s="689"/>
      <c r="I599" s="689"/>
      <c r="J599" s="689"/>
      <c r="K599" s="689"/>
      <c r="L599" s="689"/>
      <c r="M599" s="410">
        <f t="shared" ref="M599:U599" si="77">SUM(M598)</f>
        <v>315470</v>
      </c>
      <c r="N599" s="410">
        <f t="shared" si="77"/>
        <v>310231</v>
      </c>
      <c r="O599" s="407">
        <f t="shared" si="77"/>
        <v>321375</v>
      </c>
      <c r="P599" s="407">
        <f t="shared" si="77"/>
        <v>319875</v>
      </c>
      <c r="Q599" s="410">
        <f t="shared" si="77"/>
        <v>322075</v>
      </c>
      <c r="R599" s="410">
        <f t="shared" si="77"/>
        <v>0</v>
      </c>
      <c r="S599" s="410">
        <f t="shared" si="77"/>
        <v>0</v>
      </c>
      <c r="T599" s="410">
        <f t="shared" si="77"/>
        <v>0</v>
      </c>
      <c r="U599" s="410">
        <f t="shared" si="77"/>
        <v>0</v>
      </c>
    </row>
    <row r="600" spans="1:21" ht="15" customHeight="1">
      <c r="B600" s="89"/>
      <c r="C600" s="107"/>
      <c r="D600" s="107"/>
      <c r="E600" s="107"/>
      <c r="F600" s="89"/>
      <c r="G600" s="97"/>
      <c r="H600" s="97"/>
      <c r="I600" s="97"/>
      <c r="J600" s="97"/>
      <c r="K600" s="97"/>
      <c r="L600" s="97"/>
      <c r="M600" s="226"/>
      <c r="N600" s="372"/>
      <c r="O600" s="168"/>
      <c r="P600" s="168"/>
      <c r="Q600" s="219"/>
      <c r="R600" s="219"/>
      <c r="S600" s="219"/>
      <c r="T600" s="219"/>
      <c r="U600" s="219"/>
    </row>
    <row r="601" spans="1:21" s="89" customFormat="1" ht="24" customHeight="1">
      <c r="A601" s="576"/>
      <c r="B601" s="689" t="s">
        <v>1250</v>
      </c>
      <c r="C601" s="689"/>
      <c r="D601" s="689"/>
      <c r="E601" s="689"/>
      <c r="F601" s="689"/>
      <c r="G601" s="689"/>
      <c r="H601" s="689"/>
      <c r="I601" s="689"/>
      <c r="J601" s="689"/>
      <c r="K601" s="689"/>
      <c r="L601" s="689"/>
      <c r="M601" s="408">
        <f t="shared" ref="M601:U601" si="78">M596+M599</f>
        <v>324025</v>
      </c>
      <c r="N601" s="408">
        <f t="shared" si="78"/>
        <v>323225</v>
      </c>
      <c r="O601" s="409">
        <f t="shared" si="78"/>
        <v>329375</v>
      </c>
      <c r="P601" s="409">
        <f t="shared" si="78"/>
        <v>329375</v>
      </c>
      <c r="Q601" s="408">
        <f t="shared" si="78"/>
        <v>330075</v>
      </c>
      <c r="R601" s="408">
        <f t="shared" si="78"/>
        <v>0</v>
      </c>
      <c r="S601" s="408">
        <f t="shared" si="78"/>
        <v>0</v>
      </c>
      <c r="T601" s="408">
        <f t="shared" si="78"/>
        <v>0</v>
      </c>
      <c r="U601" s="408">
        <f t="shared" si="78"/>
        <v>0</v>
      </c>
    </row>
    <row r="602" spans="1:21" ht="15" customHeight="1">
      <c r="B602" s="89"/>
      <c r="C602" s="89"/>
      <c r="D602" s="89"/>
      <c r="E602" s="89"/>
      <c r="F602" s="89"/>
      <c r="G602" s="89"/>
      <c r="H602" s="89"/>
      <c r="I602" s="89"/>
      <c r="J602" s="89"/>
      <c r="K602" s="89"/>
      <c r="L602" s="89"/>
      <c r="M602" s="226"/>
      <c r="N602" s="226"/>
      <c r="O602" s="168"/>
      <c r="P602" s="168"/>
      <c r="Q602" s="219"/>
      <c r="R602" s="219"/>
      <c r="S602" s="219"/>
      <c r="T602" s="219"/>
      <c r="U602" s="219"/>
    </row>
    <row r="603" spans="1:21" ht="24" customHeight="1">
      <c r="B603" s="1" t="s">
        <v>258</v>
      </c>
      <c r="C603" s="95"/>
      <c r="D603" s="95"/>
      <c r="E603" s="1" t="s">
        <v>259</v>
      </c>
      <c r="F603" s="95"/>
      <c r="G603" s="95"/>
      <c r="H603" s="95"/>
      <c r="I603" s="95"/>
      <c r="J603" s="95"/>
      <c r="K603" s="95"/>
      <c r="L603" s="95"/>
      <c r="M603" s="404">
        <v>475</v>
      </c>
      <c r="N603" s="404">
        <v>475</v>
      </c>
      <c r="O603" s="405">
        <v>475</v>
      </c>
      <c r="P603" s="405">
        <v>475</v>
      </c>
      <c r="Q603" s="414">
        <v>475</v>
      </c>
      <c r="R603" s="414">
        <v>0</v>
      </c>
      <c r="S603" s="414">
        <v>0</v>
      </c>
      <c r="T603" s="414">
        <v>0</v>
      </c>
      <c r="U603" s="414">
        <v>0</v>
      </c>
    </row>
    <row r="604" spans="1:21" ht="24" customHeight="1">
      <c r="B604" s="6" t="s">
        <v>949</v>
      </c>
      <c r="C604" s="95"/>
      <c r="D604" s="95"/>
      <c r="E604" s="1"/>
      <c r="F604" s="95"/>
      <c r="G604" s="95"/>
      <c r="H604" s="95"/>
      <c r="I604" s="95"/>
      <c r="J604" s="95"/>
      <c r="K604" s="95"/>
      <c r="L604" s="95"/>
      <c r="M604" s="240"/>
      <c r="N604" s="240"/>
      <c r="O604" s="164"/>
      <c r="P604" s="164"/>
      <c r="Q604" s="208"/>
      <c r="R604" s="208"/>
      <c r="S604" s="208"/>
      <c r="T604" s="208"/>
      <c r="U604" s="208"/>
    </row>
    <row r="605" spans="1:21" ht="24" customHeight="1">
      <c r="B605" s="1" t="s">
        <v>911</v>
      </c>
      <c r="C605" s="95"/>
      <c r="D605" s="95"/>
      <c r="E605" s="1" t="s">
        <v>798</v>
      </c>
      <c r="F605" s="95"/>
      <c r="G605" s="95"/>
      <c r="H605" s="95"/>
      <c r="I605" s="95"/>
      <c r="J605" s="95"/>
      <c r="K605" s="95"/>
      <c r="L605" s="95"/>
      <c r="M605" s="240">
        <v>290000</v>
      </c>
      <c r="N605" s="240">
        <v>295000</v>
      </c>
      <c r="O605" s="164">
        <v>310000</v>
      </c>
      <c r="P605" s="164">
        <v>310000</v>
      </c>
      <c r="Q605" s="208">
        <v>320000</v>
      </c>
      <c r="R605" s="266">
        <v>0</v>
      </c>
      <c r="S605" s="266">
        <v>0</v>
      </c>
      <c r="T605" s="266">
        <v>0</v>
      </c>
      <c r="U605" s="266">
        <v>0</v>
      </c>
    </row>
    <row r="606" spans="1:21" ht="24" customHeight="1">
      <c r="B606" s="1" t="s">
        <v>912</v>
      </c>
      <c r="C606" s="95"/>
      <c r="D606" s="95"/>
      <c r="E606" s="1" t="s">
        <v>248</v>
      </c>
      <c r="F606" s="95"/>
      <c r="G606" s="95"/>
      <c r="H606" s="95"/>
      <c r="I606" s="95"/>
      <c r="J606" s="95"/>
      <c r="K606" s="95"/>
      <c r="L606" s="95"/>
      <c r="M606" s="261">
        <v>33550</v>
      </c>
      <c r="N606" s="261">
        <v>27750</v>
      </c>
      <c r="O606" s="167">
        <v>18900</v>
      </c>
      <c r="P606" s="167">
        <v>18900</v>
      </c>
      <c r="Q606" s="225">
        <v>9600</v>
      </c>
      <c r="R606" s="225">
        <v>0</v>
      </c>
      <c r="S606" s="225">
        <v>0</v>
      </c>
      <c r="T606" s="225">
        <v>0</v>
      </c>
      <c r="U606" s="225">
        <v>0</v>
      </c>
    </row>
    <row r="607" spans="1:21" ht="15" customHeight="1">
      <c r="B607" s="1"/>
      <c r="C607" s="95"/>
      <c r="D607" s="95"/>
      <c r="E607" s="1"/>
      <c r="F607" s="95"/>
      <c r="G607" s="95"/>
      <c r="H607" s="95"/>
      <c r="I607" s="95"/>
      <c r="J607" s="95"/>
      <c r="K607" s="95"/>
      <c r="L607" s="95"/>
      <c r="M607" s="220"/>
      <c r="N607" s="220"/>
      <c r="O607" s="164"/>
      <c r="P607" s="164"/>
      <c r="Q607" s="208"/>
      <c r="R607" s="208"/>
      <c r="S607" s="208"/>
      <c r="T607" s="208"/>
      <c r="U607" s="208"/>
    </row>
    <row r="608" spans="1:21" s="89" customFormat="1" ht="24" customHeight="1">
      <c r="A608" s="576"/>
      <c r="B608" s="689" t="s">
        <v>1232</v>
      </c>
      <c r="C608" s="689"/>
      <c r="D608" s="689"/>
      <c r="E608" s="689"/>
      <c r="F608" s="689"/>
      <c r="G608" s="689"/>
      <c r="H608" s="689"/>
      <c r="I608" s="689"/>
      <c r="J608" s="689"/>
      <c r="K608" s="689"/>
      <c r="L608" s="689"/>
      <c r="M608" s="408">
        <f t="shared" ref="M608:U608" si="79">SUM(M603:M606)</f>
        <v>324025</v>
      </c>
      <c r="N608" s="408">
        <f t="shared" si="79"/>
        <v>323225</v>
      </c>
      <c r="O608" s="409">
        <f t="shared" si="79"/>
        <v>329375</v>
      </c>
      <c r="P608" s="409">
        <f t="shared" si="79"/>
        <v>329375</v>
      </c>
      <c r="Q608" s="408">
        <f t="shared" si="79"/>
        <v>330075</v>
      </c>
      <c r="R608" s="408">
        <f t="shared" si="79"/>
        <v>0</v>
      </c>
      <c r="S608" s="408">
        <f t="shared" si="79"/>
        <v>0</v>
      </c>
      <c r="T608" s="408">
        <f t="shared" si="79"/>
        <v>0</v>
      </c>
      <c r="U608" s="408">
        <f t="shared" si="79"/>
        <v>0</v>
      </c>
    </row>
    <row r="609" spans="1:21" s="89" customFormat="1" ht="15" customHeight="1">
      <c r="A609" s="576"/>
      <c r="M609" s="439"/>
      <c r="N609" s="439"/>
      <c r="O609" s="428"/>
      <c r="P609" s="428"/>
      <c r="Q609" s="439"/>
      <c r="R609" s="439"/>
      <c r="S609" s="439"/>
      <c r="T609" s="439"/>
      <c r="U609" s="439"/>
    </row>
    <row r="610" spans="1:21" s="89" customFormat="1" ht="24" customHeight="1">
      <c r="A610" s="576"/>
      <c r="L610" s="98" t="s">
        <v>425</v>
      </c>
      <c r="M610" s="241">
        <f t="shared" ref="M610:U610" si="80">M601-M608</f>
        <v>0</v>
      </c>
      <c r="N610" s="241">
        <f t="shared" si="80"/>
        <v>0</v>
      </c>
      <c r="O610" s="280">
        <f t="shared" si="80"/>
        <v>0</v>
      </c>
      <c r="P610" s="280">
        <f t="shared" si="80"/>
        <v>0</v>
      </c>
      <c r="Q610" s="241">
        <f t="shared" si="80"/>
        <v>0</v>
      </c>
      <c r="R610" s="241">
        <f t="shared" si="80"/>
        <v>0</v>
      </c>
      <c r="S610" s="241">
        <f t="shared" si="80"/>
        <v>0</v>
      </c>
      <c r="T610" s="241">
        <f t="shared" si="80"/>
        <v>0</v>
      </c>
      <c r="U610" s="241">
        <f t="shared" si="80"/>
        <v>0</v>
      </c>
    </row>
    <row r="611" spans="1:21" s="89" customFormat="1" ht="15" customHeight="1">
      <c r="A611" s="576"/>
      <c r="M611" s="408"/>
      <c r="N611" s="408"/>
      <c r="O611" s="409"/>
      <c r="P611" s="409"/>
      <c r="Q611" s="408"/>
      <c r="R611" s="408"/>
      <c r="S611" s="408"/>
      <c r="T611" s="408"/>
      <c r="U611" s="408"/>
    </row>
    <row r="612" spans="1:21" s="89" customFormat="1" ht="24" customHeight="1">
      <c r="A612" s="576"/>
      <c r="L612" s="100" t="s">
        <v>427</v>
      </c>
      <c r="M612" s="408">
        <v>0</v>
      </c>
      <c r="N612" s="408">
        <v>0</v>
      </c>
      <c r="O612" s="409">
        <v>0</v>
      </c>
      <c r="P612" s="409">
        <f>N612+P610</f>
        <v>0</v>
      </c>
      <c r="Q612" s="408">
        <f>P612+Q610</f>
        <v>0</v>
      </c>
      <c r="R612" s="408">
        <f>Q612+R610</f>
        <v>0</v>
      </c>
      <c r="S612" s="408">
        <f>R612+S610</f>
        <v>0</v>
      </c>
      <c r="T612" s="408">
        <f>S612+T610</f>
        <v>0</v>
      </c>
      <c r="U612" s="408">
        <f>T612+U610</f>
        <v>0</v>
      </c>
    </row>
    <row r="613" spans="1:21" ht="15" customHeight="1">
      <c r="B613" s="89"/>
      <c r="C613" s="89"/>
      <c r="D613" s="89"/>
      <c r="E613" s="89"/>
      <c r="F613" s="89"/>
      <c r="G613" s="89"/>
      <c r="H613" s="89"/>
      <c r="I613" s="89"/>
      <c r="J613" s="89"/>
      <c r="K613" s="89"/>
      <c r="L613" s="89"/>
      <c r="M613" s="263"/>
      <c r="N613" s="263"/>
      <c r="O613" s="196"/>
      <c r="P613" s="196"/>
      <c r="Q613" s="264"/>
      <c r="R613" s="264"/>
      <c r="S613" s="264"/>
      <c r="T613" s="264"/>
      <c r="U613" s="264"/>
    </row>
    <row r="614" spans="1:21" ht="24" customHeight="1">
      <c r="B614" s="163" t="s">
        <v>1289</v>
      </c>
      <c r="C614" s="89"/>
      <c r="D614" s="89"/>
      <c r="E614" s="89"/>
      <c r="F614" s="89"/>
      <c r="G614" s="89"/>
      <c r="H614" s="89"/>
      <c r="I614" s="89"/>
      <c r="J614" s="89"/>
      <c r="K614" s="89"/>
      <c r="L614" s="89"/>
      <c r="M614" s="254"/>
      <c r="N614" s="254"/>
      <c r="O614" s="185"/>
      <c r="P614" s="185"/>
      <c r="Q614" s="255"/>
      <c r="R614" s="255"/>
      <c r="S614" s="255"/>
      <c r="T614" s="255"/>
      <c r="U614" s="255"/>
    </row>
    <row r="615" spans="1:21" ht="15" customHeight="1">
      <c r="B615" s="89"/>
      <c r="C615" s="89"/>
      <c r="D615" s="89"/>
      <c r="E615" s="89"/>
      <c r="F615" s="89"/>
      <c r="G615" s="89"/>
      <c r="H615" s="89"/>
      <c r="I615" s="89"/>
      <c r="J615" s="89"/>
      <c r="K615" s="89"/>
      <c r="L615" s="89"/>
      <c r="M615" s="254"/>
      <c r="N615" s="254"/>
      <c r="O615" s="185"/>
      <c r="P615" s="185"/>
      <c r="Q615" s="255"/>
      <c r="R615" s="255"/>
      <c r="S615" s="255"/>
      <c r="T615" s="255"/>
      <c r="U615" s="255"/>
    </row>
    <row r="616" spans="1:21" ht="24" customHeight="1">
      <c r="B616" s="570" t="s">
        <v>1371</v>
      </c>
      <c r="C616" s="569"/>
      <c r="D616" s="569"/>
      <c r="E616" s="570" t="s">
        <v>1480</v>
      </c>
      <c r="F616" s="569"/>
      <c r="G616" s="569"/>
      <c r="H616" s="569"/>
      <c r="I616" s="569"/>
      <c r="J616" s="569"/>
      <c r="K616" s="569"/>
      <c r="L616" s="569"/>
      <c r="M616" s="440">
        <v>0</v>
      </c>
      <c r="N616" s="440">
        <v>0</v>
      </c>
      <c r="O616" s="452">
        <v>131250</v>
      </c>
      <c r="P616" s="452">
        <v>0</v>
      </c>
      <c r="Q616" s="440">
        <v>0</v>
      </c>
      <c r="R616" s="440">
        <v>0</v>
      </c>
      <c r="S616" s="454">
        <v>0</v>
      </c>
      <c r="T616" s="454">
        <v>0</v>
      </c>
      <c r="U616" s="454">
        <v>0</v>
      </c>
    </row>
    <row r="617" spans="1:21" ht="24" customHeight="1">
      <c r="B617" s="304" t="s">
        <v>1416</v>
      </c>
      <c r="C617" s="610"/>
      <c r="D617" s="610"/>
      <c r="E617" s="611" t="s">
        <v>1417</v>
      </c>
      <c r="F617" s="610"/>
      <c r="G617" s="610"/>
      <c r="H617" s="610"/>
      <c r="I617" s="610"/>
      <c r="J617" s="610"/>
      <c r="K617" s="610"/>
      <c r="L617" s="610"/>
      <c r="M617" s="613">
        <v>0</v>
      </c>
      <c r="N617" s="613">
        <v>0</v>
      </c>
      <c r="O617" s="614">
        <v>0</v>
      </c>
      <c r="P617" s="614">
        <v>0</v>
      </c>
      <c r="Q617" s="613">
        <v>100000</v>
      </c>
      <c r="R617" s="613">
        <v>0</v>
      </c>
      <c r="S617" s="615">
        <v>0</v>
      </c>
      <c r="T617" s="615">
        <v>0</v>
      </c>
      <c r="U617" s="615">
        <v>0</v>
      </c>
    </row>
    <row r="618" spans="1:21" ht="24" customHeight="1">
      <c r="B618" s="1" t="s">
        <v>260</v>
      </c>
      <c r="C618" s="95"/>
      <c r="D618" s="95"/>
      <c r="E618" s="304" t="s">
        <v>261</v>
      </c>
      <c r="F618" s="95"/>
      <c r="G618" s="95"/>
      <c r="H618" s="95"/>
      <c r="I618" s="95"/>
      <c r="J618" s="95"/>
      <c r="K618" s="95"/>
      <c r="L618" s="95"/>
      <c r="M618" s="240">
        <v>3049572</v>
      </c>
      <c r="N618" s="240">
        <v>3300613</v>
      </c>
      <c r="O618" s="164">
        <v>3412500</v>
      </c>
      <c r="P618" s="164">
        <v>3500000</v>
      </c>
      <c r="Q618" s="240">
        <v>3886543</v>
      </c>
      <c r="R618" s="240">
        <v>4274104</v>
      </c>
      <c r="S618" s="240">
        <v>4487809</v>
      </c>
      <c r="T618" s="240">
        <v>4712199</v>
      </c>
      <c r="U618" s="240">
        <v>4947809</v>
      </c>
    </row>
    <row r="619" spans="1:21" ht="24" customHeight="1">
      <c r="B619" s="1" t="s">
        <v>262</v>
      </c>
      <c r="C619" s="89"/>
      <c r="D619" s="89"/>
      <c r="E619" s="1" t="s">
        <v>263</v>
      </c>
      <c r="F619" s="89"/>
      <c r="G619" s="89"/>
      <c r="H619" s="89"/>
      <c r="I619" s="89"/>
      <c r="J619" s="89"/>
      <c r="K619" s="89"/>
      <c r="L619" s="89"/>
      <c r="M619" s="240">
        <v>10700</v>
      </c>
      <c r="N619" s="240">
        <v>7900</v>
      </c>
      <c r="O619" s="164">
        <v>5000</v>
      </c>
      <c r="P619" s="164">
        <v>5800</v>
      </c>
      <c r="Q619" s="240">
        <v>5000</v>
      </c>
      <c r="R619" s="240">
        <v>5000</v>
      </c>
      <c r="S619" s="240">
        <v>5000</v>
      </c>
      <c r="T619" s="240">
        <v>5000</v>
      </c>
      <c r="U619" s="240">
        <v>5000</v>
      </c>
    </row>
    <row r="620" spans="1:21" ht="24" customHeight="1">
      <c r="B620" s="1" t="s">
        <v>793</v>
      </c>
      <c r="C620" s="89"/>
      <c r="D620" s="89"/>
      <c r="E620" s="1" t="s">
        <v>765</v>
      </c>
      <c r="F620" s="95"/>
      <c r="G620" s="95"/>
      <c r="H620" s="95"/>
      <c r="I620" s="95"/>
      <c r="J620" s="95"/>
      <c r="K620" s="95"/>
      <c r="L620" s="95"/>
      <c r="M620" s="240">
        <v>103063</v>
      </c>
      <c r="N620" s="240">
        <v>755</v>
      </c>
      <c r="O620" s="164">
        <v>116394</v>
      </c>
      <c r="P620" s="164">
        <v>135000</v>
      </c>
      <c r="Q620" s="240">
        <v>135000</v>
      </c>
      <c r="R620" s="240">
        <v>135000</v>
      </c>
      <c r="S620" s="240">
        <v>135000</v>
      </c>
      <c r="T620" s="240">
        <v>135000</v>
      </c>
      <c r="U620" s="240">
        <v>135000</v>
      </c>
    </row>
    <row r="621" spans="1:21" ht="24" customHeight="1">
      <c r="B621" s="1" t="s">
        <v>264</v>
      </c>
      <c r="C621" s="95"/>
      <c r="D621" s="95"/>
      <c r="E621" s="1" t="s">
        <v>265</v>
      </c>
      <c r="F621" s="95"/>
      <c r="G621" s="95"/>
      <c r="H621" s="95"/>
      <c r="I621" s="95"/>
      <c r="J621" s="95"/>
      <c r="K621" s="95"/>
      <c r="L621" s="95"/>
      <c r="M621" s="240">
        <v>135841</v>
      </c>
      <c r="N621" s="240">
        <v>241930</v>
      </c>
      <c r="O621" s="172">
        <v>60000</v>
      </c>
      <c r="P621" s="172">
        <v>225000</v>
      </c>
      <c r="Q621" s="308">
        <v>200000</v>
      </c>
      <c r="R621" s="308">
        <v>100000</v>
      </c>
      <c r="S621" s="308">
        <v>60000</v>
      </c>
      <c r="T621" s="308">
        <v>60000</v>
      </c>
      <c r="U621" s="308">
        <v>60000</v>
      </c>
    </row>
    <row r="622" spans="1:21" ht="24" customHeight="1">
      <c r="B622" s="1" t="s">
        <v>266</v>
      </c>
      <c r="C622" s="89"/>
      <c r="D622" s="89"/>
      <c r="E622" s="1" t="s">
        <v>267</v>
      </c>
      <c r="F622" s="89"/>
      <c r="G622" s="89"/>
      <c r="H622" s="89"/>
      <c r="I622" s="89"/>
      <c r="J622" s="89"/>
      <c r="K622" s="89"/>
      <c r="L622" s="89"/>
      <c r="M622" s="221">
        <v>799153</v>
      </c>
      <c r="N622" s="221">
        <v>822094</v>
      </c>
      <c r="O622" s="166">
        <v>820000</v>
      </c>
      <c r="P622" s="166">
        <v>850000</v>
      </c>
      <c r="Q622" s="221">
        <v>867000</v>
      </c>
      <c r="R622" s="221">
        <v>884340</v>
      </c>
      <c r="S622" s="221">
        <v>902027</v>
      </c>
      <c r="T622" s="221">
        <v>920068</v>
      </c>
      <c r="U622" s="221">
        <v>938469</v>
      </c>
    </row>
    <row r="623" spans="1:21" ht="24" customHeight="1">
      <c r="B623" s="1" t="s">
        <v>268</v>
      </c>
      <c r="C623" s="95"/>
      <c r="D623" s="95"/>
      <c r="E623" s="4" t="s">
        <v>269</v>
      </c>
      <c r="F623" s="95"/>
      <c r="G623" s="95"/>
      <c r="H623" s="95"/>
      <c r="I623" s="95"/>
      <c r="J623" s="95"/>
      <c r="K623" s="95"/>
      <c r="L623" s="95"/>
      <c r="M623" s="240">
        <v>342552</v>
      </c>
      <c r="N623" s="240">
        <v>689353</v>
      </c>
      <c r="O623" s="172">
        <v>230000</v>
      </c>
      <c r="P623" s="172">
        <v>375000</v>
      </c>
      <c r="Q623" s="308">
        <v>300000</v>
      </c>
      <c r="R623" s="234">
        <v>230000</v>
      </c>
      <c r="S623" s="234">
        <v>230000</v>
      </c>
      <c r="T623" s="234">
        <v>230000</v>
      </c>
      <c r="U623" s="234">
        <v>230000</v>
      </c>
    </row>
    <row r="624" spans="1:21" ht="24" customHeight="1">
      <c r="B624" s="1" t="s">
        <v>270</v>
      </c>
      <c r="C624" s="95"/>
      <c r="D624" s="95"/>
      <c r="E624" s="688" t="s">
        <v>6</v>
      </c>
      <c r="F624" s="688"/>
      <c r="G624" s="688"/>
      <c r="H624" s="688"/>
      <c r="I624" s="688"/>
      <c r="J624" s="688"/>
      <c r="K624" s="688"/>
      <c r="L624" s="688"/>
      <c r="M624" s="240">
        <v>21180</v>
      </c>
      <c r="N624" s="240">
        <v>1302</v>
      </c>
      <c r="O624" s="164">
        <v>3000</v>
      </c>
      <c r="P624" s="164">
        <v>1300</v>
      </c>
      <c r="Q624" s="240">
        <v>2000</v>
      </c>
      <c r="R624" s="240">
        <v>3000</v>
      </c>
      <c r="S624" s="240">
        <v>5000</v>
      </c>
      <c r="T624" s="240">
        <v>10000</v>
      </c>
      <c r="U624" s="240">
        <v>15000</v>
      </c>
    </row>
    <row r="625" spans="1:21" ht="24" customHeight="1">
      <c r="B625" s="1" t="s">
        <v>1091</v>
      </c>
      <c r="C625" s="95"/>
      <c r="D625" s="95"/>
      <c r="E625" s="4" t="s">
        <v>1086</v>
      </c>
      <c r="F625" s="95"/>
      <c r="G625" s="95"/>
      <c r="H625" s="95"/>
      <c r="I625" s="95"/>
      <c r="J625" s="95"/>
      <c r="K625" s="95"/>
      <c r="L625" s="95"/>
      <c r="M625" s="240">
        <v>6693</v>
      </c>
      <c r="N625" s="240">
        <v>0</v>
      </c>
      <c r="O625" s="164">
        <v>0</v>
      </c>
      <c r="P625" s="164">
        <v>611</v>
      </c>
      <c r="Q625" s="240">
        <v>0</v>
      </c>
      <c r="R625" s="240">
        <v>0</v>
      </c>
      <c r="S625" s="240">
        <v>0</v>
      </c>
      <c r="T625" s="240">
        <v>0</v>
      </c>
      <c r="U625" s="240">
        <v>0</v>
      </c>
    </row>
    <row r="626" spans="1:21" ht="24" customHeight="1">
      <c r="B626" s="1" t="s">
        <v>516</v>
      </c>
      <c r="C626" s="95"/>
      <c r="D626" s="95"/>
      <c r="E626" s="1" t="s">
        <v>61</v>
      </c>
      <c r="F626" s="95"/>
      <c r="G626" s="95"/>
      <c r="H626" s="95"/>
      <c r="I626" s="95"/>
      <c r="J626" s="95"/>
      <c r="K626" s="95"/>
      <c r="L626" s="95"/>
      <c r="M626" s="228">
        <v>11110</v>
      </c>
      <c r="N626" s="228">
        <v>2524</v>
      </c>
      <c r="O626" s="165">
        <v>0</v>
      </c>
      <c r="P626" s="165">
        <v>2920</v>
      </c>
      <c r="Q626" s="228">
        <v>0</v>
      </c>
      <c r="R626" s="228">
        <v>0</v>
      </c>
      <c r="S626" s="228">
        <v>0</v>
      </c>
      <c r="T626" s="228">
        <v>0</v>
      </c>
      <c r="U626" s="228">
        <v>0</v>
      </c>
    </row>
    <row r="627" spans="1:21" ht="24" customHeight="1">
      <c r="B627" s="1" t="s">
        <v>700</v>
      </c>
      <c r="C627" s="89"/>
      <c r="D627" s="89"/>
      <c r="E627" s="1" t="s">
        <v>701</v>
      </c>
      <c r="F627" s="89"/>
      <c r="G627" s="89"/>
      <c r="H627" s="97"/>
      <c r="I627" s="97"/>
      <c r="J627" s="97"/>
      <c r="K627" s="97"/>
      <c r="L627" s="97"/>
      <c r="M627" s="308">
        <v>100814</v>
      </c>
      <c r="N627" s="308">
        <v>100010</v>
      </c>
      <c r="O627" s="172">
        <v>102644</v>
      </c>
      <c r="P627" s="172">
        <v>102644</v>
      </c>
      <c r="Q627" s="308">
        <v>105351</v>
      </c>
      <c r="R627" s="308">
        <v>108134</v>
      </c>
      <c r="S627" s="308">
        <v>110996</v>
      </c>
      <c r="T627" s="308">
        <v>113937</v>
      </c>
      <c r="U627" s="308">
        <v>116956</v>
      </c>
    </row>
    <row r="628" spans="1:21" ht="24" customHeight="1">
      <c r="B628" s="1" t="s">
        <v>271</v>
      </c>
      <c r="C628" s="89"/>
      <c r="D628" s="89"/>
      <c r="E628" s="1" t="s">
        <v>7</v>
      </c>
      <c r="F628" s="89"/>
      <c r="G628" s="89"/>
      <c r="H628" s="89"/>
      <c r="I628" s="89"/>
      <c r="J628" s="89"/>
      <c r="K628" s="89"/>
      <c r="L628" s="89"/>
      <c r="M628" s="261">
        <v>516</v>
      </c>
      <c r="N628" s="261">
        <v>459</v>
      </c>
      <c r="O628" s="167">
        <v>250</v>
      </c>
      <c r="P628" s="167">
        <v>250</v>
      </c>
      <c r="Q628" s="261">
        <v>250</v>
      </c>
      <c r="R628" s="261">
        <v>250</v>
      </c>
      <c r="S628" s="261">
        <v>250</v>
      </c>
      <c r="T628" s="261">
        <v>250</v>
      </c>
      <c r="U628" s="261">
        <v>250</v>
      </c>
    </row>
    <row r="629" spans="1:21" ht="24" customHeight="1">
      <c r="B629" s="689" t="s">
        <v>1224</v>
      </c>
      <c r="C629" s="689"/>
      <c r="D629" s="689"/>
      <c r="E629" s="689"/>
      <c r="F629" s="689"/>
      <c r="G629" s="689"/>
      <c r="H629" s="689"/>
      <c r="I629" s="689"/>
      <c r="J629" s="689"/>
      <c r="K629" s="689"/>
      <c r="L629" s="689"/>
      <c r="M629" s="410">
        <f t="shared" ref="M629:U629" si="81">SUM(M616:M628)</f>
        <v>4581194</v>
      </c>
      <c r="N629" s="410">
        <f t="shared" si="81"/>
        <v>5166940</v>
      </c>
      <c r="O629" s="407">
        <f t="shared" si="81"/>
        <v>4881038</v>
      </c>
      <c r="P629" s="407">
        <f t="shared" si="81"/>
        <v>5198525</v>
      </c>
      <c r="Q629" s="410">
        <f t="shared" si="81"/>
        <v>5601144</v>
      </c>
      <c r="R629" s="410">
        <f t="shared" si="81"/>
        <v>5739828</v>
      </c>
      <c r="S629" s="410">
        <f t="shared" si="81"/>
        <v>5936082</v>
      </c>
      <c r="T629" s="410">
        <f t="shared" si="81"/>
        <v>6186454</v>
      </c>
      <c r="U629" s="410">
        <f t="shared" si="81"/>
        <v>6448484</v>
      </c>
    </row>
    <row r="630" spans="1:21" ht="6.9" customHeight="1">
      <c r="B630" s="468"/>
      <c r="C630" s="470"/>
      <c r="D630" s="470"/>
      <c r="E630" s="468"/>
      <c r="F630" s="470"/>
      <c r="G630" s="470"/>
      <c r="H630" s="470"/>
      <c r="I630" s="470"/>
      <c r="J630" s="470"/>
      <c r="K630" s="470"/>
      <c r="L630" s="470"/>
      <c r="M630" s="220"/>
      <c r="N630" s="240"/>
      <c r="O630" s="164"/>
      <c r="P630" s="164"/>
      <c r="Q630" s="240"/>
      <c r="R630" s="240"/>
      <c r="S630" s="240"/>
      <c r="T630" s="240"/>
      <c r="U630" s="240"/>
    </row>
    <row r="631" spans="1:21" ht="24" customHeight="1">
      <c r="B631" s="1" t="s">
        <v>994</v>
      </c>
      <c r="C631" s="95"/>
      <c r="D631" s="95"/>
      <c r="E631" s="1" t="s">
        <v>944</v>
      </c>
      <c r="F631" s="89"/>
      <c r="G631" s="89"/>
      <c r="H631" s="89"/>
      <c r="I631" s="89"/>
      <c r="J631" s="89"/>
      <c r="K631" s="89"/>
      <c r="L631" s="89"/>
      <c r="M631" s="240">
        <v>104906</v>
      </c>
      <c r="N631" s="240">
        <v>103895</v>
      </c>
      <c r="O631" s="164">
        <v>104558</v>
      </c>
      <c r="P631" s="164">
        <f t="shared" ref="P631:U631" si="82">ROUND((P697+P698)*0.2372,0)</f>
        <v>104558</v>
      </c>
      <c r="Q631" s="208">
        <f t="shared" si="82"/>
        <v>104209</v>
      </c>
      <c r="R631" s="208">
        <f t="shared" si="82"/>
        <v>104627</v>
      </c>
      <c r="S631" s="208">
        <f t="shared" si="82"/>
        <v>104034</v>
      </c>
      <c r="T631" s="208">
        <f t="shared" si="82"/>
        <v>55366</v>
      </c>
      <c r="U631" s="208">
        <f t="shared" si="82"/>
        <v>54738</v>
      </c>
    </row>
    <row r="632" spans="1:21" ht="24" customHeight="1">
      <c r="B632" s="1" t="s">
        <v>272</v>
      </c>
      <c r="C632" s="95"/>
      <c r="D632" s="95"/>
      <c r="E632" s="1" t="s">
        <v>195</v>
      </c>
      <c r="F632" s="95"/>
      <c r="G632" s="95"/>
      <c r="H632" s="95"/>
      <c r="I632" s="95"/>
      <c r="J632" s="95"/>
      <c r="K632" s="95"/>
      <c r="L632" s="95"/>
      <c r="M632" s="261">
        <v>73875</v>
      </c>
      <c r="N632" s="261">
        <v>75125</v>
      </c>
      <c r="O632" s="167">
        <v>75675</v>
      </c>
      <c r="P632" s="167">
        <f>P813</f>
        <v>75675</v>
      </c>
      <c r="Q632" s="225">
        <f t="shared" ref="Q632:U632" si="83">Q813</f>
        <v>73650</v>
      </c>
      <c r="R632" s="225">
        <f t="shared" si="83"/>
        <v>74125</v>
      </c>
      <c r="S632" s="225">
        <f t="shared" si="83"/>
        <v>69525</v>
      </c>
      <c r="T632" s="225">
        <f t="shared" si="83"/>
        <v>0</v>
      </c>
      <c r="U632" s="225">
        <f t="shared" si="83"/>
        <v>0</v>
      </c>
    </row>
    <row r="633" spans="1:21" ht="24" customHeight="1">
      <c r="B633" s="689" t="s">
        <v>592</v>
      </c>
      <c r="C633" s="689"/>
      <c r="D633" s="689"/>
      <c r="E633" s="689"/>
      <c r="F633" s="689"/>
      <c r="G633" s="689"/>
      <c r="H633" s="689"/>
      <c r="I633" s="689"/>
      <c r="J633" s="689"/>
      <c r="K633" s="689"/>
      <c r="L633" s="689"/>
      <c r="M633" s="410">
        <f>M631+M632</f>
        <v>178781</v>
      </c>
      <c r="N633" s="410">
        <f>N631+N632</f>
        <v>179020</v>
      </c>
      <c r="O633" s="407">
        <f t="shared" ref="O633:P633" si="84">O631+O632</f>
        <v>180233</v>
      </c>
      <c r="P633" s="407">
        <f t="shared" si="84"/>
        <v>180233</v>
      </c>
      <c r="Q633" s="410">
        <f>Q631+Q632</f>
        <v>177859</v>
      </c>
      <c r="R633" s="410">
        <f t="shared" ref="R633:U633" si="85">R631+R632</f>
        <v>178752</v>
      </c>
      <c r="S633" s="410">
        <f t="shared" si="85"/>
        <v>173559</v>
      </c>
      <c r="T633" s="410">
        <f t="shared" si="85"/>
        <v>55366</v>
      </c>
      <c r="U633" s="410">
        <f t="shared" si="85"/>
        <v>54738</v>
      </c>
    </row>
    <row r="634" spans="1:21" ht="15" customHeight="1">
      <c r="B634" s="89"/>
      <c r="C634" s="89"/>
      <c r="D634" s="89"/>
      <c r="E634" s="89"/>
      <c r="F634" s="89"/>
      <c r="G634" s="89"/>
      <c r="H634" s="89"/>
      <c r="I634" s="89"/>
      <c r="J634" s="89"/>
      <c r="K634" s="89"/>
      <c r="L634" s="89"/>
      <c r="M634" s="226"/>
      <c r="N634" s="226"/>
      <c r="O634" s="168"/>
      <c r="P634" s="168"/>
      <c r="Q634" s="219"/>
      <c r="R634" s="219"/>
      <c r="S634" s="219"/>
      <c r="T634" s="219"/>
      <c r="U634" s="219"/>
    </row>
    <row r="635" spans="1:21" s="89" customFormat="1" ht="24" customHeight="1">
      <c r="A635" s="576"/>
      <c r="B635" s="689" t="s">
        <v>1251</v>
      </c>
      <c r="C635" s="689"/>
      <c r="D635" s="689"/>
      <c r="E635" s="689"/>
      <c r="F635" s="689"/>
      <c r="G635" s="689"/>
      <c r="H635" s="689"/>
      <c r="I635" s="689"/>
      <c r="J635" s="689"/>
      <c r="K635" s="689"/>
      <c r="L635" s="689"/>
      <c r="M635" s="408">
        <f t="shared" ref="M635:U635" si="86">M629+M633</f>
        <v>4759975</v>
      </c>
      <c r="N635" s="408">
        <f t="shared" si="86"/>
        <v>5345960</v>
      </c>
      <c r="O635" s="409">
        <f t="shared" si="86"/>
        <v>5061271</v>
      </c>
      <c r="P635" s="409">
        <f t="shared" si="86"/>
        <v>5378758</v>
      </c>
      <c r="Q635" s="408">
        <f t="shared" si="86"/>
        <v>5779003</v>
      </c>
      <c r="R635" s="408">
        <f t="shared" si="86"/>
        <v>5918580</v>
      </c>
      <c r="S635" s="408">
        <f t="shared" si="86"/>
        <v>6109641</v>
      </c>
      <c r="T635" s="408">
        <f t="shared" si="86"/>
        <v>6241820</v>
      </c>
      <c r="U635" s="408">
        <f t="shared" si="86"/>
        <v>6503222</v>
      </c>
    </row>
    <row r="636" spans="1:21" ht="15" customHeight="1">
      <c r="B636" s="397"/>
      <c r="C636" s="397"/>
      <c r="D636" s="397"/>
      <c r="E636" s="397"/>
      <c r="F636" s="397"/>
      <c r="G636" s="397"/>
      <c r="H636" s="397"/>
      <c r="I636" s="397"/>
      <c r="J636" s="397"/>
      <c r="K636" s="397"/>
      <c r="L636" s="397"/>
      <c r="M636" s="399"/>
      <c r="N636" s="399"/>
      <c r="O636" s="168"/>
      <c r="P636" s="168"/>
      <c r="Q636" s="219"/>
      <c r="R636" s="219"/>
      <c r="S636" s="219"/>
      <c r="T636" s="219"/>
      <c r="U636" s="219"/>
    </row>
    <row r="637" spans="1:21" ht="24" customHeight="1">
      <c r="B637" s="98" t="s">
        <v>1291</v>
      </c>
      <c r="C637" s="89"/>
      <c r="D637" s="89"/>
      <c r="E637" s="89"/>
      <c r="F637" s="89"/>
      <c r="G637" s="89"/>
      <c r="H637" s="89"/>
      <c r="I637" s="89"/>
      <c r="J637" s="89"/>
      <c r="K637" s="89"/>
      <c r="L637" s="89"/>
      <c r="M637" s="226"/>
      <c r="N637" s="226"/>
      <c r="O637" s="168"/>
      <c r="P637" s="168"/>
      <c r="Q637" s="219"/>
      <c r="R637" s="219"/>
      <c r="S637" s="219"/>
      <c r="T637" s="219"/>
      <c r="U637" s="219"/>
    </row>
    <row r="638" spans="1:21" ht="24" customHeight="1">
      <c r="B638" s="1" t="s">
        <v>273</v>
      </c>
      <c r="C638" s="95"/>
      <c r="D638" s="95"/>
      <c r="E638" s="1" t="s">
        <v>722</v>
      </c>
      <c r="F638" s="95"/>
      <c r="G638" s="95"/>
      <c r="H638" s="95"/>
      <c r="I638" s="95"/>
      <c r="J638" s="95"/>
      <c r="K638" s="95"/>
      <c r="L638" s="95"/>
      <c r="M638" s="404">
        <v>392258</v>
      </c>
      <c r="N638" s="404">
        <v>442918</v>
      </c>
      <c r="O638" s="405">
        <v>485856</v>
      </c>
      <c r="P638" s="405">
        <v>490000</v>
      </c>
      <c r="Q638" s="404">
        <v>510785</v>
      </c>
      <c r="R638" s="404">
        <v>526109</v>
      </c>
      <c r="S638" s="404">
        <v>541892</v>
      </c>
      <c r="T638" s="404">
        <v>558149</v>
      </c>
      <c r="U638" s="404">
        <v>574893</v>
      </c>
    </row>
    <row r="639" spans="1:21" ht="24" customHeight="1">
      <c r="B639" s="1" t="s">
        <v>885</v>
      </c>
      <c r="C639" s="95"/>
      <c r="D639" s="95"/>
      <c r="E639" s="1" t="s">
        <v>66</v>
      </c>
      <c r="F639" s="95"/>
      <c r="G639" s="95"/>
      <c r="H639" s="95"/>
      <c r="I639" s="95"/>
      <c r="J639" s="95"/>
      <c r="K639" s="95"/>
      <c r="L639" s="95"/>
      <c r="M639" s="228">
        <v>4177</v>
      </c>
      <c r="N639" s="228">
        <v>0</v>
      </c>
      <c r="O639" s="165">
        <v>30000</v>
      </c>
      <c r="P639" s="165">
        <v>3488</v>
      </c>
      <c r="Q639" s="228">
        <v>30000</v>
      </c>
      <c r="R639" s="228">
        <v>30000</v>
      </c>
      <c r="S639" s="228">
        <v>30000</v>
      </c>
      <c r="T639" s="228">
        <v>30000</v>
      </c>
      <c r="U639" s="228">
        <v>30000</v>
      </c>
    </row>
    <row r="640" spans="1:21" ht="24" customHeight="1">
      <c r="B640" s="1" t="s">
        <v>274</v>
      </c>
      <c r="C640" s="95"/>
      <c r="D640" s="95"/>
      <c r="E640" s="1" t="s">
        <v>14</v>
      </c>
      <c r="F640" s="95"/>
      <c r="G640" s="95"/>
      <c r="H640" s="95"/>
      <c r="I640" s="95"/>
      <c r="J640" s="95"/>
      <c r="K640" s="95"/>
      <c r="L640" s="95"/>
      <c r="M640" s="240">
        <v>7549</v>
      </c>
      <c r="N640" s="240">
        <v>10986</v>
      </c>
      <c r="O640" s="164">
        <v>22000</v>
      </c>
      <c r="P640" s="164">
        <v>10000</v>
      </c>
      <c r="Q640" s="240">
        <v>22000</v>
      </c>
      <c r="R640" s="240">
        <v>22000</v>
      </c>
      <c r="S640" s="240">
        <v>12000</v>
      </c>
      <c r="T640" s="240">
        <v>12000</v>
      </c>
      <c r="U640" s="240">
        <v>12000</v>
      </c>
    </row>
    <row r="641" spans="2:21" ht="24" customHeight="1">
      <c r="B641" s="1" t="s">
        <v>275</v>
      </c>
      <c r="C641" s="95"/>
      <c r="D641" s="95"/>
      <c r="E641" s="1" t="s">
        <v>8</v>
      </c>
      <c r="F641" s="95"/>
      <c r="G641" s="95"/>
      <c r="H641" s="95"/>
      <c r="I641" s="95"/>
      <c r="J641" s="95"/>
      <c r="K641" s="95"/>
      <c r="L641" s="95"/>
      <c r="M641" s="228">
        <v>39564</v>
      </c>
      <c r="N641" s="228">
        <v>50683</v>
      </c>
      <c r="O641" s="165">
        <v>52857</v>
      </c>
      <c r="P641" s="165">
        <v>55000</v>
      </c>
      <c r="Q641" s="228">
        <v>48025</v>
      </c>
      <c r="R641" s="240">
        <v>50755</v>
      </c>
      <c r="S641" s="240">
        <v>52841</v>
      </c>
      <c r="T641" s="240">
        <v>55989</v>
      </c>
      <c r="U641" s="240">
        <v>59394</v>
      </c>
    </row>
    <row r="642" spans="2:21" ht="24" customHeight="1">
      <c r="B642" s="1" t="s">
        <v>276</v>
      </c>
      <c r="C642" s="89"/>
      <c r="D642" s="89"/>
      <c r="E642" s="1" t="s">
        <v>9</v>
      </c>
      <c r="F642" s="89"/>
      <c r="G642" s="89"/>
      <c r="H642" s="89"/>
      <c r="I642" s="89"/>
      <c r="J642" s="89"/>
      <c r="K642" s="89"/>
      <c r="L642" s="89"/>
      <c r="M642" s="228">
        <v>29650</v>
      </c>
      <c r="N642" s="228">
        <v>33514</v>
      </c>
      <c r="O642" s="165">
        <v>39634</v>
      </c>
      <c r="P642" s="165">
        <v>38500</v>
      </c>
      <c r="Q642" s="228">
        <v>41534</v>
      </c>
      <c r="R642" s="228">
        <v>42780</v>
      </c>
      <c r="S642" s="228">
        <v>44063</v>
      </c>
      <c r="T642" s="228">
        <v>45385</v>
      </c>
      <c r="U642" s="228">
        <v>46747</v>
      </c>
    </row>
    <row r="643" spans="2:21" ht="24" customHeight="1">
      <c r="B643" s="1" t="s">
        <v>452</v>
      </c>
      <c r="C643" s="89"/>
      <c r="D643" s="89"/>
      <c r="E643" s="1" t="s">
        <v>13</v>
      </c>
      <c r="F643" s="89"/>
      <c r="G643" s="89"/>
      <c r="H643" s="89"/>
      <c r="I643" s="89"/>
      <c r="J643" s="89"/>
      <c r="K643" s="89"/>
      <c r="L643" s="89"/>
      <c r="M643" s="228">
        <v>88497</v>
      </c>
      <c r="N643" s="228">
        <v>111960</v>
      </c>
      <c r="O643" s="165">
        <v>107242</v>
      </c>
      <c r="P643" s="165">
        <v>115661</v>
      </c>
      <c r="Q643" s="228">
        <v>135391</v>
      </c>
      <c r="R643" s="228">
        <v>146222</v>
      </c>
      <c r="S643" s="228">
        <v>157920</v>
      </c>
      <c r="T643" s="228">
        <v>170554</v>
      </c>
      <c r="U643" s="228">
        <v>184198</v>
      </c>
    </row>
    <row r="644" spans="2:21" ht="24" customHeight="1">
      <c r="B644" s="1" t="s">
        <v>453</v>
      </c>
      <c r="C644" s="89"/>
      <c r="D644" s="89"/>
      <c r="E644" s="1" t="s">
        <v>161</v>
      </c>
      <c r="F644" s="89"/>
      <c r="G644" s="89"/>
      <c r="H644" s="89"/>
      <c r="I644" s="89"/>
      <c r="J644" s="89"/>
      <c r="K644" s="89"/>
      <c r="L644" s="89"/>
      <c r="M644" s="228">
        <v>428</v>
      </c>
      <c r="N644" s="228">
        <v>540</v>
      </c>
      <c r="O644" s="165">
        <v>897</v>
      </c>
      <c r="P644" s="165">
        <v>787</v>
      </c>
      <c r="Q644" s="228">
        <v>851</v>
      </c>
      <c r="R644" s="240">
        <v>860</v>
      </c>
      <c r="S644" s="240">
        <v>869</v>
      </c>
      <c r="T644" s="240">
        <v>878</v>
      </c>
      <c r="U644" s="240">
        <v>887</v>
      </c>
    </row>
    <row r="645" spans="2:21" ht="24" customHeight="1">
      <c r="B645" s="1" t="s">
        <v>454</v>
      </c>
      <c r="C645" s="89"/>
      <c r="D645" s="89"/>
      <c r="E645" s="1" t="s">
        <v>461</v>
      </c>
      <c r="F645" s="89"/>
      <c r="G645" s="89"/>
      <c r="H645" s="89"/>
      <c r="I645" s="89"/>
      <c r="J645" s="89"/>
      <c r="K645" s="89"/>
      <c r="L645" s="89"/>
      <c r="M645" s="228">
        <v>6657</v>
      </c>
      <c r="N645" s="228">
        <v>7127</v>
      </c>
      <c r="O645" s="165">
        <v>8634</v>
      </c>
      <c r="P645" s="165">
        <v>8241</v>
      </c>
      <c r="Q645" s="228">
        <v>9286</v>
      </c>
      <c r="R645" s="240">
        <v>9750</v>
      </c>
      <c r="S645" s="240">
        <v>10238</v>
      </c>
      <c r="T645" s="240">
        <v>10750</v>
      </c>
      <c r="U645" s="240">
        <v>11288</v>
      </c>
    </row>
    <row r="646" spans="2:21" ht="24" customHeight="1">
      <c r="B646" s="1" t="s">
        <v>468</v>
      </c>
      <c r="C646" s="89"/>
      <c r="D646" s="89"/>
      <c r="E646" s="1" t="s">
        <v>463</v>
      </c>
      <c r="F646" s="89"/>
      <c r="G646" s="89"/>
      <c r="H646" s="89"/>
      <c r="I646" s="89"/>
      <c r="J646" s="89"/>
      <c r="K646" s="89"/>
      <c r="L646" s="89"/>
      <c r="M646" s="228">
        <v>984</v>
      </c>
      <c r="N646" s="228">
        <v>1188</v>
      </c>
      <c r="O646" s="164">
        <v>1306</v>
      </c>
      <c r="P646" s="165">
        <v>1285</v>
      </c>
      <c r="Q646" s="240">
        <v>1474</v>
      </c>
      <c r="R646" s="240">
        <v>1518</v>
      </c>
      <c r="S646" s="240">
        <v>1564</v>
      </c>
      <c r="T646" s="240">
        <v>1611</v>
      </c>
      <c r="U646" s="240">
        <v>1659</v>
      </c>
    </row>
    <row r="647" spans="2:21" ht="24" customHeight="1">
      <c r="B647" s="1" t="s">
        <v>435</v>
      </c>
      <c r="C647" s="89"/>
      <c r="D647" s="89"/>
      <c r="E647" s="1" t="s">
        <v>160</v>
      </c>
      <c r="F647" s="89"/>
      <c r="G647" s="89"/>
      <c r="H647" s="89"/>
      <c r="I647" s="89"/>
      <c r="J647" s="89"/>
      <c r="K647" s="89"/>
      <c r="L647" s="89"/>
      <c r="M647" s="240">
        <v>1374</v>
      </c>
      <c r="N647" s="240">
        <v>1054</v>
      </c>
      <c r="O647" s="164">
        <v>2000</v>
      </c>
      <c r="P647" s="164">
        <v>1225</v>
      </c>
      <c r="Q647" s="240">
        <v>2000</v>
      </c>
      <c r="R647" s="240">
        <v>2000</v>
      </c>
      <c r="S647" s="240">
        <v>2000</v>
      </c>
      <c r="T647" s="240">
        <v>2000</v>
      </c>
      <c r="U647" s="240">
        <v>2000</v>
      </c>
    </row>
    <row r="648" spans="2:21" ht="24" customHeight="1">
      <c r="B648" s="1" t="s">
        <v>433</v>
      </c>
      <c r="C648" s="89"/>
      <c r="D648" s="89"/>
      <c r="E648" s="1" t="s">
        <v>214</v>
      </c>
      <c r="F648" s="89"/>
      <c r="G648" s="89"/>
      <c r="H648" s="89"/>
      <c r="I648" s="89"/>
      <c r="J648" s="89"/>
      <c r="K648" s="89"/>
      <c r="L648" s="89"/>
      <c r="M648" s="240">
        <v>28093</v>
      </c>
      <c r="N648" s="240">
        <v>29267</v>
      </c>
      <c r="O648" s="164">
        <v>31023</v>
      </c>
      <c r="P648" s="164">
        <v>29186</v>
      </c>
      <c r="Q648" s="240">
        <v>32105</v>
      </c>
      <c r="R648" s="240">
        <v>34031</v>
      </c>
      <c r="S648" s="240">
        <v>36073</v>
      </c>
      <c r="T648" s="240">
        <v>38237</v>
      </c>
      <c r="U648" s="240">
        <v>40531</v>
      </c>
    </row>
    <row r="649" spans="2:21" ht="24" customHeight="1">
      <c r="B649" s="1" t="s">
        <v>1012</v>
      </c>
      <c r="C649" s="89"/>
      <c r="D649" s="89"/>
      <c r="E649" s="89" t="s">
        <v>1013</v>
      </c>
      <c r="F649" s="89"/>
      <c r="G649" s="161"/>
      <c r="H649" s="89"/>
      <c r="I649" s="89"/>
      <c r="J649" s="89"/>
      <c r="K649" s="89"/>
      <c r="L649" s="89"/>
      <c r="M649" s="240">
        <v>118631</v>
      </c>
      <c r="N649" s="240">
        <v>124225</v>
      </c>
      <c r="O649" s="164">
        <v>126596</v>
      </c>
      <c r="P649" s="164">
        <v>126596</v>
      </c>
      <c r="Q649" s="240">
        <v>133075</v>
      </c>
      <c r="R649" s="240">
        <v>137067</v>
      </c>
      <c r="S649" s="240">
        <v>141179</v>
      </c>
      <c r="T649" s="240">
        <v>145414</v>
      </c>
      <c r="U649" s="240">
        <v>149776</v>
      </c>
    </row>
    <row r="650" spans="2:21" ht="24" customHeight="1">
      <c r="B650" s="304" t="s">
        <v>1442</v>
      </c>
      <c r="C650" s="106"/>
      <c r="D650" s="106"/>
      <c r="E650" s="304" t="s">
        <v>1441</v>
      </c>
      <c r="F650" s="332"/>
      <c r="G650" s="333"/>
      <c r="H650" s="333"/>
      <c r="I650" s="333"/>
      <c r="J650" s="333"/>
      <c r="K650" s="333"/>
      <c r="L650" s="333"/>
      <c r="M650" s="240">
        <v>0</v>
      </c>
      <c r="N650" s="240">
        <v>0</v>
      </c>
      <c r="O650" s="164">
        <v>0</v>
      </c>
      <c r="P650" s="164">
        <v>0</v>
      </c>
      <c r="Q650" s="240">
        <v>350000</v>
      </c>
      <c r="R650" s="240">
        <v>350000</v>
      </c>
      <c r="S650" s="240">
        <v>350000</v>
      </c>
      <c r="T650" s="240">
        <v>350000</v>
      </c>
      <c r="U650" s="240">
        <v>0</v>
      </c>
    </row>
    <row r="651" spans="2:21" ht="24" customHeight="1">
      <c r="B651" s="1" t="s">
        <v>277</v>
      </c>
      <c r="C651" s="95"/>
      <c r="D651" s="95"/>
      <c r="E651" s="1" t="s">
        <v>86</v>
      </c>
      <c r="F651" s="95"/>
      <c r="G651" s="95"/>
      <c r="H651" s="95"/>
      <c r="I651" s="95"/>
      <c r="J651" s="95"/>
      <c r="K651" s="95"/>
      <c r="L651" s="95"/>
      <c r="M651" s="240">
        <v>3242</v>
      </c>
      <c r="N651" s="240">
        <v>713</v>
      </c>
      <c r="O651" s="164">
        <v>9200</v>
      </c>
      <c r="P651" s="164">
        <v>5000</v>
      </c>
      <c r="Q651" s="240">
        <v>9200</v>
      </c>
      <c r="R651" s="240">
        <v>9200</v>
      </c>
      <c r="S651" s="240">
        <v>9200</v>
      </c>
      <c r="T651" s="240">
        <v>9200</v>
      </c>
      <c r="U651" s="240">
        <v>9200</v>
      </c>
    </row>
    <row r="652" spans="2:21" ht="24" customHeight="1">
      <c r="B652" s="1" t="s">
        <v>278</v>
      </c>
      <c r="C652" s="89"/>
      <c r="D652" s="89"/>
      <c r="E652" s="1" t="s">
        <v>828</v>
      </c>
      <c r="F652" s="89"/>
      <c r="G652" s="89"/>
      <c r="H652" s="95"/>
      <c r="I652" s="95"/>
      <c r="J652" s="95"/>
      <c r="K652" s="95"/>
      <c r="L652" s="95"/>
      <c r="M652" s="240">
        <v>768</v>
      </c>
      <c r="N652" s="240">
        <v>158</v>
      </c>
      <c r="O652" s="164">
        <v>4000</v>
      </c>
      <c r="P652" s="164">
        <v>2000</v>
      </c>
      <c r="Q652" s="240">
        <v>4000</v>
      </c>
      <c r="R652" s="240">
        <v>4000</v>
      </c>
      <c r="S652" s="240">
        <v>4000</v>
      </c>
      <c r="T652" s="240">
        <v>4000</v>
      </c>
      <c r="U652" s="240">
        <v>4000</v>
      </c>
    </row>
    <row r="653" spans="2:21" ht="24" customHeight="1">
      <c r="B653" s="1" t="s">
        <v>1050</v>
      </c>
      <c r="C653" s="89"/>
      <c r="D653" s="89"/>
      <c r="E653" s="316" t="s">
        <v>1045</v>
      </c>
      <c r="F653" s="89"/>
      <c r="G653" s="89"/>
      <c r="H653" s="89"/>
      <c r="I653" s="89"/>
      <c r="J653" s="89"/>
      <c r="K653" s="89"/>
      <c r="L653" s="89"/>
      <c r="M653" s="228">
        <v>8944</v>
      </c>
      <c r="N653" s="228">
        <v>0</v>
      </c>
      <c r="O653" s="165">
        <v>0</v>
      </c>
      <c r="P653" s="165">
        <v>0</v>
      </c>
      <c r="Q653" s="228">
        <v>10967</v>
      </c>
      <c r="R653" s="228">
        <v>0</v>
      </c>
      <c r="S653" s="228">
        <v>0</v>
      </c>
      <c r="T653" s="228">
        <v>11984</v>
      </c>
      <c r="U653" s="228">
        <v>0</v>
      </c>
    </row>
    <row r="654" spans="2:21" ht="24" customHeight="1">
      <c r="B654" s="1" t="s">
        <v>279</v>
      </c>
      <c r="C654" s="89"/>
      <c r="D654" s="89"/>
      <c r="E654" s="1" t="s">
        <v>85</v>
      </c>
      <c r="F654" s="89"/>
      <c r="G654" s="89"/>
      <c r="H654" s="95"/>
      <c r="I654" s="95"/>
      <c r="J654" s="95"/>
      <c r="K654" s="95"/>
      <c r="L654" s="95"/>
      <c r="M654" s="240">
        <v>449</v>
      </c>
      <c r="N654" s="240">
        <v>304</v>
      </c>
      <c r="O654" s="164">
        <v>500</v>
      </c>
      <c r="P654" s="164">
        <v>500</v>
      </c>
      <c r="Q654" s="240">
        <v>500</v>
      </c>
      <c r="R654" s="240">
        <v>500</v>
      </c>
      <c r="S654" s="240">
        <v>500</v>
      </c>
      <c r="T654" s="240">
        <v>500</v>
      </c>
      <c r="U654" s="240">
        <v>500</v>
      </c>
    </row>
    <row r="655" spans="2:21" ht="24" customHeight="1">
      <c r="B655" s="1" t="s">
        <v>280</v>
      </c>
      <c r="C655" s="89"/>
      <c r="D655" s="89"/>
      <c r="E655" s="1" t="s">
        <v>281</v>
      </c>
      <c r="F655" s="89"/>
      <c r="G655" s="89"/>
      <c r="H655" s="95"/>
      <c r="I655" s="95"/>
      <c r="J655" s="95"/>
      <c r="K655" s="95"/>
      <c r="L655" s="95"/>
      <c r="M655" s="240">
        <v>16089</v>
      </c>
      <c r="N655" s="240">
        <v>7888</v>
      </c>
      <c r="O655" s="164">
        <v>8000</v>
      </c>
      <c r="P655" s="164">
        <v>8000</v>
      </c>
      <c r="Q655" s="240">
        <v>8000</v>
      </c>
      <c r="R655" s="240">
        <v>8000</v>
      </c>
      <c r="S655" s="240">
        <v>10000</v>
      </c>
      <c r="T655" s="240">
        <v>8000</v>
      </c>
      <c r="U655" s="240">
        <v>8000</v>
      </c>
    </row>
    <row r="656" spans="2:21" ht="24" customHeight="1">
      <c r="B656" s="1" t="s">
        <v>282</v>
      </c>
      <c r="C656" s="89"/>
      <c r="D656" s="89"/>
      <c r="E656" s="1" t="s">
        <v>829</v>
      </c>
      <c r="F656" s="89"/>
      <c r="G656" s="89"/>
      <c r="H656" s="95"/>
      <c r="I656" s="95"/>
      <c r="J656" s="95"/>
      <c r="K656" s="95"/>
      <c r="L656" s="95"/>
      <c r="M656" s="240">
        <v>3367</v>
      </c>
      <c r="N656" s="240">
        <v>2595</v>
      </c>
      <c r="O656" s="164">
        <v>3250</v>
      </c>
      <c r="P656" s="164">
        <v>3250</v>
      </c>
      <c r="Q656" s="240">
        <v>3250</v>
      </c>
      <c r="R656" s="240">
        <v>3250</v>
      </c>
      <c r="S656" s="240">
        <v>3250</v>
      </c>
      <c r="T656" s="240">
        <v>3250</v>
      </c>
      <c r="U656" s="240">
        <v>3250</v>
      </c>
    </row>
    <row r="657" spans="2:21" ht="24" customHeight="1">
      <c r="B657" s="1" t="s">
        <v>283</v>
      </c>
      <c r="C657" s="89"/>
      <c r="D657" s="89"/>
      <c r="E657" s="1" t="s">
        <v>209</v>
      </c>
      <c r="F657" s="89"/>
      <c r="G657" s="95"/>
      <c r="H657" s="89"/>
      <c r="I657" s="89"/>
      <c r="J657" s="89"/>
      <c r="K657" s="89"/>
      <c r="L657" s="89"/>
      <c r="M657" s="240">
        <v>47667</v>
      </c>
      <c r="N657" s="240">
        <v>40601</v>
      </c>
      <c r="O657" s="164">
        <v>40000</v>
      </c>
      <c r="P657" s="164">
        <v>40000</v>
      </c>
      <c r="Q657" s="240">
        <v>40000</v>
      </c>
      <c r="R657" s="240">
        <v>40000</v>
      </c>
      <c r="S657" s="240">
        <v>40000</v>
      </c>
      <c r="T657" s="240">
        <v>40000</v>
      </c>
      <c r="U657" s="240">
        <v>40000</v>
      </c>
    </row>
    <row r="658" spans="2:21" ht="24" customHeight="1">
      <c r="B658" s="1" t="s">
        <v>558</v>
      </c>
      <c r="C658" s="89"/>
      <c r="D658" s="89"/>
      <c r="E658" s="1" t="s">
        <v>559</v>
      </c>
      <c r="F658" s="89"/>
      <c r="G658" s="95"/>
      <c r="H658" s="89"/>
      <c r="I658" s="89"/>
      <c r="J658" s="89"/>
      <c r="K658" s="89"/>
      <c r="L658" s="89"/>
      <c r="M658" s="240">
        <v>204593</v>
      </c>
      <c r="N658" s="240">
        <v>228211</v>
      </c>
      <c r="O658" s="164">
        <v>225000</v>
      </c>
      <c r="P658" s="164">
        <v>225000</v>
      </c>
      <c r="Q658" s="240">
        <v>225000</v>
      </c>
      <c r="R658" s="240">
        <v>230000</v>
      </c>
      <c r="S658" s="240">
        <v>230000</v>
      </c>
      <c r="T658" s="240">
        <v>210000</v>
      </c>
      <c r="U658" s="240">
        <v>200000</v>
      </c>
    </row>
    <row r="659" spans="2:21" ht="24" customHeight="1">
      <c r="B659" s="1" t="s">
        <v>547</v>
      </c>
      <c r="C659" s="89"/>
      <c r="D659" s="89"/>
      <c r="E659" s="1" t="s">
        <v>49</v>
      </c>
      <c r="F659" s="89"/>
      <c r="G659" s="95"/>
      <c r="H659" s="89"/>
      <c r="I659" s="89"/>
      <c r="J659" s="89"/>
      <c r="K659" s="89"/>
      <c r="L659" s="89"/>
      <c r="M659" s="240">
        <v>1934</v>
      </c>
      <c r="N659" s="240">
        <v>1129</v>
      </c>
      <c r="O659" s="164">
        <v>3000</v>
      </c>
      <c r="P659" s="164">
        <v>3000</v>
      </c>
      <c r="Q659" s="240">
        <v>3000</v>
      </c>
      <c r="R659" s="240">
        <v>3000</v>
      </c>
      <c r="S659" s="240">
        <v>3000</v>
      </c>
      <c r="T659" s="240">
        <v>3000</v>
      </c>
      <c r="U659" s="240">
        <v>3000</v>
      </c>
    </row>
    <row r="660" spans="2:21" ht="24" customHeight="1">
      <c r="B660" s="1" t="s">
        <v>284</v>
      </c>
      <c r="C660" s="95"/>
      <c r="D660" s="95"/>
      <c r="E660" s="1" t="s">
        <v>84</v>
      </c>
      <c r="F660" s="95"/>
      <c r="G660" s="95"/>
      <c r="H660" s="89"/>
      <c r="I660" s="89"/>
      <c r="J660" s="89"/>
      <c r="K660" s="89"/>
      <c r="L660" s="89"/>
      <c r="M660" s="240">
        <v>21640</v>
      </c>
      <c r="N660" s="240">
        <v>19944</v>
      </c>
      <c r="O660" s="164">
        <v>20000</v>
      </c>
      <c r="P660" s="164">
        <v>20000</v>
      </c>
      <c r="Q660" s="240">
        <v>20000</v>
      </c>
      <c r="R660" s="240">
        <v>20000</v>
      </c>
      <c r="S660" s="240">
        <v>20000</v>
      </c>
      <c r="T660" s="240">
        <v>20000</v>
      </c>
      <c r="U660" s="240">
        <v>20000</v>
      </c>
    </row>
    <row r="661" spans="2:21" ht="24" customHeight="1">
      <c r="B661" s="535" t="s">
        <v>1342</v>
      </c>
      <c r="C661" s="467"/>
      <c r="D661" s="467"/>
      <c r="E661" s="96" t="s">
        <v>1338</v>
      </c>
      <c r="F661" s="467"/>
      <c r="G661" s="467"/>
      <c r="H661" s="467"/>
      <c r="I661" s="467"/>
      <c r="J661" s="467"/>
      <c r="K661" s="467"/>
      <c r="L661" s="467"/>
      <c r="M661" s="240">
        <v>0</v>
      </c>
      <c r="N661" s="240">
        <v>0</v>
      </c>
      <c r="O661" s="164">
        <v>14774</v>
      </c>
      <c r="P661" s="164">
        <v>10870</v>
      </c>
      <c r="Q661" s="240">
        <v>19316</v>
      </c>
      <c r="R661" s="240">
        <v>14457</v>
      </c>
      <c r="S661" s="240">
        <v>14807</v>
      </c>
      <c r="T661" s="240">
        <v>15563</v>
      </c>
      <c r="U661" s="240">
        <v>16291</v>
      </c>
    </row>
    <row r="662" spans="2:21" ht="24" customHeight="1">
      <c r="B662" s="1" t="s">
        <v>285</v>
      </c>
      <c r="C662" s="89"/>
      <c r="D662" s="89"/>
      <c r="E662" s="1" t="s">
        <v>830</v>
      </c>
      <c r="F662" s="89"/>
      <c r="G662" s="89"/>
      <c r="H662" s="89"/>
      <c r="I662" s="89"/>
      <c r="J662" s="89"/>
      <c r="K662" s="89"/>
      <c r="L662" s="89"/>
      <c r="M662" s="240">
        <v>1646</v>
      </c>
      <c r="N662" s="240">
        <v>1336</v>
      </c>
      <c r="O662" s="164">
        <v>2500</v>
      </c>
      <c r="P662" s="164">
        <v>2500</v>
      </c>
      <c r="Q662" s="240">
        <v>2500</v>
      </c>
      <c r="R662" s="240">
        <v>2500</v>
      </c>
      <c r="S662" s="240">
        <v>2500</v>
      </c>
      <c r="T662" s="240">
        <v>2500</v>
      </c>
      <c r="U662" s="240">
        <v>2500</v>
      </c>
    </row>
    <row r="663" spans="2:21" ht="24" customHeight="1">
      <c r="B663" s="1" t="s">
        <v>286</v>
      </c>
      <c r="C663" s="89"/>
      <c r="D663" s="89"/>
      <c r="E663" s="304" t="s">
        <v>10</v>
      </c>
      <c r="F663" s="89"/>
      <c r="G663" s="89"/>
      <c r="H663" s="95"/>
      <c r="I663" s="95"/>
      <c r="J663" s="95"/>
      <c r="K663" s="95"/>
      <c r="L663" s="95"/>
      <c r="M663" s="240">
        <v>88766</v>
      </c>
      <c r="N663" s="240">
        <v>92584</v>
      </c>
      <c r="O663" s="164">
        <v>166000</v>
      </c>
      <c r="P663" s="164">
        <v>103500</v>
      </c>
      <c r="Q663" s="240">
        <v>178500</v>
      </c>
      <c r="R663" s="240">
        <v>148750</v>
      </c>
      <c r="S663" s="240">
        <v>103500</v>
      </c>
      <c r="T663" s="240">
        <v>92500</v>
      </c>
      <c r="U663" s="240">
        <v>92500</v>
      </c>
    </row>
    <row r="664" spans="2:21" ht="24" customHeight="1">
      <c r="B664" s="1" t="s">
        <v>926</v>
      </c>
      <c r="C664" s="89"/>
      <c r="D664" s="89"/>
      <c r="E664" s="1" t="s">
        <v>229</v>
      </c>
      <c r="F664" s="89"/>
      <c r="G664" s="89"/>
      <c r="H664" s="95"/>
      <c r="I664" s="95"/>
      <c r="J664" s="95"/>
      <c r="K664" s="95"/>
      <c r="L664" s="95"/>
      <c r="M664" s="240">
        <v>13577</v>
      </c>
      <c r="N664" s="240">
        <v>66487</v>
      </c>
      <c r="O664" s="164">
        <v>75000</v>
      </c>
      <c r="P664" s="164">
        <v>75000</v>
      </c>
      <c r="Q664" s="240">
        <v>35000</v>
      </c>
      <c r="R664" s="240">
        <v>0</v>
      </c>
      <c r="S664" s="240">
        <v>0</v>
      </c>
      <c r="T664" s="240">
        <v>0</v>
      </c>
      <c r="U664" s="240">
        <v>0</v>
      </c>
    </row>
    <row r="665" spans="2:21" ht="24" customHeight="1">
      <c r="B665" s="1" t="s">
        <v>287</v>
      </c>
      <c r="C665" s="95"/>
      <c r="D665" s="95"/>
      <c r="E665" s="304" t="s">
        <v>17</v>
      </c>
      <c r="F665" s="95"/>
      <c r="G665" s="95"/>
      <c r="H665" s="95"/>
      <c r="I665" s="95"/>
      <c r="J665" s="95"/>
      <c r="K665" s="95"/>
      <c r="L665" s="95"/>
      <c r="M665" s="240">
        <v>283487</v>
      </c>
      <c r="N665" s="240">
        <v>290225</v>
      </c>
      <c r="O665" s="164">
        <v>312700</v>
      </c>
      <c r="P665" s="164">
        <v>300496</v>
      </c>
      <c r="Q665" s="240">
        <v>318526</v>
      </c>
      <c r="R665" s="240">
        <v>337638</v>
      </c>
      <c r="S665" s="240">
        <v>357896</v>
      </c>
      <c r="T665" s="208">
        <v>379370</v>
      </c>
      <c r="U665" s="208">
        <v>402132</v>
      </c>
    </row>
    <row r="666" spans="2:21" ht="24" customHeight="1">
      <c r="B666" s="1" t="s">
        <v>288</v>
      </c>
      <c r="C666" s="89"/>
      <c r="D666" s="89"/>
      <c r="E666" s="1" t="s">
        <v>289</v>
      </c>
      <c r="F666" s="89"/>
      <c r="G666" s="89"/>
      <c r="H666" s="89"/>
      <c r="I666" s="89"/>
      <c r="J666" s="89"/>
      <c r="K666" s="89"/>
      <c r="L666" s="89"/>
      <c r="M666" s="325">
        <v>3114</v>
      </c>
      <c r="N666" s="325">
        <v>1097</v>
      </c>
      <c r="O666" s="175">
        <v>4500</v>
      </c>
      <c r="P666" s="175">
        <v>4500</v>
      </c>
      <c r="Q666" s="237">
        <v>4500</v>
      </c>
      <c r="R666" s="237">
        <v>4500</v>
      </c>
      <c r="S666" s="237">
        <v>4500</v>
      </c>
      <c r="T666" s="237">
        <v>4500</v>
      </c>
      <c r="U666" s="237">
        <v>4500</v>
      </c>
    </row>
    <row r="667" spans="2:21" ht="24" customHeight="1">
      <c r="B667" s="1" t="s">
        <v>290</v>
      </c>
      <c r="C667" s="95"/>
      <c r="D667" s="95"/>
      <c r="E667" s="304" t="s">
        <v>81</v>
      </c>
      <c r="F667" s="95"/>
      <c r="G667" s="95"/>
      <c r="H667" s="89"/>
      <c r="I667" s="89"/>
      <c r="J667" s="89"/>
      <c r="K667" s="89"/>
      <c r="L667" s="89"/>
      <c r="M667" s="325">
        <v>1948</v>
      </c>
      <c r="N667" s="325">
        <v>2125</v>
      </c>
      <c r="O667" s="165">
        <v>2000</v>
      </c>
      <c r="P667" s="165">
        <v>2000</v>
      </c>
      <c r="Q667" s="223">
        <v>2000</v>
      </c>
      <c r="R667" s="223">
        <v>2000</v>
      </c>
      <c r="S667" s="223">
        <v>2000</v>
      </c>
      <c r="T667" s="223">
        <v>2000</v>
      </c>
      <c r="U667" s="223">
        <v>2000</v>
      </c>
    </row>
    <row r="668" spans="2:21" ht="24" customHeight="1">
      <c r="B668" s="1" t="s">
        <v>988</v>
      </c>
      <c r="C668" s="89"/>
      <c r="D668" s="89"/>
      <c r="E668" s="155" t="s">
        <v>82</v>
      </c>
      <c r="F668" s="89"/>
      <c r="G668" s="89"/>
      <c r="H668" s="89"/>
      <c r="I668" s="89"/>
      <c r="J668" s="89"/>
      <c r="K668" s="89"/>
      <c r="L668" s="89"/>
      <c r="M668" s="228">
        <v>791</v>
      </c>
      <c r="N668" s="228">
        <v>1290</v>
      </c>
      <c r="O668" s="165">
        <v>1329</v>
      </c>
      <c r="P668" s="165">
        <v>1329</v>
      </c>
      <c r="Q668" s="228">
        <v>1395</v>
      </c>
      <c r="R668" s="228">
        <v>1437</v>
      </c>
      <c r="S668" s="228">
        <v>1480</v>
      </c>
      <c r="T668" s="228">
        <v>1524</v>
      </c>
      <c r="U668" s="228">
        <v>1570</v>
      </c>
    </row>
    <row r="669" spans="2:21" ht="24" customHeight="1">
      <c r="B669" s="1" t="s">
        <v>770</v>
      </c>
      <c r="C669" s="95"/>
      <c r="D669" s="95"/>
      <c r="E669" s="1" t="s">
        <v>767</v>
      </c>
      <c r="F669" s="95"/>
      <c r="G669" s="95"/>
      <c r="H669" s="95"/>
      <c r="I669" s="95"/>
      <c r="J669" s="95"/>
      <c r="K669" s="95"/>
      <c r="L669" s="95"/>
      <c r="M669" s="352">
        <v>10978</v>
      </c>
      <c r="N669" s="352">
        <v>5092</v>
      </c>
      <c r="O669" s="176">
        <v>12000</v>
      </c>
      <c r="P669" s="176">
        <v>12000</v>
      </c>
      <c r="Q669" s="207">
        <v>12000</v>
      </c>
      <c r="R669" s="207">
        <v>12000</v>
      </c>
      <c r="S669" s="207">
        <v>12000</v>
      </c>
      <c r="T669" s="207">
        <v>12000</v>
      </c>
      <c r="U669" s="207">
        <v>12000</v>
      </c>
    </row>
    <row r="670" spans="2:21" ht="24" customHeight="1">
      <c r="B670" s="1" t="s">
        <v>848</v>
      </c>
      <c r="C670" s="95"/>
      <c r="D670" s="95"/>
      <c r="E670" s="304" t="s">
        <v>832</v>
      </c>
      <c r="F670" s="95"/>
      <c r="G670" s="95"/>
      <c r="H670" s="95"/>
      <c r="I670" s="95"/>
      <c r="J670" s="95"/>
      <c r="K670" s="95"/>
      <c r="L670" s="95"/>
      <c r="M670" s="352">
        <v>11105</v>
      </c>
      <c r="N670" s="352">
        <v>6559</v>
      </c>
      <c r="O670" s="176">
        <v>32000</v>
      </c>
      <c r="P670" s="176">
        <v>32000</v>
      </c>
      <c r="Q670" s="352">
        <v>32000</v>
      </c>
      <c r="R670" s="352">
        <v>32000</v>
      </c>
      <c r="S670" s="352">
        <v>32000</v>
      </c>
      <c r="T670" s="352">
        <v>32000</v>
      </c>
      <c r="U670" s="352">
        <v>32000</v>
      </c>
    </row>
    <row r="671" spans="2:21" ht="24" customHeight="1">
      <c r="B671" s="1" t="s">
        <v>544</v>
      </c>
      <c r="C671" s="95"/>
      <c r="D671" s="95"/>
      <c r="E671" s="1" t="s">
        <v>259</v>
      </c>
      <c r="F671" s="95"/>
      <c r="G671" s="95"/>
      <c r="H671" s="95"/>
      <c r="I671" s="95"/>
      <c r="J671" s="95"/>
      <c r="K671" s="95"/>
      <c r="L671" s="95"/>
      <c r="M671" s="352">
        <v>1299</v>
      </c>
      <c r="N671" s="352">
        <v>1299</v>
      </c>
      <c r="O671" s="176">
        <v>1300</v>
      </c>
      <c r="P671" s="176">
        <v>1299</v>
      </c>
      <c r="Q671" s="207">
        <v>1300</v>
      </c>
      <c r="R671" s="207">
        <v>825</v>
      </c>
      <c r="S671" s="207">
        <v>825</v>
      </c>
      <c r="T671" s="352">
        <v>350</v>
      </c>
      <c r="U671" s="352">
        <v>350</v>
      </c>
    </row>
    <row r="672" spans="2:21" ht="24" customHeight="1">
      <c r="B672" s="1" t="s">
        <v>291</v>
      </c>
      <c r="C672" s="95"/>
      <c r="D672" s="95"/>
      <c r="E672" s="1" t="s">
        <v>18</v>
      </c>
      <c r="F672" s="95"/>
      <c r="G672" s="95"/>
      <c r="H672" s="95"/>
      <c r="I672" s="95"/>
      <c r="J672" s="95"/>
      <c r="K672" s="95"/>
      <c r="L672" s="95"/>
      <c r="M672" s="352">
        <v>4138</v>
      </c>
      <c r="N672" s="352">
        <v>2394</v>
      </c>
      <c r="O672" s="176">
        <v>10000</v>
      </c>
      <c r="P672" s="176">
        <v>5000</v>
      </c>
      <c r="Q672" s="207">
        <v>7500</v>
      </c>
      <c r="R672" s="207">
        <v>7500</v>
      </c>
      <c r="S672" s="207">
        <v>7500</v>
      </c>
      <c r="T672" s="207">
        <v>7500</v>
      </c>
      <c r="U672" s="207">
        <v>7500</v>
      </c>
    </row>
    <row r="673" spans="2:21" ht="24" customHeight="1">
      <c r="B673" s="1" t="s">
        <v>292</v>
      </c>
      <c r="C673" s="95"/>
      <c r="D673" s="95"/>
      <c r="E673" s="304" t="s">
        <v>89</v>
      </c>
      <c r="F673" s="95"/>
      <c r="G673" s="95"/>
      <c r="H673" s="95"/>
      <c r="I673" s="95"/>
      <c r="J673" s="95"/>
      <c r="K673" s="95"/>
      <c r="L673" s="95"/>
      <c r="M673" s="240">
        <v>3518</v>
      </c>
      <c r="N673" s="240">
        <v>4743</v>
      </c>
      <c r="O673" s="164">
        <v>5000</v>
      </c>
      <c r="P673" s="164">
        <v>5000</v>
      </c>
      <c r="Q673" s="208">
        <v>9000</v>
      </c>
      <c r="R673" s="208">
        <v>9000</v>
      </c>
      <c r="S673" s="208">
        <v>9000</v>
      </c>
      <c r="T673" s="208">
        <v>9000</v>
      </c>
      <c r="U673" s="208">
        <v>9000</v>
      </c>
    </row>
    <row r="674" spans="2:21" ht="24" customHeight="1">
      <c r="B674" s="1" t="s">
        <v>293</v>
      </c>
      <c r="C674" s="95"/>
      <c r="D674" s="95"/>
      <c r="E674" s="1" t="s">
        <v>12</v>
      </c>
      <c r="F674" s="95"/>
      <c r="G674" s="95"/>
      <c r="H674" s="95"/>
      <c r="I674" s="95"/>
      <c r="J674" s="95"/>
      <c r="K674" s="95"/>
      <c r="L674" s="95"/>
      <c r="M674" s="240">
        <v>8075</v>
      </c>
      <c r="N674" s="240">
        <v>9230</v>
      </c>
      <c r="O674" s="164">
        <v>11000</v>
      </c>
      <c r="P674" s="164">
        <v>11000</v>
      </c>
      <c r="Q674" s="208">
        <v>11000</v>
      </c>
      <c r="R674" s="208">
        <v>11000</v>
      </c>
      <c r="S674" s="208">
        <v>11000</v>
      </c>
      <c r="T674" s="208">
        <v>11000</v>
      </c>
      <c r="U674" s="208">
        <v>11000</v>
      </c>
    </row>
    <row r="675" spans="2:21" ht="24" customHeight="1">
      <c r="B675" s="1" t="s">
        <v>771</v>
      </c>
      <c r="C675" s="95"/>
      <c r="D675" s="95"/>
      <c r="E675" s="1" t="s">
        <v>769</v>
      </c>
      <c r="F675" s="95"/>
      <c r="G675" s="95"/>
      <c r="H675" s="95"/>
      <c r="I675" s="95"/>
      <c r="J675" s="95"/>
      <c r="K675" s="95"/>
      <c r="L675" s="95"/>
      <c r="M675" s="240">
        <v>1532</v>
      </c>
      <c r="N675" s="240">
        <v>1306</v>
      </c>
      <c r="O675" s="164">
        <v>2500</v>
      </c>
      <c r="P675" s="164">
        <v>2500</v>
      </c>
      <c r="Q675" s="208">
        <v>2500</v>
      </c>
      <c r="R675" s="208">
        <v>2500</v>
      </c>
      <c r="S675" s="208">
        <v>2500</v>
      </c>
      <c r="T675" s="208">
        <v>2500</v>
      </c>
      <c r="U675" s="208">
        <v>2500</v>
      </c>
    </row>
    <row r="676" spans="2:21" ht="24" customHeight="1">
      <c r="B676" s="1" t="s">
        <v>294</v>
      </c>
      <c r="C676" s="95"/>
      <c r="D676" s="95"/>
      <c r="E676" s="1" t="s">
        <v>16</v>
      </c>
      <c r="F676" s="95"/>
      <c r="G676" s="95"/>
      <c r="H676" s="95"/>
      <c r="I676" s="95"/>
      <c r="J676" s="95"/>
      <c r="K676" s="95"/>
      <c r="L676" s="95"/>
      <c r="M676" s="240">
        <v>862</v>
      </c>
      <c r="N676" s="240">
        <v>4255</v>
      </c>
      <c r="O676" s="164">
        <v>8400</v>
      </c>
      <c r="P676" s="164">
        <v>6400</v>
      </c>
      <c r="Q676" s="240">
        <v>4000</v>
      </c>
      <c r="R676" s="208">
        <v>4000</v>
      </c>
      <c r="S676" s="208">
        <v>4000</v>
      </c>
      <c r="T676" s="208">
        <v>4000</v>
      </c>
      <c r="U676" s="208">
        <v>4000</v>
      </c>
    </row>
    <row r="677" spans="2:21" ht="24" customHeight="1">
      <c r="B677" s="1" t="s">
        <v>295</v>
      </c>
      <c r="C677" s="95"/>
      <c r="D677" s="95"/>
      <c r="E677" s="1" t="s">
        <v>296</v>
      </c>
      <c r="F677" s="95"/>
      <c r="G677" s="95"/>
      <c r="H677" s="95"/>
      <c r="I677" s="95"/>
      <c r="J677" s="95"/>
      <c r="K677" s="95"/>
      <c r="L677" s="95"/>
      <c r="M677" s="240">
        <v>178975</v>
      </c>
      <c r="N677" s="240">
        <v>176801</v>
      </c>
      <c r="O677" s="164">
        <v>191425</v>
      </c>
      <c r="P677" s="164">
        <v>191924</v>
      </c>
      <c r="Q677" s="240">
        <v>205520</v>
      </c>
      <c r="R677" s="240">
        <v>211596</v>
      </c>
      <c r="S677" s="240">
        <v>222176</v>
      </c>
      <c r="T677" s="240">
        <v>233285</v>
      </c>
      <c r="U677" s="240">
        <v>244949</v>
      </c>
    </row>
    <row r="678" spans="2:21" ht="24" customHeight="1">
      <c r="B678" s="1" t="s">
        <v>297</v>
      </c>
      <c r="C678" s="95"/>
      <c r="D678" s="95"/>
      <c r="E678" s="1" t="s">
        <v>831</v>
      </c>
      <c r="F678" s="95"/>
      <c r="G678" s="95"/>
      <c r="H678" s="95"/>
      <c r="I678" s="95"/>
      <c r="J678" s="95"/>
      <c r="K678" s="95"/>
      <c r="L678" s="95"/>
      <c r="M678" s="240">
        <v>8945</v>
      </c>
      <c r="N678" s="240">
        <v>16099</v>
      </c>
      <c r="O678" s="164">
        <v>27500</v>
      </c>
      <c r="P678" s="164">
        <v>27500</v>
      </c>
      <c r="Q678" s="240">
        <v>27500</v>
      </c>
      <c r="R678" s="208">
        <v>27500</v>
      </c>
      <c r="S678" s="208">
        <v>27500</v>
      </c>
      <c r="T678" s="208">
        <v>27500</v>
      </c>
      <c r="U678" s="208">
        <v>27500</v>
      </c>
    </row>
    <row r="679" spans="2:21" ht="24" customHeight="1">
      <c r="B679" s="1" t="s">
        <v>298</v>
      </c>
      <c r="C679" s="89"/>
      <c r="D679" s="89"/>
      <c r="E679" s="1" t="s">
        <v>833</v>
      </c>
      <c r="F679" s="89"/>
      <c r="G679" s="89"/>
      <c r="H679" s="89"/>
      <c r="I679" s="89"/>
      <c r="J679" s="89"/>
      <c r="K679" s="89"/>
      <c r="L679" s="89"/>
      <c r="M679" s="240">
        <v>164887</v>
      </c>
      <c r="N679" s="240">
        <v>185090</v>
      </c>
      <c r="O679" s="164">
        <v>100000</v>
      </c>
      <c r="P679" s="164">
        <v>185000</v>
      </c>
      <c r="Q679" s="240">
        <v>185000</v>
      </c>
      <c r="R679" s="240">
        <v>175000</v>
      </c>
      <c r="S679" s="240">
        <v>150000</v>
      </c>
      <c r="T679" s="240">
        <v>150000</v>
      </c>
      <c r="U679" s="240">
        <v>150000</v>
      </c>
    </row>
    <row r="680" spans="2:21" ht="24" customHeight="1">
      <c r="B680" s="1" t="s">
        <v>852</v>
      </c>
      <c r="C680" s="89"/>
      <c r="D680" s="89"/>
      <c r="E680" s="1" t="s">
        <v>853</v>
      </c>
      <c r="F680" s="89"/>
      <c r="G680" s="89"/>
      <c r="H680" s="89"/>
      <c r="I680" s="89"/>
      <c r="J680" s="89"/>
      <c r="K680" s="89"/>
      <c r="L680" s="89"/>
      <c r="M680" s="240">
        <v>2681</v>
      </c>
      <c r="N680" s="240">
        <v>1668</v>
      </c>
      <c r="O680" s="175">
        <v>3000</v>
      </c>
      <c r="P680" s="175">
        <v>3000</v>
      </c>
      <c r="Q680" s="325">
        <v>3000</v>
      </c>
      <c r="R680" s="325">
        <v>3000</v>
      </c>
      <c r="S680" s="325">
        <v>3000</v>
      </c>
      <c r="T680" s="325">
        <v>3000</v>
      </c>
      <c r="U680" s="325">
        <v>3000</v>
      </c>
    </row>
    <row r="681" spans="2:21" ht="24" customHeight="1">
      <c r="B681" s="1" t="s">
        <v>299</v>
      </c>
      <c r="C681" s="95"/>
      <c r="D681" s="95"/>
      <c r="E681" s="304" t="s">
        <v>128</v>
      </c>
      <c r="F681" s="95"/>
      <c r="G681" s="95"/>
      <c r="H681" s="95"/>
      <c r="I681" s="95"/>
      <c r="J681" s="95"/>
      <c r="K681" s="95"/>
      <c r="L681" s="95"/>
      <c r="M681" s="240">
        <v>19221</v>
      </c>
      <c r="N681" s="240">
        <v>14942</v>
      </c>
      <c r="O681" s="164">
        <v>21400</v>
      </c>
      <c r="P681" s="164">
        <v>21400</v>
      </c>
      <c r="Q681" s="240">
        <v>22898</v>
      </c>
      <c r="R681" s="208">
        <v>24501</v>
      </c>
      <c r="S681" s="208">
        <v>26216</v>
      </c>
      <c r="T681" s="208">
        <v>28051</v>
      </c>
      <c r="U681" s="208">
        <v>30015</v>
      </c>
    </row>
    <row r="682" spans="2:21" ht="24" customHeight="1">
      <c r="B682" s="304" t="s">
        <v>1029</v>
      </c>
      <c r="C682" s="95"/>
      <c r="D682" s="95"/>
      <c r="E682" s="304" t="s">
        <v>1440</v>
      </c>
      <c r="F682" s="324"/>
      <c r="G682" s="324"/>
      <c r="H682" s="324"/>
      <c r="I682" s="324"/>
      <c r="J682" s="324"/>
      <c r="K682" s="324"/>
      <c r="L682" s="324"/>
      <c r="M682" s="240">
        <v>0</v>
      </c>
      <c r="N682" s="240">
        <v>0</v>
      </c>
      <c r="O682" s="164">
        <v>0</v>
      </c>
      <c r="P682" s="164">
        <v>0</v>
      </c>
      <c r="Q682" s="240">
        <v>534000</v>
      </c>
      <c r="R682" s="240">
        <v>300000</v>
      </c>
      <c r="S682" s="240">
        <v>150000</v>
      </c>
      <c r="T682" s="240">
        <v>0</v>
      </c>
      <c r="U682" s="240">
        <v>0</v>
      </c>
    </row>
    <row r="683" spans="2:21" ht="24" customHeight="1">
      <c r="B683" s="304" t="s">
        <v>1113</v>
      </c>
      <c r="C683" s="95"/>
      <c r="D683" s="95"/>
      <c r="E683" s="1" t="s">
        <v>1412</v>
      </c>
      <c r="F683" s="95"/>
      <c r="G683" s="95"/>
      <c r="H683" s="95"/>
      <c r="I683" s="95"/>
      <c r="J683" s="95"/>
      <c r="K683" s="95"/>
      <c r="L683" s="95"/>
      <c r="M683" s="240">
        <v>0</v>
      </c>
      <c r="N683" s="240">
        <v>0</v>
      </c>
      <c r="O683" s="164">
        <v>20000</v>
      </c>
      <c r="P683" s="164">
        <v>20000</v>
      </c>
      <c r="Q683" s="240">
        <v>681000</v>
      </c>
      <c r="R683" s="240">
        <v>40000</v>
      </c>
      <c r="S683" s="240">
        <v>870000</v>
      </c>
      <c r="T683" s="240">
        <v>0</v>
      </c>
      <c r="U683" s="240">
        <v>0</v>
      </c>
    </row>
    <row r="684" spans="2:21" ht="24" customHeight="1">
      <c r="B684" s="304" t="s">
        <v>927</v>
      </c>
      <c r="C684" s="95"/>
      <c r="D684" s="95"/>
      <c r="E684" s="96" t="s">
        <v>928</v>
      </c>
      <c r="F684" s="95"/>
      <c r="G684" s="95"/>
      <c r="H684" s="95"/>
      <c r="I684" s="95"/>
      <c r="J684" s="95"/>
      <c r="K684" s="95"/>
      <c r="L684" s="95"/>
      <c r="M684" s="240">
        <v>492</v>
      </c>
      <c r="N684" s="240">
        <v>0</v>
      </c>
      <c r="O684" s="164">
        <v>192000</v>
      </c>
      <c r="P684" s="164">
        <v>270000</v>
      </c>
      <c r="Q684" s="240">
        <v>265000</v>
      </c>
      <c r="R684" s="240">
        <v>0</v>
      </c>
      <c r="S684" s="240">
        <v>0</v>
      </c>
      <c r="T684" s="240">
        <v>0</v>
      </c>
      <c r="U684" s="240">
        <v>0</v>
      </c>
    </row>
    <row r="685" spans="2:21" ht="24" customHeight="1">
      <c r="B685" s="304" t="s">
        <v>839</v>
      </c>
      <c r="C685" s="95"/>
      <c r="D685" s="95"/>
      <c r="E685" s="96" t="s">
        <v>1453</v>
      </c>
      <c r="F685" s="95"/>
      <c r="G685" s="95"/>
      <c r="H685" s="95"/>
      <c r="I685" s="95"/>
      <c r="J685" s="95"/>
      <c r="K685" s="95"/>
      <c r="L685" s="95"/>
      <c r="M685" s="240">
        <v>631491</v>
      </c>
      <c r="N685" s="240">
        <v>26273</v>
      </c>
      <c r="O685" s="164">
        <v>950000</v>
      </c>
      <c r="P685" s="164">
        <v>770000</v>
      </c>
      <c r="Q685" s="240">
        <v>1150000</v>
      </c>
      <c r="R685" s="240">
        <v>1796500</v>
      </c>
      <c r="S685" s="240">
        <v>1224950</v>
      </c>
      <c r="T685" s="240">
        <v>1605500</v>
      </c>
      <c r="U685" s="240">
        <v>1246500</v>
      </c>
    </row>
    <row r="686" spans="2:21" ht="24" customHeight="1">
      <c r="B686" s="1" t="s">
        <v>1084</v>
      </c>
      <c r="C686" s="95"/>
      <c r="D686" s="324"/>
      <c r="E686" s="310" t="s">
        <v>1082</v>
      </c>
      <c r="F686" s="324"/>
      <c r="G686" s="324"/>
      <c r="H686" s="324"/>
      <c r="I686" s="324"/>
      <c r="J686" s="324"/>
      <c r="K686" s="324"/>
      <c r="L686" s="324"/>
      <c r="M686" s="240">
        <v>271</v>
      </c>
      <c r="N686" s="240">
        <v>0</v>
      </c>
      <c r="O686" s="164">
        <v>0</v>
      </c>
      <c r="P686" s="164">
        <v>0</v>
      </c>
      <c r="Q686" s="240">
        <v>0</v>
      </c>
      <c r="R686" s="240">
        <v>0</v>
      </c>
      <c r="S686" s="240">
        <v>0</v>
      </c>
      <c r="T686" s="240">
        <v>0</v>
      </c>
      <c r="U686" s="240">
        <v>0</v>
      </c>
    </row>
    <row r="687" spans="2:21" ht="24" customHeight="1">
      <c r="B687" s="95" t="s">
        <v>970</v>
      </c>
      <c r="C687" s="97"/>
      <c r="D687" s="97"/>
      <c r="E687" s="1" t="s">
        <v>725</v>
      </c>
      <c r="F687" s="97"/>
      <c r="G687" s="97"/>
      <c r="H687" s="97"/>
      <c r="I687" s="97"/>
      <c r="J687" s="97"/>
      <c r="K687" s="97"/>
      <c r="L687" s="97"/>
      <c r="M687" s="308">
        <v>4475</v>
      </c>
      <c r="N687" s="308">
        <v>0</v>
      </c>
      <c r="O687" s="172">
        <v>21000</v>
      </c>
      <c r="P687" s="172">
        <v>0</v>
      </c>
      <c r="Q687" s="308">
        <v>20164</v>
      </c>
      <c r="R687" s="308">
        <v>0</v>
      </c>
      <c r="S687" s="308">
        <v>0</v>
      </c>
      <c r="T687" s="308">
        <v>0</v>
      </c>
      <c r="U687" s="308">
        <v>0</v>
      </c>
    </row>
    <row r="688" spans="2:21" ht="24" customHeight="1">
      <c r="B688" s="304" t="s">
        <v>536</v>
      </c>
      <c r="C688" s="106"/>
      <c r="D688" s="106"/>
      <c r="E688" s="1" t="s">
        <v>245</v>
      </c>
      <c r="F688" s="108"/>
      <c r="G688" s="106"/>
      <c r="H688" s="106"/>
      <c r="I688" s="106"/>
      <c r="J688" s="106"/>
      <c r="K688" s="106"/>
      <c r="L688" s="106"/>
      <c r="M688" s="240">
        <v>76438</v>
      </c>
      <c r="N688" s="240">
        <v>7696</v>
      </c>
      <c r="O688" s="164">
        <v>18000</v>
      </c>
      <c r="P688" s="164">
        <v>12000</v>
      </c>
      <c r="Q688" s="240">
        <v>46400</v>
      </c>
      <c r="R688" s="240">
        <v>7000</v>
      </c>
      <c r="S688" s="240">
        <v>0</v>
      </c>
      <c r="T688" s="240">
        <v>7000</v>
      </c>
      <c r="U688" s="240">
        <v>0</v>
      </c>
    </row>
    <row r="689" spans="2:21" ht="24" customHeight="1">
      <c r="B689" s="304" t="s">
        <v>1411</v>
      </c>
      <c r="C689" s="106"/>
      <c r="D689" s="106"/>
      <c r="E689" s="607" t="s">
        <v>1410</v>
      </c>
      <c r="F689" s="108"/>
      <c r="G689" s="106"/>
      <c r="H689" s="106"/>
      <c r="I689" s="106"/>
      <c r="J689" s="106"/>
      <c r="K689" s="106"/>
      <c r="L689" s="106"/>
      <c r="M689" s="240">
        <v>0</v>
      </c>
      <c r="N689" s="240">
        <v>32046</v>
      </c>
      <c r="O689" s="164">
        <v>445000</v>
      </c>
      <c r="P689" s="164">
        <v>270000</v>
      </c>
      <c r="Q689" s="240">
        <v>25000</v>
      </c>
      <c r="R689" s="208">
        <v>0</v>
      </c>
      <c r="S689" s="208">
        <v>0</v>
      </c>
      <c r="T689" s="208">
        <v>0</v>
      </c>
      <c r="U689" s="208">
        <v>0</v>
      </c>
    </row>
    <row r="690" spans="2:21" ht="24" customHeight="1">
      <c r="B690" s="304" t="s">
        <v>872</v>
      </c>
      <c r="C690" s="106"/>
      <c r="D690" s="106"/>
      <c r="E690" s="304" t="s">
        <v>1004</v>
      </c>
      <c r="F690" s="332"/>
      <c r="G690" s="333"/>
      <c r="H690" s="333"/>
      <c r="I690" s="333"/>
      <c r="J690" s="333"/>
      <c r="K690" s="333"/>
      <c r="L690" s="333"/>
      <c r="M690" s="307">
        <v>8997</v>
      </c>
      <c r="N690" s="307">
        <v>49546</v>
      </c>
      <c r="O690" s="197">
        <v>33208</v>
      </c>
      <c r="P690" s="197">
        <v>0</v>
      </c>
      <c r="Q690" s="307">
        <v>12025</v>
      </c>
      <c r="R690" s="208">
        <v>0</v>
      </c>
      <c r="S690" s="208">
        <v>0</v>
      </c>
      <c r="T690" s="208">
        <v>0</v>
      </c>
      <c r="U690" s="208">
        <v>0</v>
      </c>
    </row>
    <row r="691" spans="2:21" ht="24" customHeight="1">
      <c r="B691" s="304" t="s">
        <v>774</v>
      </c>
      <c r="C691" s="106"/>
      <c r="D691" s="106"/>
      <c r="E691" s="1" t="s">
        <v>246</v>
      </c>
      <c r="F691" s="108"/>
      <c r="G691" s="106"/>
      <c r="H691" s="106"/>
      <c r="I691" s="106"/>
      <c r="J691" s="106"/>
      <c r="K691" s="106"/>
      <c r="L691" s="106"/>
      <c r="M691" s="240">
        <v>0</v>
      </c>
      <c r="N691" s="240">
        <v>89984</v>
      </c>
      <c r="O691" s="164">
        <v>100000</v>
      </c>
      <c r="P691" s="164">
        <v>71008</v>
      </c>
      <c r="Q691" s="240">
        <v>97000</v>
      </c>
      <c r="R691" s="240">
        <v>65000</v>
      </c>
      <c r="S691" s="240">
        <v>65000</v>
      </c>
      <c r="T691" s="240">
        <v>65000</v>
      </c>
      <c r="U691" s="240">
        <v>65000</v>
      </c>
    </row>
    <row r="692" spans="2:21" ht="24" customHeight="1">
      <c r="B692" s="324" t="s">
        <v>1437</v>
      </c>
      <c r="C692" s="311"/>
      <c r="D692" s="311"/>
      <c r="E692" s="304" t="s">
        <v>1428</v>
      </c>
      <c r="F692" s="311"/>
      <c r="G692" s="311"/>
      <c r="H692" s="311"/>
      <c r="I692" s="311"/>
      <c r="J692" s="311"/>
      <c r="K692" s="311"/>
      <c r="L692" s="311"/>
      <c r="M692" s="308">
        <v>0</v>
      </c>
      <c r="N692" s="308">
        <v>0</v>
      </c>
      <c r="O692" s="172">
        <v>0</v>
      </c>
      <c r="P692" s="172">
        <v>0</v>
      </c>
      <c r="Q692" s="308">
        <v>123822</v>
      </c>
      <c r="R692" s="308">
        <v>495288</v>
      </c>
      <c r="S692" s="308">
        <v>619110</v>
      </c>
      <c r="T692" s="308">
        <v>0</v>
      </c>
      <c r="U692" s="308">
        <v>0</v>
      </c>
    </row>
    <row r="693" spans="2:21" ht="24" customHeight="1">
      <c r="B693" s="1" t="s">
        <v>300</v>
      </c>
      <c r="C693" s="106"/>
      <c r="D693" s="106"/>
      <c r="E693" s="1" t="s">
        <v>243</v>
      </c>
      <c r="F693" s="97"/>
      <c r="G693" s="97"/>
      <c r="H693" s="97"/>
      <c r="I693" s="97"/>
      <c r="J693" s="97"/>
      <c r="K693" s="97"/>
      <c r="L693" s="106"/>
      <c r="M693" s="240">
        <v>45372</v>
      </c>
      <c r="N693" s="240">
        <v>45372</v>
      </c>
      <c r="O693" s="164">
        <v>45372</v>
      </c>
      <c r="P693" s="164">
        <v>45372</v>
      </c>
      <c r="Q693" s="221">
        <v>18905</v>
      </c>
      <c r="R693" s="221">
        <v>0</v>
      </c>
      <c r="S693" s="221">
        <v>0</v>
      </c>
      <c r="T693" s="220">
        <v>0</v>
      </c>
      <c r="U693" s="220">
        <v>0</v>
      </c>
    </row>
    <row r="694" spans="2:21" ht="24" customHeight="1">
      <c r="B694" s="1" t="s">
        <v>1011</v>
      </c>
      <c r="C694" s="106"/>
      <c r="D694" s="106"/>
      <c r="E694" s="1" t="s">
        <v>1002</v>
      </c>
      <c r="F694" s="108"/>
      <c r="G694" s="106"/>
      <c r="H694" s="106"/>
      <c r="I694" s="106"/>
      <c r="J694" s="106"/>
      <c r="K694" s="106"/>
      <c r="L694" s="106"/>
      <c r="M694" s="307">
        <v>59622</v>
      </c>
      <c r="N694" s="307">
        <v>156368</v>
      </c>
      <c r="O694" s="197">
        <v>216000</v>
      </c>
      <c r="P694" s="197">
        <v>20000</v>
      </c>
      <c r="Q694" s="307">
        <v>210000</v>
      </c>
      <c r="R694" s="307">
        <v>187000</v>
      </c>
      <c r="S694" s="221">
        <v>0</v>
      </c>
      <c r="T694" s="208">
        <v>0</v>
      </c>
      <c r="U694" s="208">
        <v>0</v>
      </c>
    </row>
    <row r="695" spans="2:21" ht="24" customHeight="1">
      <c r="B695" s="635" t="s">
        <v>1450</v>
      </c>
      <c r="C695" s="106"/>
      <c r="D695" s="106"/>
      <c r="E695" s="635" t="s">
        <v>1439</v>
      </c>
      <c r="F695" s="108"/>
      <c r="G695" s="106"/>
      <c r="H695" s="106"/>
      <c r="I695" s="106"/>
      <c r="J695" s="106"/>
      <c r="K695" s="106"/>
      <c r="L695" s="106"/>
      <c r="M695" s="307">
        <v>0</v>
      </c>
      <c r="N695" s="307">
        <v>0</v>
      </c>
      <c r="O695" s="197">
        <v>0</v>
      </c>
      <c r="P695" s="197">
        <v>0</v>
      </c>
      <c r="Q695" s="307">
        <v>130281</v>
      </c>
      <c r="R695" s="307">
        <v>521124</v>
      </c>
      <c r="S695" s="307">
        <v>651405</v>
      </c>
      <c r="T695" s="208">
        <v>0</v>
      </c>
      <c r="U695" s="208">
        <v>0</v>
      </c>
    </row>
    <row r="696" spans="2:21" ht="24" customHeight="1">
      <c r="B696" s="6" t="s">
        <v>955</v>
      </c>
      <c r="C696" s="95"/>
      <c r="D696" s="95"/>
      <c r="E696" s="1"/>
      <c r="F696" s="95"/>
      <c r="G696" s="95"/>
      <c r="H696" s="95"/>
      <c r="I696" s="95"/>
      <c r="J696" s="95"/>
      <c r="K696" s="95"/>
      <c r="L696" s="95"/>
      <c r="M696" s="240"/>
      <c r="N696" s="240"/>
      <c r="O696" s="164"/>
      <c r="P696" s="164"/>
      <c r="Q696" s="208"/>
      <c r="R696" s="208"/>
      <c r="S696" s="208"/>
      <c r="T696" s="208"/>
      <c r="U696" s="208"/>
    </row>
    <row r="697" spans="2:21" ht="24" customHeight="1">
      <c r="B697" s="1" t="s">
        <v>936</v>
      </c>
      <c r="C697" s="95"/>
      <c r="D697" s="95"/>
      <c r="E697" s="1" t="s">
        <v>798</v>
      </c>
      <c r="F697" s="95"/>
      <c r="G697" s="95"/>
      <c r="H697" s="95"/>
      <c r="I697" s="95"/>
      <c r="J697" s="95"/>
      <c r="K697" s="95"/>
      <c r="L697" s="95"/>
      <c r="M697" s="240">
        <v>290483</v>
      </c>
      <c r="N697" s="240">
        <v>297837</v>
      </c>
      <c r="O697" s="164">
        <v>312545</v>
      </c>
      <c r="P697" s="164">
        <v>312545</v>
      </c>
      <c r="Q697" s="208">
        <v>323576</v>
      </c>
      <c r="R697" s="208">
        <v>338284</v>
      </c>
      <c r="S697" s="240">
        <v>349315</v>
      </c>
      <c r="T697" s="240">
        <v>158111</v>
      </c>
      <c r="U697" s="240">
        <v>161788</v>
      </c>
    </row>
    <row r="698" spans="2:21" ht="24" customHeight="1">
      <c r="B698" s="1" t="s">
        <v>937</v>
      </c>
      <c r="C698" s="95"/>
      <c r="D698" s="95"/>
      <c r="E698" s="1" t="s">
        <v>248</v>
      </c>
      <c r="F698" s="95"/>
      <c r="G698" s="95"/>
      <c r="H698" s="95"/>
      <c r="I698" s="95"/>
      <c r="J698" s="95"/>
      <c r="K698" s="95"/>
      <c r="L698" s="95"/>
      <c r="M698" s="240">
        <v>151787</v>
      </c>
      <c r="N698" s="240">
        <v>140167</v>
      </c>
      <c r="O698" s="164">
        <v>128254</v>
      </c>
      <c r="P698" s="164">
        <v>128254</v>
      </c>
      <c r="Q698" s="208">
        <v>115752</v>
      </c>
      <c r="R698" s="208">
        <v>102809</v>
      </c>
      <c r="S698" s="240">
        <v>89278</v>
      </c>
      <c r="T698" s="240">
        <v>75305</v>
      </c>
      <c r="U698" s="240">
        <v>68981</v>
      </c>
    </row>
    <row r="699" spans="2:21" ht="24" customHeight="1">
      <c r="B699" s="98" t="s">
        <v>1018</v>
      </c>
      <c r="C699" s="98"/>
      <c r="D699" s="98"/>
      <c r="E699" s="98"/>
      <c r="F699" s="98"/>
      <c r="G699" s="98"/>
      <c r="H699" s="98"/>
      <c r="I699" s="98"/>
      <c r="J699" s="98"/>
      <c r="K699" s="98"/>
      <c r="L699" s="98"/>
      <c r="M699" s="267"/>
      <c r="N699" s="267"/>
      <c r="O699" s="168"/>
      <c r="P699" s="168"/>
      <c r="Q699" s="219"/>
      <c r="R699" s="219"/>
      <c r="S699" s="219"/>
      <c r="T699" s="219"/>
      <c r="U699" s="219"/>
    </row>
    <row r="700" spans="2:21" ht="24" customHeight="1">
      <c r="B700" s="1" t="s">
        <v>984</v>
      </c>
      <c r="C700" s="95"/>
      <c r="D700" s="95"/>
      <c r="E700" s="1" t="s">
        <v>798</v>
      </c>
      <c r="F700" s="95"/>
      <c r="G700" s="95"/>
      <c r="H700" s="95"/>
      <c r="I700" s="95"/>
      <c r="J700" s="95"/>
      <c r="K700" s="95"/>
      <c r="L700" s="95"/>
      <c r="M700" s="240">
        <v>1470000</v>
      </c>
      <c r="N700" s="240">
        <v>1475000</v>
      </c>
      <c r="O700" s="164">
        <v>1040000</v>
      </c>
      <c r="P700" s="164">
        <v>1040000</v>
      </c>
      <c r="Q700" s="208">
        <v>915000</v>
      </c>
      <c r="R700" s="208">
        <v>0</v>
      </c>
      <c r="S700" s="208">
        <v>0</v>
      </c>
      <c r="T700" s="208">
        <v>0</v>
      </c>
      <c r="U700" s="208">
        <v>0</v>
      </c>
    </row>
    <row r="701" spans="2:21" ht="24" customHeight="1">
      <c r="B701" s="1" t="s">
        <v>985</v>
      </c>
      <c r="C701" s="95"/>
      <c r="D701" s="95"/>
      <c r="E701" s="1" t="s">
        <v>248</v>
      </c>
      <c r="F701" s="95"/>
      <c r="G701" s="95"/>
      <c r="H701" s="95"/>
      <c r="I701" s="95"/>
      <c r="J701" s="95"/>
      <c r="K701" s="95"/>
      <c r="L701" s="95"/>
      <c r="M701" s="240">
        <v>176450</v>
      </c>
      <c r="N701" s="240">
        <v>117650</v>
      </c>
      <c r="O701" s="164">
        <v>58650</v>
      </c>
      <c r="P701" s="164">
        <v>58650</v>
      </c>
      <c r="Q701" s="208">
        <v>27450</v>
      </c>
      <c r="R701" s="208">
        <v>0</v>
      </c>
      <c r="S701" s="208">
        <v>0</v>
      </c>
      <c r="T701" s="208">
        <v>0</v>
      </c>
      <c r="U701" s="208">
        <v>0</v>
      </c>
    </row>
    <row r="702" spans="2:21" ht="24" customHeight="1">
      <c r="B702" s="98" t="s">
        <v>301</v>
      </c>
      <c r="C702" s="98"/>
      <c r="D702" s="98"/>
      <c r="E702" s="98"/>
      <c r="F702" s="98"/>
      <c r="G702" s="98"/>
      <c r="H702" s="98"/>
      <c r="I702" s="98"/>
      <c r="J702" s="98"/>
      <c r="K702" s="98"/>
      <c r="L702" s="98"/>
      <c r="M702" s="267"/>
      <c r="N702" s="267"/>
      <c r="O702" s="168"/>
      <c r="P702" s="168"/>
      <c r="Q702" s="219"/>
      <c r="R702" s="219"/>
      <c r="S702" s="219"/>
      <c r="T702" s="219"/>
      <c r="U702" s="219"/>
    </row>
    <row r="703" spans="2:21" ht="24" customHeight="1">
      <c r="B703" s="1" t="s">
        <v>302</v>
      </c>
      <c r="C703" s="95"/>
      <c r="D703" s="95"/>
      <c r="E703" s="1" t="s">
        <v>798</v>
      </c>
      <c r="F703" s="95"/>
      <c r="G703" s="95"/>
      <c r="H703" s="95"/>
      <c r="I703" s="95"/>
      <c r="J703" s="95"/>
      <c r="K703" s="95"/>
      <c r="L703" s="95"/>
      <c r="M703" s="240">
        <v>104423</v>
      </c>
      <c r="N703" s="240">
        <v>107050</v>
      </c>
      <c r="O703" s="164">
        <v>109743</v>
      </c>
      <c r="P703" s="164">
        <v>109743</v>
      </c>
      <c r="Q703" s="208">
        <v>112503</v>
      </c>
      <c r="R703" s="208">
        <v>115333</v>
      </c>
      <c r="S703" s="265">
        <v>118235</v>
      </c>
      <c r="T703" s="265">
        <v>121209</v>
      </c>
      <c r="U703" s="265">
        <v>61744</v>
      </c>
    </row>
    <row r="704" spans="2:21" ht="24" customHeight="1">
      <c r="B704" s="1" t="s">
        <v>303</v>
      </c>
      <c r="C704" s="95"/>
      <c r="D704" s="95"/>
      <c r="E704" s="1" t="s">
        <v>847</v>
      </c>
      <c r="F704" s="95"/>
      <c r="G704" s="95"/>
      <c r="H704" s="95"/>
      <c r="I704" s="95"/>
      <c r="J704" s="95"/>
      <c r="K704" s="95"/>
      <c r="L704" s="95"/>
      <c r="M704" s="240">
        <v>20607</v>
      </c>
      <c r="N704" s="240">
        <v>17981</v>
      </c>
      <c r="O704" s="164">
        <v>15288</v>
      </c>
      <c r="P704" s="164">
        <v>15288</v>
      </c>
      <c r="Q704" s="208">
        <v>12527</v>
      </c>
      <c r="R704" s="208">
        <v>9697</v>
      </c>
      <c r="S704" s="265">
        <v>6795</v>
      </c>
      <c r="T704" s="265">
        <v>3821</v>
      </c>
      <c r="U704" s="265">
        <v>772</v>
      </c>
    </row>
    <row r="705" spans="1:21" ht="24" customHeight="1">
      <c r="B705" s="98" t="s">
        <v>950</v>
      </c>
      <c r="C705" s="98"/>
      <c r="D705" s="98"/>
      <c r="E705" s="98"/>
      <c r="F705" s="98"/>
      <c r="G705" s="98"/>
      <c r="H705" s="98"/>
      <c r="I705" s="98"/>
      <c r="J705" s="98"/>
      <c r="K705" s="98"/>
      <c r="L705" s="98"/>
      <c r="M705" s="267"/>
      <c r="N705" s="267"/>
      <c r="O705" s="168"/>
      <c r="P705" s="168"/>
      <c r="Q705" s="219"/>
      <c r="R705" s="219"/>
      <c r="S705" s="219"/>
      <c r="T705" s="219"/>
      <c r="U705" s="219"/>
    </row>
    <row r="706" spans="1:21" ht="24" customHeight="1">
      <c r="B706" s="1" t="s">
        <v>916</v>
      </c>
      <c r="C706" s="95"/>
      <c r="D706" s="95"/>
      <c r="E706" s="1" t="s">
        <v>798</v>
      </c>
      <c r="F706" s="95"/>
      <c r="G706" s="95"/>
      <c r="H706" s="95"/>
      <c r="I706" s="95"/>
      <c r="J706" s="95"/>
      <c r="K706" s="95"/>
      <c r="L706" s="95"/>
      <c r="M706" s="240">
        <v>125000</v>
      </c>
      <c r="N706" s="240">
        <v>130000</v>
      </c>
      <c r="O706" s="164">
        <v>135000</v>
      </c>
      <c r="P706" s="164">
        <v>135000</v>
      </c>
      <c r="Q706" s="208">
        <v>135000</v>
      </c>
      <c r="R706" s="208">
        <v>140000</v>
      </c>
      <c r="S706" s="208">
        <v>135000</v>
      </c>
      <c r="T706" s="208">
        <v>0</v>
      </c>
      <c r="U706" s="208">
        <v>0</v>
      </c>
    </row>
    <row r="707" spans="1:21" ht="24" customHeight="1">
      <c r="B707" s="1" t="s">
        <v>917</v>
      </c>
      <c r="C707" s="95"/>
      <c r="D707" s="95"/>
      <c r="E707" s="1" t="s">
        <v>248</v>
      </c>
      <c r="F707" s="95"/>
      <c r="G707" s="95"/>
      <c r="H707" s="95"/>
      <c r="I707" s="95"/>
      <c r="J707" s="95"/>
      <c r="K707" s="95"/>
      <c r="L707" s="95"/>
      <c r="M707" s="261">
        <v>22750</v>
      </c>
      <c r="N707" s="261">
        <v>20250</v>
      </c>
      <c r="O707" s="167">
        <v>16350</v>
      </c>
      <c r="P707" s="167">
        <v>16350</v>
      </c>
      <c r="Q707" s="225">
        <v>12300</v>
      </c>
      <c r="R707" s="225">
        <v>8250</v>
      </c>
      <c r="S707" s="225">
        <v>4050</v>
      </c>
      <c r="T707" s="225">
        <v>0</v>
      </c>
      <c r="U707" s="225">
        <v>0</v>
      </c>
    </row>
    <row r="708" spans="1:21" s="89" customFormat="1" ht="24" customHeight="1">
      <c r="A708" s="576"/>
      <c r="B708" s="689" t="s">
        <v>1225</v>
      </c>
      <c r="C708" s="689"/>
      <c r="D708" s="689"/>
      <c r="E708" s="689"/>
      <c r="F708" s="689"/>
      <c r="G708" s="689"/>
      <c r="H708" s="689"/>
      <c r="I708" s="689"/>
      <c r="J708" s="689"/>
      <c r="K708" s="689"/>
      <c r="L708" s="689"/>
      <c r="M708" s="408">
        <f t="shared" ref="M708:U708" si="87">SUM(M638:M707)</f>
        <v>5024758</v>
      </c>
      <c r="N708" s="408">
        <f t="shared" si="87"/>
        <v>4712847</v>
      </c>
      <c r="O708" s="409">
        <f t="shared" si="87"/>
        <v>6081733</v>
      </c>
      <c r="P708" s="409">
        <f t="shared" si="87"/>
        <v>5485147</v>
      </c>
      <c r="Q708" s="408">
        <f t="shared" si="87"/>
        <v>7693103</v>
      </c>
      <c r="R708" s="408">
        <f t="shared" si="87"/>
        <v>6829031</v>
      </c>
      <c r="S708" s="408">
        <f t="shared" si="87"/>
        <v>6978127</v>
      </c>
      <c r="T708" s="408">
        <f t="shared" si="87"/>
        <v>4784990</v>
      </c>
      <c r="U708" s="408">
        <f t="shared" si="87"/>
        <v>4061415</v>
      </c>
    </row>
    <row r="709" spans="1:21" s="554" customFormat="1" ht="6.9" customHeight="1">
      <c r="A709" s="576"/>
      <c r="B709" s="552"/>
      <c r="C709" s="552"/>
      <c r="D709" s="552"/>
      <c r="E709" s="552"/>
      <c r="F709" s="552"/>
      <c r="G709" s="552"/>
      <c r="H709" s="552"/>
      <c r="I709" s="552"/>
      <c r="J709" s="552"/>
      <c r="K709" s="552"/>
      <c r="L709" s="552"/>
      <c r="M709" s="408"/>
      <c r="N709" s="408"/>
      <c r="O709" s="409"/>
      <c r="P709" s="409"/>
      <c r="Q709" s="408"/>
      <c r="R709" s="408"/>
      <c r="S709" s="408"/>
      <c r="T709" s="408"/>
      <c r="U709" s="408"/>
    </row>
    <row r="710" spans="1:21" s="554" customFormat="1" ht="24" customHeight="1">
      <c r="A710" s="576"/>
      <c r="B710" s="555" t="s">
        <v>1362</v>
      </c>
      <c r="C710" s="553"/>
      <c r="D710" s="553"/>
      <c r="E710" s="555" t="s">
        <v>1319</v>
      </c>
      <c r="F710" s="553"/>
      <c r="G710" s="553"/>
      <c r="H710" s="553"/>
      <c r="I710" s="553"/>
      <c r="J710" s="553"/>
      <c r="K710" s="553"/>
      <c r="L710" s="553"/>
      <c r="M710" s="278">
        <v>0</v>
      </c>
      <c r="N710" s="278">
        <v>0</v>
      </c>
      <c r="O710" s="279">
        <v>0</v>
      </c>
      <c r="P710" s="279">
        <f t="shared" ref="P710:U710" si="88">P442</f>
        <v>0</v>
      </c>
      <c r="Q710" s="278">
        <f t="shared" si="88"/>
        <v>0</v>
      </c>
      <c r="R710" s="278">
        <f t="shared" si="88"/>
        <v>66443</v>
      </c>
      <c r="S710" s="278">
        <f t="shared" si="88"/>
        <v>382945</v>
      </c>
      <c r="T710" s="278">
        <f t="shared" si="88"/>
        <v>382008</v>
      </c>
      <c r="U710" s="278">
        <f t="shared" si="88"/>
        <v>382074</v>
      </c>
    </row>
    <row r="711" spans="1:21" s="554" customFormat="1" ht="24" customHeight="1">
      <c r="A711" s="576"/>
      <c r="B711" s="689" t="s">
        <v>599</v>
      </c>
      <c r="C711" s="689"/>
      <c r="D711" s="689"/>
      <c r="E711" s="689"/>
      <c r="F711" s="689"/>
      <c r="G711" s="689"/>
      <c r="H711" s="689"/>
      <c r="I711" s="689"/>
      <c r="J711" s="689"/>
      <c r="K711" s="689"/>
      <c r="L711" s="689"/>
      <c r="M711" s="408">
        <f>SUM(M710)</f>
        <v>0</v>
      </c>
      <c r="N711" s="408">
        <f>SUM(N710)</f>
        <v>0</v>
      </c>
      <c r="O711" s="409">
        <f>SUM(O710)</f>
        <v>0</v>
      </c>
      <c r="P711" s="409">
        <f>SUM(P710)</f>
        <v>0</v>
      </c>
      <c r="Q711" s="408">
        <f t="shared" ref="Q711:U711" si="89">SUM(Q710)</f>
        <v>0</v>
      </c>
      <c r="R711" s="408">
        <f t="shared" si="89"/>
        <v>66443</v>
      </c>
      <c r="S711" s="408">
        <f t="shared" si="89"/>
        <v>382945</v>
      </c>
      <c r="T711" s="408">
        <f t="shared" si="89"/>
        <v>382008</v>
      </c>
      <c r="U711" s="408">
        <f t="shared" si="89"/>
        <v>382074</v>
      </c>
    </row>
    <row r="712" spans="1:21" s="89" customFormat="1" ht="15" customHeight="1">
      <c r="A712" s="576"/>
      <c r="B712" s="493"/>
      <c r="C712" s="493"/>
      <c r="D712" s="493"/>
      <c r="E712" s="493"/>
      <c r="F712" s="493"/>
      <c r="G712" s="493"/>
      <c r="H712" s="493"/>
      <c r="I712" s="493"/>
      <c r="J712" s="493"/>
      <c r="K712" s="493"/>
      <c r="L712" s="493"/>
      <c r="M712" s="494"/>
      <c r="N712" s="494"/>
      <c r="O712" s="495"/>
      <c r="P712" s="495"/>
      <c r="Q712" s="494"/>
      <c r="R712" s="494"/>
      <c r="S712" s="494"/>
      <c r="T712" s="494"/>
      <c r="U712" s="494"/>
    </row>
    <row r="713" spans="1:21" s="554" customFormat="1" ht="24" customHeight="1">
      <c r="A713" s="576"/>
      <c r="B713" s="691" t="s">
        <v>1363</v>
      </c>
      <c r="C713" s="691"/>
      <c r="D713" s="691"/>
      <c r="E713" s="691"/>
      <c r="F713" s="691"/>
      <c r="G713" s="691"/>
      <c r="H713" s="691"/>
      <c r="I713" s="691"/>
      <c r="J713" s="691"/>
      <c r="K713" s="691"/>
      <c r="L713" s="691"/>
      <c r="M713" s="409">
        <f t="shared" ref="M713:U713" si="90">M708</f>
        <v>5024758</v>
      </c>
      <c r="N713" s="409">
        <f t="shared" si="90"/>
        <v>4712847</v>
      </c>
      <c r="O713" s="409">
        <f t="shared" si="90"/>
        <v>6081733</v>
      </c>
      <c r="P713" s="409">
        <f t="shared" si="90"/>
        <v>5485147</v>
      </c>
      <c r="Q713" s="409">
        <f t="shared" si="90"/>
        <v>7693103</v>
      </c>
      <c r="R713" s="409">
        <f t="shared" si="90"/>
        <v>6829031</v>
      </c>
      <c r="S713" s="409">
        <f t="shared" si="90"/>
        <v>6978127</v>
      </c>
      <c r="T713" s="409">
        <f t="shared" si="90"/>
        <v>4784990</v>
      </c>
      <c r="U713" s="409">
        <f t="shared" si="90"/>
        <v>4061415</v>
      </c>
    </row>
    <row r="714" spans="1:21" s="554" customFormat="1" ht="15" customHeight="1">
      <c r="A714" s="576"/>
      <c r="B714" s="556"/>
      <c r="C714" s="556"/>
      <c r="D714" s="556"/>
      <c r="E714" s="556"/>
      <c r="F714" s="556"/>
      <c r="G714" s="556"/>
      <c r="H714" s="556"/>
      <c r="I714" s="556"/>
      <c r="J714" s="556"/>
      <c r="K714" s="556"/>
      <c r="L714" s="557"/>
      <c r="M714" s="428"/>
      <c r="N714" s="428"/>
      <c r="O714" s="428"/>
      <c r="P714" s="428"/>
      <c r="Q714" s="428"/>
      <c r="R714" s="428"/>
      <c r="S714" s="428"/>
      <c r="T714" s="428"/>
      <c r="U714" s="428"/>
    </row>
    <row r="715" spans="1:21" s="470" customFormat="1" ht="24" customHeight="1">
      <c r="A715" s="576"/>
      <c r="B715" s="420"/>
      <c r="C715" s="692" t="s">
        <v>838</v>
      </c>
      <c r="D715" s="692"/>
      <c r="E715" s="692"/>
      <c r="F715" s="692"/>
      <c r="G715" s="692"/>
      <c r="H715" s="692"/>
      <c r="I715" s="692"/>
      <c r="J715" s="692"/>
      <c r="K715" s="692"/>
      <c r="L715" s="692"/>
      <c r="M715" s="428">
        <f t="shared" ref="M715:U715" si="91">M633</f>
        <v>178781</v>
      </c>
      <c r="N715" s="428">
        <f t="shared" si="91"/>
        <v>179020</v>
      </c>
      <c r="O715" s="428">
        <f t="shared" si="91"/>
        <v>180233</v>
      </c>
      <c r="P715" s="428">
        <f t="shared" si="91"/>
        <v>180233</v>
      </c>
      <c r="Q715" s="428">
        <f t="shared" si="91"/>
        <v>177859</v>
      </c>
      <c r="R715" s="428">
        <f t="shared" si="91"/>
        <v>178752</v>
      </c>
      <c r="S715" s="428">
        <f t="shared" si="91"/>
        <v>173559</v>
      </c>
      <c r="T715" s="428">
        <f t="shared" si="91"/>
        <v>55366</v>
      </c>
      <c r="U715" s="428">
        <f t="shared" si="91"/>
        <v>54738</v>
      </c>
    </row>
    <row r="716" spans="1:21" s="470" customFormat="1" ht="24" customHeight="1">
      <c r="A716" s="576"/>
      <c r="B716" s="421"/>
      <c r="C716" s="693" t="s">
        <v>1204</v>
      </c>
      <c r="D716" s="693"/>
      <c r="E716" s="693"/>
      <c r="F716" s="693"/>
      <c r="G716" s="693"/>
      <c r="H716" s="693"/>
      <c r="I716" s="693"/>
      <c r="J716" s="693"/>
      <c r="K716" s="693"/>
      <c r="L716" s="693"/>
      <c r="M716" s="483">
        <f t="shared" ref="M716:U716" si="92">-M711</f>
        <v>0</v>
      </c>
      <c r="N716" s="483">
        <f t="shared" si="92"/>
        <v>0</v>
      </c>
      <c r="O716" s="483">
        <f t="shared" si="92"/>
        <v>0</v>
      </c>
      <c r="P716" s="483">
        <f t="shared" si="92"/>
        <v>0</v>
      </c>
      <c r="Q716" s="483">
        <f t="shared" si="92"/>
        <v>0</v>
      </c>
      <c r="R716" s="483">
        <f t="shared" si="92"/>
        <v>-66443</v>
      </c>
      <c r="S716" s="483">
        <f t="shared" si="92"/>
        <v>-382945</v>
      </c>
      <c r="T716" s="483">
        <f t="shared" si="92"/>
        <v>-382008</v>
      </c>
      <c r="U716" s="483">
        <f t="shared" si="92"/>
        <v>-382074</v>
      </c>
    </row>
    <row r="717" spans="1:21" s="470" customFormat="1" ht="24" customHeight="1">
      <c r="A717" s="576"/>
      <c r="B717" s="360"/>
      <c r="C717" s="691" t="s">
        <v>1226</v>
      </c>
      <c r="D717" s="691"/>
      <c r="E717" s="691"/>
      <c r="F717" s="691"/>
      <c r="G717" s="691"/>
      <c r="H717" s="691"/>
      <c r="I717" s="691"/>
      <c r="J717" s="691"/>
      <c r="K717" s="691"/>
      <c r="L717" s="691"/>
      <c r="M717" s="409">
        <f t="shared" ref="M717:U717" si="93">M715+M716</f>
        <v>178781</v>
      </c>
      <c r="N717" s="409">
        <f t="shared" si="93"/>
        <v>179020</v>
      </c>
      <c r="O717" s="409">
        <f t="shared" si="93"/>
        <v>180233</v>
      </c>
      <c r="P717" s="409">
        <f t="shared" si="93"/>
        <v>180233</v>
      </c>
      <c r="Q717" s="409">
        <f t="shared" si="93"/>
        <v>177859</v>
      </c>
      <c r="R717" s="409">
        <f t="shared" si="93"/>
        <v>112309</v>
      </c>
      <c r="S717" s="409">
        <f t="shared" si="93"/>
        <v>-209386</v>
      </c>
      <c r="T717" s="409">
        <f t="shared" si="93"/>
        <v>-326642</v>
      </c>
      <c r="U717" s="409">
        <f t="shared" si="93"/>
        <v>-327336</v>
      </c>
    </row>
    <row r="718" spans="1:21" s="470" customFormat="1" ht="15" customHeight="1">
      <c r="A718" s="576"/>
      <c r="B718" s="145"/>
      <c r="C718" s="145"/>
      <c r="D718" s="145"/>
      <c r="E718" s="145"/>
      <c r="F718" s="145"/>
      <c r="G718" s="145"/>
      <c r="H718" s="145"/>
      <c r="I718" s="145"/>
      <c r="J718" s="145"/>
      <c r="K718" s="145"/>
      <c r="L718" s="145"/>
      <c r="M718" s="428"/>
      <c r="N718" s="428"/>
      <c r="O718" s="428"/>
      <c r="P718" s="428"/>
      <c r="Q718" s="428"/>
      <c r="R718" s="428"/>
      <c r="S718" s="428"/>
      <c r="T718" s="428"/>
      <c r="U718" s="428"/>
    </row>
    <row r="719" spans="1:21" s="89" customFormat="1" ht="24" customHeight="1">
      <c r="A719" s="576"/>
      <c r="B719" s="145"/>
      <c r="C719" s="145"/>
      <c r="D719" s="145"/>
      <c r="E719" s="145"/>
      <c r="F719" s="145"/>
      <c r="G719" s="145"/>
      <c r="H719" s="145"/>
      <c r="I719" s="145"/>
      <c r="J719" s="145"/>
      <c r="K719" s="145"/>
      <c r="L719" s="360" t="s">
        <v>425</v>
      </c>
      <c r="M719" s="280">
        <f t="shared" ref="M719:U719" si="94">M629-M708+M717</f>
        <v>-264783</v>
      </c>
      <c r="N719" s="280">
        <f t="shared" si="94"/>
        <v>633113</v>
      </c>
      <c r="O719" s="280">
        <f t="shared" si="94"/>
        <v>-1020462</v>
      </c>
      <c r="P719" s="280">
        <f t="shared" si="94"/>
        <v>-106389</v>
      </c>
      <c r="Q719" s="280">
        <f t="shared" si="94"/>
        <v>-1914100</v>
      </c>
      <c r="R719" s="280">
        <f t="shared" si="94"/>
        <v>-976894</v>
      </c>
      <c r="S719" s="280">
        <f t="shared" si="94"/>
        <v>-1251431</v>
      </c>
      <c r="T719" s="280">
        <f t="shared" si="94"/>
        <v>1074822</v>
      </c>
      <c r="U719" s="280">
        <f t="shared" si="94"/>
        <v>2059733</v>
      </c>
    </row>
    <row r="720" spans="1:21" s="89" customFormat="1" ht="15" customHeight="1">
      <c r="A720" s="576"/>
      <c r="B720" s="145"/>
      <c r="C720" s="145"/>
      <c r="D720" s="145"/>
      <c r="E720" s="145"/>
      <c r="F720" s="145"/>
      <c r="G720" s="145"/>
      <c r="H720" s="145"/>
      <c r="I720" s="145"/>
      <c r="J720" s="145"/>
      <c r="K720" s="145"/>
      <c r="L720" s="145"/>
      <c r="M720" s="409"/>
      <c r="N720" s="409"/>
      <c r="O720" s="409"/>
      <c r="P720" s="409"/>
      <c r="Q720" s="409"/>
      <c r="R720" s="409"/>
      <c r="S720" s="409"/>
      <c r="T720" s="409"/>
      <c r="U720" s="409"/>
    </row>
    <row r="721" spans="1:21" s="89" customFormat="1" ht="24" customHeight="1">
      <c r="A721" s="576"/>
      <c r="B721" s="694" t="s">
        <v>756</v>
      </c>
      <c r="C721" s="694"/>
      <c r="D721" s="694"/>
      <c r="E721" s="694"/>
      <c r="F721" s="694"/>
      <c r="G721" s="694"/>
      <c r="H721" s="694"/>
      <c r="I721" s="694"/>
      <c r="J721" s="694"/>
      <c r="K721" s="694"/>
      <c r="L721" s="694"/>
      <c r="M721" s="409">
        <v>3268245</v>
      </c>
      <c r="N721" s="409">
        <v>3901358</v>
      </c>
      <c r="O721" s="409">
        <v>2600578</v>
      </c>
      <c r="P721" s="409">
        <f>N721+P719</f>
        <v>3794969</v>
      </c>
      <c r="Q721" s="409">
        <f>P721+Q719</f>
        <v>1880869</v>
      </c>
      <c r="R721" s="409">
        <f>Q721+R719</f>
        <v>903975</v>
      </c>
      <c r="S721" s="409">
        <f>R721+S719</f>
        <v>-347456</v>
      </c>
      <c r="T721" s="409">
        <f>S721+T719</f>
        <v>727366</v>
      </c>
      <c r="U721" s="409">
        <f>T721+U719</f>
        <v>2787099</v>
      </c>
    </row>
    <row r="722" spans="1:21" s="104" customFormat="1" ht="24" customHeight="1">
      <c r="A722" s="584"/>
      <c r="B722" s="497"/>
      <c r="C722" s="497"/>
      <c r="D722" s="497"/>
      <c r="E722" s="497"/>
      <c r="F722" s="497"/>
      <c r="G722" s="497"/>
      <c r="H722" s="497"/>
      <c r="I722" s="497"/>
      <c r="J722" s="497"/>
      <c r="K722" s="497"/>
      <c r="L722" s="497"/>
      <c r="M722" s="179">
        <f t="shared" ref="M722:U722" si="95">M721/(M708+M711)</f>
        <v>0.65042833903642727</v>
      </c>
      <c r="N722" s="179">
        <f t="shared" si="95"/>
        <v>0.8278134214838716</v>
      </c>
      <c r="O722" s="179">
        <f t="shared" si="95"/>
        <v>0.42760476331335162</v>
      </c>
      <c r="P722" s="179">
        <f t="shared" si="95"/>
        <v>0.69186277049639688</v>
      </c>
      <c r="Q722" s="179">
        <f t="shared" si="95"/>
        <v>0.24448769241748095</v>
      </c>
      <c r="R722" s="179">
        <f t="shared" si="95"/>
        <v>0.13109686150654762</v>
      </c>
      <c r="S722" s="179">
        <f t="shared" si="95"/>
        <v>-4.7201820604390231E-2</v>
      </c>
      <c r="T722" s="179">
        <f t="shared" si="95"/>
        <v>0.14077148858969948</v>
      </c>
      <c r="U722" s="179">
        <f t="shared" si="95"/>
        <v>0.62723211422375524</v>
      </c>
    </row>
    <row r="723" spans="1:21" s="144" customFormat="1" ht="15" customHeight="1">
      <c r="A723" s="587"/>
      <c r="B723" s="305"/>
      <c r="C723" s="118"/>
      <c r="D723" s="118"/>
      <c r="E723" s="118"/>
      <c r="F723" s="118"/>
      <c r="G723" s="118"/>
      <c r="H723" s="118"/>
      <c r="I723" s="118"/>
      <c r="J723" s="118"/>
      <c r="K723" s="118"/>
      <c r="L723" s="118"/>
      <c r="M723" s="198"/>
      <c r="N723" s="198"/>
      <c r="O723" s="188"/>
      <c r="P723" s="188"/>
      <c r="Q723" s="198"/>
      <c r="R723" s="198"/>
      <c r="S723" s="198"/>
      <c r="T723" s="198"/>
      <c r="U723" s="198"/>
    </row>
    <row r="724" spans="1:21" ht="24" customHeight="1">
      <c r="B724" s="102" t="s">
        <v>1290</v>
      </c>
      <c r="C724" s="89"/>
      <c r="D724" s="89"/>
      <c r="E724" s="89"/>
      <c r="F724" s="89"/>
      <c r="G724" s="89"/>
      <c r="H724" s="89"/>
      <c r="I724" s="89"/>
      <c r="J724" s="89"/>
      <c r="K724" s="89"/>
      <c r="L724" s="89"/>
      <c r="M724" s="254"/>
      <c r="N724" s="254"/>
      <c r="O724" s="199"/>
      <c r="P724" s="185"/>
      <c r="Q724" s="255"/>
      <c r="R724" s="255"/>
      <c r="S724" s="255"/>
      <c r="T724" s="255"/>
      <c r="U724" s="255"/>
    </row>
    <row r="725" spans="1:21" ht="15" customHeight="1">
      <c r="B725" s="89"/>
      <c r="C725" s="89"/>
      <c r="D725" s="89"/>
      <c r="E725" s="89"/>
      <c r="F725" s="89"/>
      <c r="G725" s="89"/>
      <c r="H725" s="89"/>
      <c r="I725" s="89"/>
      <c r="J725" s="89"/>
      <c r="K725" s="89"/>
      <c r="L725" s="89"/>
      <c r="M725" s="254"/>
      <c r="N725" s="254"/>
      <c r="O725" s="185"/>
      <c r="P725" s="185"/>
      <c r="Q725" s="255"/>
      <c r="R725" s="255"/>
      <c r="S725" s="255"/>
      <c r="T725" s="255"/>
      <c r="U725" s="255"/>
    </row>
    <row r="726" spans="1:21" ht="24" customHeight="1">
      <c r="B726" s="570" t="s">
        <v>1370</v>
      </c>
      <c r="C726" s="569"/>
      <c r="D726" s="569"/>
      <c r="E726" s="646" t="s">
        <v>1480</v>
      </c>
      <c r="F726" s="569"/>
      <c r="G726" s="569"/>
      <c r="H726" s="569"/>
      <c r="I726" s="569"/>
      <c r="J726" s="569"/>
      <c r="K726" s="569"/>
      <c r="L726" s="569"/>
      <c r="M726" s="440">
        <v>0</v>
      </c>
      <c r="N726" s="440">
        <v>0</v>
      </c>
      <c r="O726" s="452">
        <v>84500</v>
      </c>
      <c r="P726" s="452">
        <v>0</v>
      </c>
      <c r="Q726" s="440">
        <v>0</v>
      </c>
      <c r="R726" s="440">
        <v>0</v>
      </c>
      <c r="S726" s="440">
        <v>0</v>
      </c>
      <c r="T726" s="440">
        <v>0</v>
      </c>
      <c r="U726" s="440">
        <v>0</v>
      </c>
    </row>
    <row r="727" spans="1:21" ht="24" customHeight="1">
      <c r="B727" s="618" t="s">
        <v>1418</v>
      </c>
      <c r="C727" s="616"/>
      <c r="D727" s="616"/>
      <c r="E727" s="618" t="s">
        <v>1419</v>
      </c>
      <c r="F727" s="616"/>
      <c r="G727" s="616"/>
      <c r="H727" s="616"/>
      <c r="I727" s="616"/>
      <c r="J727" s="616"/>
      <c r="K727" s="616"/>
      <c r="L727" s="616"/>
      <c r="M727" s="613">
        <v>0</v>
      </c>
      <c r="N727" s="613">
        <v>0</v>
      </c>
      <c r="O727" s="614">
        <v>0</v>
      </c>
      <c r="P727" s="614">
        <v>0</v>
      </c>
      <c r="Q727" s="613">
        <v>1000000</v>
      </c>
      <c r="R727" s="613">
        <v>0</v>
      </c>
      <c r="S727" s="613">
        <v>0</v>
      </c>
      <c r="T727" s="613">
        <v>0</v>
      </c>
      <c r="U727" s="613">
        <v>0</v>
      </c>
    </row>
    <row r="728" spans="1:21" ht="24" customHeight="1">
      <c r="B728" s="1" t="s">
        <v>305</v>
      </c>
      <c r="C728" s="89"/>
      <c r="D728" s="89"/>
      <c r="E728" s="1" t="s">
        <v>306</v>
      </c>
      <c r="F728" s="89"/>
      <c r="G728" s="89"/>
      <c r="H728" s="95"/>
      <c r="I728" s="95"/>
      <c r="J728" s="95"/>
      <c r="K728" s="95"/>
      <c r="L728" s="95"/>
      <c r="M728" s="240">
        <v>1000794</v>
      </c>
      <c r="N728" s="240">
        <v>1029086</v>
      </c>
      <c r="O728" s="164">
        <v>1055596</v>
      </c>
      <c r="P728" s="164">
        <v>1065000</v>
      </c>
      <c r="Q728" s="240">
        <v>1128900</v>
      </c>
      <c r="R728" s="240">
        <v>1196634</v>
      </c>
      <c r="S728" s="240">
        <v>1268432</v>
      </c>
      <c r="T728" s="240">
        <v>1344538</v>
      </c>
      <c r="U728" s="240">
        <v>1425210</v>
      </c>
    </row>
    <row r="729" spans="1:21" ht="24" customHeight="1">
      <c r="B729" s="1" t="s">
        <v>806</v>
      </c>
      <c r="C729" s="95"/>
      <c r="D729" s="95"/>
      <c r="E729" s="1" t="s">
        <v>808</v>
      </c>
      <c r="F729" s="95"/>
      <c r="G729" s="95"/>
      <c r="H729" s="95"/>
      <c r="I729" s="95"/>
      <c r="J729" s="95"/>
      <c r="K729" s="95"/>
      <c r="L729" s="95"/>
      <c r="M729" s="221">
        <v>387142</v>
      </c>
      <c r="N729" s="221">
        <v>394933</v>
      </c>
      <c r="O729" s="166">
        <v>395000</v>
      </c>
      <c r="P729" s="166">
        <v>415000</v>
      </c>
      <c r="Q729" s="221">
        <v>423300</v>
      </c>
      <c r="R729" s="221">
        <v>431766</v>
      </c>
      <c r="S729" s="221">
        <v>440401</v>
      </c>
      <c r="T729" s="221">
        <v>449209</v>
      </c>
      <c r="U729" s="221">
        <v>458193</v>
      </c>
    </row>
    <row r="730" spans="1:21" ht="24" customHeight="1">
      <c r="B730" s="1" t="s">
        <v>307</v>
      </c>
      <c r="C730" s="95"/>
      <c r="D730" s="95"/>
      <c r="E730" s="1" t="s">
        <v>308</v>
      </c>
      <c r="F730" s="95"/>
      <c r="G730" s="95"/>
      <c r="H730" s="95"/>
      <c r="I730" s="95"/>
      <c r="J730" s="95"/>
      <c r="K730" s="95"/>
      <c r="L730" s="95"/>
      <c r="M730" s="240">
        <v>74200</v>
      </c>
      <c r="N730" s="240">
        <v>80300</v>
      </c>
      <c r="O730" s="172">
        <v>23300</v>
      </c>
      <c r="P730" s="172">
        <v>105000</v>
      </c>
      <c r="Q730" s="234">
        <v>25000</v>
      </c>
      <c r="R730" s="234">
        <v>25000</v>
      </c>
      <c r="S730" s="234">
        <v>25000</v>
      </c>
      <c r="T730" s="234">
        <v>25000</v>
      </c>
      <c r="U730" s="234">
        <v>25000</v>
      </c>
    </row>
    <row r="731" spans="1:21" ht="24" customHeight="1">
      <c r="B731" s="1" t="s">
        <v>309</v>
      </c>
      <c r="C731" s="95"/>
      <c r="D731" s="95"/>
      <c r="E731" s="1" t="s">
        <v>310</v>
      </c>
      <c r="F731" s="95"/>
      <c r="G731" s="95"/>
      <c r="H731" s="95"/>
      <c r="I731" s="95"/>
      <c r="J731" s="95"/>
      <c r="K731" s="95"/>
      <c r="L731" s="95"/>
      <c r="M731" s="240">
        <v>124500</v>
      </c>
      <c r="N731" s="240">
        <v>226800</v>
      </c>
      <c r="O731" s="172">
        <v>180000</v>
      </c>
      <c r="P731" s="172">
        <v>125000</v>
      </c>
      <c r="Q731" s="234">
        <v>180000</v>
      </c>
      <c r="R731" s="234">
        <v>180000</v>
      </c>
      <c r="S731" s="234">
        <v>180000</v>
      </c>
      <c r="T731" s="234">
        <v>180000</v>
      </c>
      <c r="U731" s="234">
        <v>180000</v>
      </c>
    </row>
    <row r="732" spans="1:21" ht="24" customHeight="1">
      <c r="B732" s="1" t="s">
        <v>807</v>
      </c>
      <c r="C732" s="95"/>
      <c r="D732" s="95"/>
      <c r="E732" s="1" t="s">
        <v>764</v>
      </c>
      <c r="F732" s="95"/>
      <c r="G732" s="95"/>
      <c r="H732" s="95"/>
      <c r="I732" s="95"/>
      <c r="J732" s="95"/>
      <c r="K732" s="95"/>
      <c r="L732" s="95"/>
      <c r="M732" s="308">
        <v>14611</v>
      </c>
      <c r="N732" s="308">
        <v>87</v>
      </c>
      <c r="O732" s="172">
        <v>15957</v>
      </c>
      <c r="P732" s="172">
        <v>19000</v>
      </c>
      <c r="Q732" s="234">
        <v>19000</v>
      </c>
      <c r="R732" s="234">
        <v>19000</v>
      </c>
      <c r="S732" s="234">
        <v>19000</v>
      </c>
      <c r="T732" s="234">
        <v>19000</v>
      </c>
      <c r="U732" s="234">
        <v>19000</v>
      </c>
    </row>
    <row r="733" spans="1:21" ht="24" customHeight="1">
      <c r="B733" s="1" t="s">
        <v>311</v>
      </c>
      <c r="C733" s="95"/>
      <c r="D733" s="95"/>
      <c r="E733" s="1" t="s">
        <v>312</v>
      </c>
      <c r="F733" s="95"/>
      <c r="G733" s="95"/>
      <c r="H733" s="95"/>
      <c r="I733" s="95"/>
      <c r="J733" s="95"/>
      <c r="K733" s="95"/>
      <c r="L733" s="95"/>
      <c r="M733" s="240">
        <v>600</v>
      </c>
      <c r="N733" s="240">
        <v>755</v>
      </c>
      <c r="O733" s="164">
        <v>0</v>
      </c>
      <c r="P733" s="164">
        <v>0</v>
      </c>
      <c r="Q733" s="208">
        <v>0</v>
      </c>
      <c r="R733" s="208">
        <v>0</v>
      </c>
      <c r="S733" s="208">
        <v>0</v>
      </c>
      <c r="T733" s="208">
        <v>0</v>
      </c>
      <c r="U733" s="208">
        <v>0</v>
      </c>
    </row>
    <row r="734" spans="1:21" ht="24" customHeight="1">
      <c r="B734" s="1" t="s">
        <v>313</v>
      </c>
      <c r="C734" s="95"/>
      <c r="D734" s="95"/>
      <c r="E734" s="688" t="s">
        <v>6</v>
      </c>
      <c r="F734" s="688"/>
      <c r="G734" s="688"/>
      <c r="H734" s="688"/>
      <c r="I734" s="688"/>
      <c r="J734" s="688"/>
      <c r="K734" s="688"/>
      <c r="L734" s="688"/>
      <c r="M734" s="240">
        <v>7292</v>
      </c>
      <c r="N734" s="240">
        <v>480</v>
      </c>
      <c r="O734" s="164">
        <v>1500</v>
      </c>
      <c r="P734" s="164">
        <v>300</v>
      </c>
      <c r="Q734" s="240">
        <v>750</v>
      </c>
      <c r="R734" s="240">
        <v>1000</v>
      </c>
      <c r="S734" s="240">
        <v>2000</v>
      </c>
      <c r="T734" s="240">
        <v>3000</v>
      </c>
      <c r="U734" s="240">
        <v>5000</v>
      </c>
    </row>
    <row r="735" spans="1:21" ht="24" customHeight="1">
      <c r="B735" s="1" t="s">
        <v>1092</v>
      </c>
      <c r="C735" s="95"/>
      <c r="D735" s="95"/>
      <c r="E735" s="4" t="s">
        <v>1086</v>
      </c>
      <c r="F735" s="95"/>
      <c r="G735" s="95"/>
      <c r="H735" s="95"/>
      <c r="I735" s="95"/>
      <c r="J735" s="95"/>
      <c r="K735" s="95"/>
      <c r="L735" s="95"/>
      <c r="M735" s="240">
        <v>31459</v>
      </c>
      <c r="N735" s="240">
        <v>0</v>
      </c>
      <c r="O735" s="164">
        <v>0</v>
      </c>
      <c r="P735" s="164">
        <v>2874</v>
      </c>
      <c r="Q735" s="208">
        <v>0</v>
      </c>
      <c r="R735" s="208">
        <v>0</v>
      </c>
      <c r="S735" s="208">
        <v>0</v>
      </c>
      <c r="T735" s="208">
        <v>0</v>
      </c>
      <c r="U735" s="208">
        <v>0</v>
      </c>
    </row>
    <row r="736" spans="1:21" ht="24" customHeight="1">
      <c r="B736" s="618" t="s">
        <v>1422</v>
      </c>
      <c r="C736" s="616"/>
      <c r="D736" s="616"/>
      <c r="E736" s="617" t="s">
        <v>1423</v>
      </c>
      <c r="F736" s="616"/>
      <c r="G736" s="616"/>
      <c r="H736" s="616"/>
      <c r="I736" s="616"/>
      <c r="J736" s="616"/>
      <c r="K736" s="616"/>
      <c r="L736" s="616"/>
      <c r="M736" s="240">
        <v>0</v>
      </c>
      <c r="N736" s="240">
        <v>0</v>
      </c>
      <c r="O736" s="164">
        <v>0</v>
      </c>
      <c r="P736" s="164">
        <v>0</v>
      </c>
      <c r="Q736" s="240">
        <v>2227415</v>
      </c>
      <c r="R736" s="208">
        <v>0</v>
      </c>
      <c r="S736" s="208">
        <v>0</v>
      </c>
      <c r="T736" s="208">
        <v>0</v>
      </c>
      <c r="U736" s="208">
        <v>0</v>
      </c>
    </row>
    <row r="737" spans="1:21" ht="24" customHeight="1">
      <c r="B737" s="1" t="s">
        <v>314</v>
      </c>
      <c r="C737" s="95"/>
      <c r="D737" s="95"/>
      <c r="E737" s="688" t="s">
        <v>61</v>
      </c>
      <c r="F737" s="688"/>
      <c r="G737" s="688"/>
      <c r="H737" s="688"/>
      <c r="I737" s="688"/>
      <c r="J737" s="688"/>
      <c r="K737" s="688"/>
      <c r="L737" s="688"/>
      <c r="M737" s="261">
        <v>1630</v>
      </c>
      <c r="N737" s="261">
        <v>4629</v>
      </c>
      <c r="O737" s="167">
        <v>0</v>
      </c>
      <c r="P737" s="167">
        <v>1683</v>
      </c>
      <c r="Q737" s="225">
        <v>0</v>
      </c>
      <c r="R737" s="225">
        <v>0</v>
      </c>
      <c r="S737" s="225">
        <v>0</v>
      </c>
      <c r="T737" s="225">
        <v>0</v>
      </c>
      <c r="U737" s="225">
        <v>0</v>
      </c>
    </row>
    <row r="738" spans="1:21" ht="24" customHeight="1">
      <c r="B738" s="689" t="s">
        <v>1227</v>
      </c>
      <c r="C738" s="689"/>
      <c r="D738" s="689"/>
      <c r="E738" s="689"/>
      <c r="F738" s="689"/>
      <c r="G738" s="689"/>
      <c r="H738" s="689"/>
      <c r="I738" s="689"/>
      <c r="J738" s="689"/>
      <c r="K738" s="689"/>
      <c r="L738" s="689"/>
      <c r="M738" s="406">
        <f t="shared" ref="M738:U738" si="96">SUM(M726:M737)</f>
        <v>1642228</v>
      </c>
      <c r="N738" s="406">
        <f t="shared" si="96"/>
        <v>1737070</v>
      </c>
      <c r="O738" s="407">
        <f t="shared" si="96"/>
        <v>1755853</v>
      </c>
      <c r="P738" s="407">
        <f t="shared" si="96"/>
        <v>1733857</v>
      </c>
      <c r="Q738" s="406">
        <f t="shared" si="96"/>
        <v>5004365</v>
      </c>
      <c r="R738" s="406">
        <f t="shared" si="96"/>
        <v>1853400</v>
      </c>
      <c r="S738" s="406">
        <f t="shared" si="96"/>
        <v>1934833</v>
      </c>
      <c r="T738" s="406">
        <f t="shared" si="96"/>
        <v>2020747</v>
      </c>
      <c r="U738" s="406">
        <f t="shared" si="96"/>
        <v>2112403</v>
      </c>
    </row>
    <row r="739" spans="1:21" ht="6.9" customHeight="1">
      <c r="B739" s="468"/>
      <c r="C739" s="469"/>
      <c r="D739" s="469"/>
      <c r="E739" s="469"/>
      <c r="F739" s="469"/>
      <c r="G739" s="469"/>
      <c r="H739" s="469"/>
      <c r="I739" s="469"/>
      <c r="J739" s="469"/>
      <c r="K739" s="469"/>
      <c r="L739" s="469"/>
      <c r="M739" s="221"/>
      <c r="N739" s="240"/>
      <c r="O739" s="164"/>
      <c r="P739" s="164"/>
      <c r="Q739" s="208"/>
      <c r="R739" s="208"/>
      <c r="S739" s="208"/>
      <c r="T739" s="208"/>
      <c r="U739" s="208"/>
    </row>
    <row r="740" spans="1:21" ht="24" customHeight="1">
      <c r="B740" s="1" t="s">
        <v>315</v>
      </c>
      <c r="C740" s="95"/>
      <c r="D740" s="95"/>
      <c r="E740" s="1" t="s">
        <v>238</v>
      </c>
      <c r="F740" s="95"/>
      <c r="G740" s="95"/>
      <c r="H740" s="95"/>
      <c r="I740" s="95"/>
      <c r="J740" s="95"/>
      <c r="K740" s="95"/>
      <c r="L740" s="95"/>
      <c r="M740" s="403">
        <v>575030</v>
      </c>
      <c r="N740" s="404">
        <v>174744</v>
      </c>
      <c r="O740" s="405">
        <v>519749</v>
      </c>
      <c r="P740" s="405">
        <v>519749</v>
      </c>
      <c r="Q740" s="404">
        <f>Q805+Q806+573855-13479-28575</f>
        <v>1600356</v>
      </c>
      <c r="R740" s="404">
        <f>R805+R806</f>
        <v>1065723</v>
      </c>
      <c r="S740" s="404">
        <f>S805+S806-300751</f>
        <v>769303</v>
      </c>
      <c r="T740" s="404">
        <f>T805+T806-505221</f>
        <v>568980</v>
      </c>
      <c r="U740" s="404">
        <f>U802+U803</f>
        <v>0</v>
      </c>
    </row>
    <row r="741" spans="1:21" ht="24" customHeight="1">
      <c r="B741" s="593" t="s">
        <v>1393</v>
      </c>
      <c r="C741" s="594"/>
      <c r="D741" s="594"/>
      <c r="E741" s="593" t="s">
        <v>1394</v>
      </c>
      <c r="F741" s="594"/>
      <c r="G741" s="594"/>
      <c r="H741" s="594"/>
      <c r="I741" s="594"/>
      <c r="J741" s="594"/>
      <c r="K741" s="594"/>
      <c r="L741" s="594"/>
      <c r="M741" s="296">
        <v>0</v>
      </c>
      <c r="N741" s="296">
        <v>0</v>
      </c>
      <c r="O741" s="550">
        <v>0</v>
      </c>
      <c r="P741" s="550">
        <v>4160000</v>
      </c>
      <c r="Q741" s="549">
        <v>0</v>
      </c>
      <c r="R741" s="549">
        <v>0</v>
      </c>
      <c r="S741" s="549">
        <v>0</v>
      </c>
      <c r="T741" s="549">
        <v>0</v>
      </c>
      <c r="U741" s="549">
        <v>0</v>
      </c>
    </row>
    <row r="742" spans="1:21" ht="24" customHeight="1">
      <c r="B742" s="689" t="s">
        <v>592</v>
      </c>
      <c r="C742" s="689"/>
      <c r="D742" s="689"/>
      <c r="E742" s="689"/>
      <c r="F742" s="689"/>
      <c r="G742" s="689"/>
      <c r="H742" s="689"/>
      <c r="I742" s="689"/>
      <c r="J742" s="689"/>
      <c r="K742" s="689"/>
      <c r="L742" s="689"/>
      <c r="M742" s="410">
        <f t="shared" ref="M742:U742" si="97">M740+M741</f>
        <v>575030</v>
      </c>
      <c r="N742" s="410">
        <f t="shared" si="97"/>
        <v>174744</v>
      </c>
      <c r="O742" s="407">
        <f t="shared" si="97"/>
        <v>519749</v>
      </c>
      <c r="P742" s="407">
        <f t="shared" si="97"/>
        <v>4679749</v>
      </c>
      <c r="Q742" s="410">
        <f t="shared" si="97"/>
        <v>1600356</v>
      </c>
      <c r="R742" s="410">
        <f t="shared" si="97"/>
        <v>1065723</v>
      </c>
      <c r="S742" s="410">
        <f t="shared" si="97"/>
        <v>769303</v>
      </c>
      <c r="T742" s="410">
        <f t="shared" si="97"/>
        <v>568980</v>
      </c>
      <c r="U742" s="410">
        <f t="shared" si="97"/>
        <v>0</v>
      </c>
    </row>
    <row r="743" spans="1:21" ht="15" customHeight="1">
      <c r="B743" s="1"/>
      <c r="C743" s="95"/>
      <c r="D743" s="95"/>
      <c r="E743" s="89"/>
      <c r="F743" s="95"/>
      <c r="G743" s="95"/>
      <c r="H743" s="95"/>
      <c r="I743" s="95"/>
      <c r="J743" s="95"/>
      <c r="K743" s="95"/>
      <c r="L743" s="95"/>
      <c r="M743" s="224"/>
      <c r="N743" s="259"/>
      <c r="O743" s="167"/>
      <c r="P743" s="167"/>
      <c r="Q743" s="225"/>
      <c r="R743" s="225"/>
      <c r="S743" s="225"/>
      <c r="T743" s="225"/>
      <c r="U743" s="225"/>
    </row>
    <row r="744" spans="1:21" s="89" customFormat="1" ht="24" customHeight="1">
      <c r="A744" s="576"/>
      <c r="B744" s="689" t="s">
        <v>1252</v>
      </c>
      <c r="C744" s="689"/>
      <c r="D744" s="689"/>
      <c r="E744" s="689"/>
      <c r="F744" s="689"/>
      <c r="G744" s="689"/>
      <c r="H744" s="689"/>
      <c r="I744" s="689"/>
      <c r="J744" s="689"/>
      <c r="K744" s="689"/>
      <c r="L744" s="689"/>
      <c r="M744" s="408">
        <f t="shared" ref="M744:U744" si="98">M738+M742</f>
        <v>2217258</v>
      </c>
      <c r="N744" s="408">
        <f t="shared" si="98"/>
        <v>1911814</v>
      </c>
      <c r="O744" s="409">
        <f t="shared" si="98"/>
        <v>2275602</v>
      </c>
      <c r="P744" s="409">
        <f t="shared" si="98"/>
        <v>6413606</v>
      </c>
      <c r="Q744" s="408">
        <f t="shared" si="98"/>
        <v>6604721</v>
      </c>
      <c r="R744" s="408">
        <f t="shared" si="98"/>
        <v>2919123</v>
      </c>
      <c r="S744" s="408">
        <f t="shared" si="98"/>
        <v>2704136</v>
      </c>
      <c r="T744" s="408">
        <f t="shared" si="98"/>
        <v>2589727</v>
      </c>
      <c r="U744" s="408">
        <f t="shared" si="98"/>
        <v>2112403</v>
      </c>
    </row>
    <row r="745" spans="1:21" ht="15" customHeight="1">
      <c r="B745" s="89"/>
      <c r="C745" s="89"/>
      <c r="D745" s="89"/>
      <c r="E745" s="89"/>
      <c r="F745" s="89"/>
      <c r="G745" s="89"/>
      <c r="H745" s="89"/>
      <c r="I745" s="89"/>
      <c r="J745" s="89"/>
      <c r="K745" s="89"/>
      <c r="L745" s="89"/>
      <c r="M745" s="227"/>
      <c r="N745" s="300"/>
      <c r="O745" s="183"/>
      <c r="P745" s="183"/>
      <c r="Q745" s="251"/>
      <c r="R745" s="251"/>
      <c r="S745" s="251"/>
      <c r="T745" s="251"/>
      <c r="U745" s="251"/>
    </row>
    <row r="746" spans="1:21" ht="15" customHeight="1">
      <c r="B746" s="400"/>
      <c r="C746" s="305"/>
      <c r="D746" s="305"/>
      <c r="E746" s="305"/>
      <c r="F746" s="305"/>
      <c r="G746" s="305"/>
      <c r="H746" s="305"/>
      <c r="I746" s="305"/>
      <c r="J746" s="305"/>
      <c r="K746" s="305"/>
      <c r="L746" s="305"/>
      <c r="M746" s="357"/>
      <c r="N746" s="357"/>
      <c r="O746" s="359"/>
      <c r="P746" s="359"/>
      <c r="Q746" s="357"/>
      <c r="R746" s="357"/>
      <c r="S746" s="357"/>
      <c r="T746" s="357"/>
      <c r="U746" s="357"/>
    </row>
    <row r="747" spans="1:21" ht="24" customHeight="1">
      <c r="B747" s="98" t="s">
        <v>1292</v>
      </c>
      <c r="C747" s="89"/>
      <c r="D747" s="89"/>
      <c r="E747" s="89"/>
      <c r="F747" s="89"/>
      <c r="G747" s="89"/>
      <c r="H747" s="89"/>
      <c r="I747" s="89"/>
      <c r="J747" s="89"/>
      <c r="K747" s="89"/>
      <c r="L747" s="89"/>
      <c r="M747" s="227"/>
      <c r="N747" s="300"/>
      <c r="O747" s="183"/>
      <c r="P747" s="183"/>
      <c r="Q747" s="251"/>
      <c r="R747" s="251"/>
      <c r="S747" s="251"/>
      <c r="T747" s="251"/>
      <c r="U747" s="251"/>
    </row>
    <row r="748" spans="1:21" ht="24" customHeight="1">
      <c r="B748" s="1" t="s">
        <v>316</v>
      </c>
      <c r="C748" s="95"/>
      <c r="D748" s="95"/>
      <c r="E748" s="1" t="s">
        <v>722</v>
      </c>
      <c r="F748" s="95"/>
      <c r="G748" s="95"/>
      <c r="H748" s="95"/>
      <c r="I748" s="95"/>
      <c r="J748" s="95"/>
      <c r="K748" s="95"/>
      <c r="L748" s="95"/>
      <c r="M748" s="404">
        <v>198203</v>
      </c>
      <c r="N748" s="404">
        <v>243852</v>
      </c>
      <c r="O748" s="405">
        <v>271613</v>
      </c>
      <c r="P748" s="405">
        <v>274000</v>
      </c>
      <c r="Q748" s="404">
        <v>284311</v>
      </c>
      <c r="R748" s="404">
        <v>292840</v>
      </c>
      <c r="S748" s="404">
        <v>301625</v>
      </c>
      <c r="T748" s="404">
        <v>310674</v>
      </c>
      <c r="U748" s="404">
        <v>319994</v>
      </c>
    </row>
    <row r="749" spans="1:21" ht="24" customHeight="1">
      <c r="B749" s="1" t="s">
        <v>1112</v>
      </c>
      <c r="C749" s="95"/>
      <c r="D749" s="95"/>
      <c r="E749" s="1" t="s">
        <v>66</v>
      </c>
      <c r="F749" s="95"/>
      <c r="G749" s="95"/>
      <c r="H749" s="95"/>
      <c r="I749" s="95"/>
      <c r="J749" s="95"/>
      <c r="K749" s="95"/>
      <c r="L749" s="95"/>
      <c r="M749" s="228">
        <v>5328</v>
      </c>
      <c r="N749" s="228">
        <v>0</v>
      </c>
      <c r="O749" s="165">
        <v>6720</v>
      </c>
      <c r="P749" s="165">
        <v>0</v>
      </c>
      <c r="Q749" s="606">
        <v>7200</v>
      </c>
      <c r="R749" s="228">
        <v>7200</v>
      </c>
      <c r="S749" s="228">
        <v>7200</v>
      </c>
      <c r="T749" s="228">
        <v>7200</v>
      </c>
      <c r="U749" s="228">
        <v>7200</v>
      </c>
    </row>
    <row r="750" spans="1:21" ht="24" customHeight="1">
      <c r="B750" s="1" t="s">
        <v>317</v>
      </c>
      <c r="C750" s="95"/>
      <c r="D750" s="95"/>
      <c r="E750" s="1" t="s">
        <v>14</v>
      </c>
      <c r="F750" s="95"/>
      <c r="G750" s="95"/>
      <c r="H750" s="95"/>
      <c r="I750" s="95"/>
      <c r="J750" s="95"/>
      <c r="K750" s="95"/>
      <c r="L750" s="95"/>
      <c r="M750" s="240">
        <v>280</v>
      </c>
      <c r="N750" s="240">
        <v>88</v>
      </c>
      <c r="O750" s="164">
        <v>500</v>
      </c>
      <c r="P750" s="164">
        <v>700</v>
      </c>
      <c r="Q750" s="240">
        <v>500</v>
      </c>
      <c r="R750" s="240">
        <v>500</v>
      </c>
      <c r="S750" s="240">
        <v>500</v>
      </c>
      <c r="T750" s="240">
        <v>500</v>
      </c>
      <c r="U750" s="240">
        <v>500</v>
      </c>
    </row>
    <row r="751" spans="1:21" ht="24" customHeight="1">
      <c r="B751" s="1" t="s">
        <v>318</v>
      </c>
      <c r="C751" s="95"/>
      <c r="D751" s="95"/>
      <c r="E751" s="1" t="s">
        <v>8</v>
      </c>
      <c r="F751" s="95"/>
      <c r="G751" s="95"/>
      <c r="H751" s="95"/>
      <c r="I751" s="95"/>
      <c r="J751" s="95"/>
      <c r="K751" s="95"/>
      <c r="L751" s="95"/>
      <c r="M751" s="228">
        <v>19733</v>
      </c>
      <c r="N751" s="228">
        <v>27046</v>
      </c>
      <c r="O751" s="165">
        <v>28321</v>
      </c>
      <c r="P751" s="165">
        <v>28321</v>
      </c>
      <c r="Q751" s="228">
        <v>25673</v>
      </c>
      <c r="R751" s="240">
        <v>27163</v>
      </c>
      <c r="S751" s="240">
        <v>28823</v>
      </c>
      <c r="T751" s="240">
        <v>30557</v>
      </c>
      <c r="U751" s="240">
        <v>32434</v>
      </c>
    </row>
    <row r="752" spans="1:21" ht="24" customHeight="1">
      <c r="B752" s="1" t="s">
        <v>319</v>
      </c>
      <c r="C752" s="89"/>
      <c r="D752" s="89"/>
      <c r="E752" s="1" t="s">
        <v>9</v>
      </c>
      <c r="F752" s="89"/>
      <c r="G752" s="89"/>
      <c r="H752" s="89"/>
      <c r="I752" s="89"/>
      <c r="J752" s="89"/>
      <c r="K752" s="89"/>
      <c r="L752" s="89"/>
      <c r="M752" s="228">
        <v>14720</v>
      </c>
      <c r="N752" s="228">
        <v>17858</v>
      </c>
      <c r="O752" s="165">
        <v>20151</v>
      </c>
      <c r="P752" s="165">
        <v>20151</v>
      </c>
      <c r="Q752" s="228">
        <v>21325</v>
      </c>
      <c r="R752" s="228">
        <v>21965</v>
      </c>
      <c r="S752" s="228">
        <v>22624</v>
      </c>
      <c r="T752" s="228">
        <v>23303</v>
      </c>
      <c r="U752" s="228">
        <v>24002</v>
      </c>
    </row>
    <row r="753" spans="2:21" ht="24" customHeight="1">
      <c r="B753" s="1" t="s">
        <v>455</v>
      </c>
      <c r="C753" s="89"/>
      <c r="D753" s="89"/>
      <c r="E753" s="1" t="s">
        <v>13</v>
      </c>
      <c r="F753" s="89"/>
      <c r="G753" s="89"/>
      <c r="H753" s="89"/>
      <c r="I753" s="89"/>
      <c r="J753" s="89"/>
      <c r="K753" s="89"/>
      <c r="L753" s="89"/>
      <c r="M753" s="228">
        <v>65585</v>
      </c>
      <c r="N753" s="228">
        <v>69200</v>
      </c>
      <c r="O753" s="165">
        <v>80510</v>
      </c>
      <c r="P753" s="165">
        <v>80566</v>
      </c>
      <c r="Q753" s="228">
        <v>90652</v>
      </c>
      <c r="R753" s="228">
        <v>97904</v>
      </c>
      <c r="S753" s="228">
        <v>105736</v>
      </c>
      <c r="T753" s="228">
        <v>114195</v>
      </c>
      <c r="U753" s="228">
        <v>123331</v>
      </c>
    </row>
    <row r="754" spans="2:21" ht="24" customHeight="1">
      <c r="B754" s="1" t="s">
        <v>456</v>
      </c>
      <c r="C754" s="89"/>
      <c r="D754" s="89"/>
      <c r="E754" s="1" t="s">
        <v>161</v>
      </c>
      <c r="F754" s="89"/>
      <c r="G754" s="89"/>
      <c r="H754" s="89"/>
      <c r="I754" s="89"/>
      <c r="J754" s="89"/>
      <c r="K754" s="89"/>
      <c r="L754" s="89"/>
      <c r="M754" s="228">
        <v>242</v>
      </c>
      <c r="N754" s="228">
        <v>314</v>
      </c>
      <c r="O754" s="165">
        <v>529</v>
      </c>
      <c r="P754" s="165">
        <v>474</v>
      </c>
      <c r="Q754" s="228">
        <v>519</v>
      </c>
      <c r="R754" s="240">
        <v>524</v>
      </c>
      <c r="S754" s="240">
        <v>529</v>
      </c>
      <c r="T754" s="240">
        <v>534</v>
      </c>
      <c r="U754" s="240">
        <v>539</v>
      </c>
    </row>
    <row r="755" spans="2:21" ht="24" customHeight="1">
      <c r="B755" s="1" t="s">
        <v>457</v>
      </c>
      <c r="C755" s="89"/>
      <c r="D755" s="89"/>
      <c r="E755" s="1" t="s">
        <v>461</v>
      </c>
      <c r="F755" s="89"/>
      <c r="G755" s="89"/>
      <c r="H755" s="89"/>
      <c r="I755" s="89"/>
      <c r="J755" s="89"/>
      <c r="K755" s="89"/>
      <c r="L755" s="89"/>
      <c r="M755" s="228">
        <v>4644</v>
      </c>
      <c r="N755" s="228">
        <v>4917</v>
      </c>
      <c r="O755" s="165">
        <v>5527</v>
      </c>
      <c r="P755" s="165">
        <v>5480</v>
      </c>
      <c r="Q755" s="228">
        <v>6184</v>
      </c>
      <c r="R755" s="240">
        <v>6493</v>
      </c>
      <c r="S755" s="240">
        <v>6818</v>
      </c>
      <c r="T755" s="240">
        <v>7159</v>
      </c>
      <c r="U755" s="240">
        <v>7517</v>
      </c>
    </row>
    <row r="756" spans="2:21" ht="24" customHeight="1">
      <c r="B756" s="1" t="s">
        <v>469</v>
      </c>
      <c r="C756" s="89"/>
      <c r="D756" s="89"/>
      <c r="E756" s="1" t="s">
        <v>463</v>
      </c>
      <c r="F756" s="89"/>
      <c r="G756" s="89"/>
      <c r="H756" s="89"/>
      <c r="I756" s="89"/>
      <c r="J756" s="89"/>
      <c r="K756" s="89"/>
      <c r="L756" s="89"/>
      <c r="M756" s="228">
        <v>647</v>
      </c>
      <c r="N756" s="228">
        <v>795</v>
      </c>
      <c r="O756" s="164">
        <v>830</v>
      </c>
      <c r="P756" s="165">
        <v>809</v>
      </c>
      <c r="Q756" s="240">
        <v>906</v>
      </c>
      <c r="R756" s="240">
        <v>933</v>
      </c>
      <c r="S756" s="240">
        <v>961</v>
      </c>
      <c r="T756" s="240">
        <v>990</v>
      </c>
      <c r="U756" s="240">
        <v>1020</v>
      </c>
    </row>
    <row r="757" spans="2:21" ht="24" customHeight="1">
      <c r="B757" s="1" t="s">
        <v>436</v>
      </c>
      <c r="C757" s="89"/>
      <c r="D757" s="89"/>
      <c r="E757" s="1" t="s">
        <v>160</v>
      </c>
      <c r="F757" s="89"/>
      <c r="G757" s="89"/>
      <c r="H757" s="89"/>
      <c r="I757" s="89"/>
      <c r="J757" s="89"/>
      <c r="K757" s="89"/>
      <c r="L757" s="89"/>
      <c r="M757" s="240">
        <v>724</v>
      </c>
      <c r="N757" s="240">
        <v>516</v>
      </c>
      <c r="O757" s="164">
        <v>850</v>
      </c>
      <c r="P757" s="164">
        <v>652</v>
      </c>
      <c r="Q757" s="240">
        <v>1000</v>
      </c>
      <c r="R757" s="240">
        <v>1000</v>
      </c>
      <c r="S757" s="240">
        <v>1000</v>
      </c>
      <c r="T757" s="240">
        <v>1000</v>
      </c>
      <c r="U757" s="240">
        <v>1000</v>
      </c>
    </row>
    <row r="758" spans="2:21" ht="24" customHeight="1">
      <c r="B758" s="1" t="s">
        <v>434</v>
      </c>
      <c r="C758" s="89"/>
      <c r="D758" s="89"/>
      <c r="E758" s="1" t="s">
        <v>214</v>
      </c>
      <c r="F758" s="89"/>
      <c r="G758" s="89"/>
      <c r="H758" s="89"/>
      <c r="I758" s="89"/>
      <c r="J758" s="89"/>
      <c r="K758" s="89"/>
      <c r="L758" s="89"/>
      <c r="M758" s="240">
        <v>13616</v>
      </c>
      <c r="N758" s="240">
        <v>14185</v>
      </c>
      <c r="O758" s="164">
        <v>15036</v>
      </c>
      <c r="P758" s="164">
        <v>13512</v>
      </c>
      <c r="Q758" s="240">
        <v>14863</v>
      </c>
      <c r="R758" s="240">
        <v>15755</v>
      </c>
      <c r="S758" s="240">
        <v>16700</v>
      </c>
      <c r="T758" s="240">
        <v>17702</v>
      </c>
      <c r="U758" s="240">
        <v>18764</v>
      </c>
    </row>
    <row r="759" spans="2:21" ht="24" customHeight="1">
      <c r="B759" s="1" t="s">
        <v>1014</v>
      </c>
      <c r="C759" s="89"/>
      <c r="D759" s="89"/>
      <c r="E759" s="89" t="s">
        <v>1013</v>
      </c>
      <c r="F759" s="89"/>
      <c r="G759" s="89"/>
      <c r="H759" s="89"/>
      <c r="I759" s="89"/>
      <c r="J759" s="89"/>
      <c r="K759" s="89"/>
      <c r="L759" s="89"/>
      <c r="M759" s="240">
        <v>42696</v>
      </c>
      <c r="N759" s="240">
        <v>44709</v>
      </c>
      <c r="O759" s="165">
        <v>45563</v>
      </c>
      <c r="P759" s="165">
        <v>45563</v>
      </c>
      <c r="Q759" s="228">
        <v>45960</v>
      </c>
      <c r="R759" s="240">
        <v>47339</v>
      </c>
      <c r="S759" s="240">
        <v>48759</v>
      </c>
      <c r="T759" s="240">
        <v>50222</v>
      </c>
      <c r="U759" s="240">
        <v>51729</v>
      </c>
    </row>
    <row r="760" spans="2:21" ht="24" customHeight="1">
      <c r="B760" s="546" t="s">
        <v>1354</v>
      </c>
      <c r="C760" s="547"/>
      <c r="D760" s="547"/>
      <c r="E760" s="546" t="s">
        <v>1353</v>
      </c>
      <c r="F760" s="547"/>
      <c r="G760" s="547"/>
      <c r="H760" s="547"/>
      <c r="I760" s="547"/>
      <c r="J760" s="547"/>
      <c r="K760" s="547"/>
      <c r="L760" s="547"/>
      <c r="M760" s="265">
        <v>0</v>
      </c>
      <c r="N760" s="265">
        <v>0</v>
      </c>
      <c r="O760" s="523">
        <v>0</v>
      </c>
      <c r="P760" s="523">
        <v>44414</v>
      </c>
      <c r="Q760" s="265">
        <v>0</v>
      </c>
      <c r="R760" s="240">
        <v>0</v>
      </c>
      <c r="S760" s="240">
        <v>0</v>
      </c>
      <c r="T760" s="240">
        <v>0</v>
      </c>
      <c r="U760" s="240">
        <v>0</v>
      </c>
    </row>
    <row r="761" spans="2:21" ht="24" customHeight="1">
      <c r="B761" s="1" t="s">
        <v>320</v>
      </c>
      <c r="C761" s="95"/>
      <c r="D761" s="95"/>
      <c r="E761" s="1" t="s">
        <v>86</v>
      </c>
      <c r="F761" s="95"/>
      <c r="G761" s="95"/>
      <c r="H761" s="95"/>
      <c r="I761" s="95"/>
      <c r="J761" s="95"/>
      <c r="K761" s="95"/>
      <c r="L761" s="95"/>
      <c r="M761" s="240">
        <v>1570</v>
      </c>
      <c r="N761" s="240">
        <v>164</v>
      </c>
      <c r="O761" s="164">
        <v>3500</v>
      </c>
      <c r="P761" s="164">
        <v>1000</v>
      </c>
      <c r="Q761" s="240">
        <v>3500</v>
      </c>
      <c r="R761" s="240">
        <v>3500</v>
      </c>
      <c r="S761" s="240">
        <v>3500</v>
      </c>
      <c r="T761" s="240">
        <v>3500</v>
      </c>
      <c r="U761" s="240">
        <v>3500</v>
      </c>
    </row>
    <row r="762" spans="2:21" ht="24" customHeight="1">
      <c r="B762" s="1" t="s">
        <v>321</v>
      </c>
      <c r="C762" s="89"/>
      <c r="D762" s="89"/>
      <c r="E762" s="1" t="s">
        <v>828</v>
      </c>
      <c r="F762" s="89"/>
      <c r="G762" s="89"/>
      <c r="H762" s="95"/>
      <c r="I762" s="95"/>
      <c r="J762" s="95"/>
      <c r="K762" s="95"/>
      <c r="L762" s="95"/>
      <c r="M762" s="240">
        <v>1216</v>
      </c>
      <c r="N762" s="240">
        <v>2</v>
      </c>
      <c r="O762" s="164">
        <v>3000</v>
      </c>
      <c r="P762" s="164">
        <v>500</v>
      </c>
      <c r="Q762" s="240">
        <v>3000</v>
      </c>
      <c r="R762" s="240">
        <v>3000</v>
      </c>
      <c r="S762" s="240">
        <v>3000</v>
      </c>
      <c r="T762" s="240">
        <v>3000</v>
      </c>
      <c r="U762" s="240">
        <v>3000</v>
      </c>
    </row>
    <row r="763" spans="2:21" ht="24" customHeight="1">
      <c r="B763" s="1" t="s">
        <v>1051</v>
      </c>
      <c r="C763" s="89"/>
      <c r="D763" s="89"/>
      <c r="E763" s="316" t="s">
        <v>1045</v>
      </c>
      <c r="F763" s="89"/>
      <c r="G763" s="89"/>
      <c r="H763" s="89"/>
      <c r="I763" s="89"/>
      <c r="J763" s="89"/>
      <c r="K763" s="89"/>
      <c r="L763" s="89"/>
      <c r="M763" s="228">
        <v>5176</v>
      </c>
      <c r="N763" s="228">
        <v>0</v>
      </c>
      <c r="O763" s="165">
        <v>0</v>
      </c>
      <c r="P763" s="165">
        <v>0</v>
      </c>
      <c r="Q763" s="228">
        <v>7899</v>
      </c>
      <c r="R763" s="228">
        <v>0</v>
      </c>
      <c r="S763" s="228">
        <v>0</v>
      </c>
      <c r="T763" s="228">
        <v>8632</v>
      </c>
      <c r="U763" s="228">
        <v>0</v>
      </c>
    </row>
    <row r="764" spans="2:21" ht="24" customHeight="1">
      <c r="B764" s="1" t="s">
        <v>535</v>
      </c>
      <c r="C764" s="89"/>
      <c r="D764" s="89"/>
      <c r="E764" s="1" t="s">
        <v>829</v>
      </c>
      <c r="F764" s="89"/>
      <c r="G764" s="89"/>
      <c r="H764" s="95"/>
      <c r="I764" s="95"/>
      <c r="J764" s="95"/>
      <c r="K764" s="95"/>
      <c r="L764" s="95"/>
      <c r="M764" s="240">
        <v>1630</v>
      </c>
      <c r="N764" s="240">
        <v>1232</v>
      </c>
      <c r="O764" s="164">
        <v>1500</v>
      </c>
      <c r="P764" s="164">
        <v>1500</v>
      </c>
      <c r="Q764" s="240">
        <v>1500</v>
      </c>
      <c r="R764" s="240">
        <v>1500</v>
      </c>
      <c r="S764" s="240">
        <v>1500</v>
      </c>
      <c r="T764" s="240">
        <v>1500</v>
      </c>
      <c r="U764" s="240">
        <v>1500</v>
      </c>
    </row>
    <row r="765" spans="2:21" ht="24" customHeight="1">
      <c r="B765" s="1" t="s">
        <v>322</v>
      </c>
      <c r="C765" s="89"/>
      <c r="D765" s="89"/>
      <c r="E765" s="1" t="s">
        <v>209</v>
      </c>
      <c r="F765" s="89"/>
      <c r="G765" s="95"/>
      <c r="H765" s="89"/>
      <c r="I765" s="89"/>
      <c r="J765" s="89"/>
      <c r="K765" s="89"/>
      <c r="L765" s="89"/>
      <c r="M765" s="240">
        <v>8641</v>
      </c>
      <c r="N765" s="240">
        <v>8490</v>
      </c>
      <c r="O765" s="164">
        <v>13500</v>
      </c>
      <c r="P765" s="164">
        <v>12000</v>
      </c>
      <c r="Q765" s="240">
        <v>13500</v>
      </c>
      <c r="R765" s="240">
        <v>13500</v>
      </c>
      <c r="S765" s="240">
        <v>13500</v>
      </c>
      <c r="T765" s="240">
        <v>13500</v>
      </c>
      <c r="U765" s="240">
        <v>13500</v>
      </c>
    </row>
    <row r="766" spans="2:21" ht="24" customHeight="1">
      <c r="B766" s="1" t="s">
        <v>560</v>
      </c>
      <c r="C766" s="89"/>
      <c r="D766" s="89"/>
      <c r="E766" s="1" t="s">
        <v>561</v>
      </c>
      <c r="F766" s="89"/>
      <c r="G766" s="95"/>
      <c r="H766" s="89"/>
      <c r="I766" s="89"/>
      <c r="J766" s="89"/>
      <c r="K766" s="89"/>
      <c r="L766" s="89"/>
      <c r="M766" s="240">
        <v>15591</v>
      </c>
      <c r="N766" s="240">
        <v>121752</v>
      </c>
      <c r="O766" s="164">
        <v>36000</v>
      </c>
      <c r="P766" s="164">
        <v>36000</v>
      </c>
      <c r="Q766" s="240">
        <v>40000</v>
      </c>
      <c r="R766" s="240">
        <v>40000</v>
      </c>
      <c r="S766" s="240">
        <v>30000</v>
      </c>
      <c r="T766" s="240">
        <v>52000</v>
      </c>
      <c r="U766" s="240">
        <v>55000</v>
      </c>
    </row>
    <row r="767" spans="2:21" ht="24" customHeight="1">
      <c r="B767" s="535" t="s">
        <v>1343</v>
      </c>
      <c r="C767" s="467"/>
      <c r="D767" s="467"/>
      <c r="E767" s="96" t="s">
        <v>1338</v>
      </c>
      <c r="F767" s="467"/>
      <c r="G767" s="467"/>
      <c r="H767" s="467"/>
      <c r="I767" s="467"/>
      <c r="J767" s="467"/>
      <c r="K767" s="467"/>
      <c r="L767" s="467"/>
      <c r="M767" s="240">
        <v>0</v>
      </c>
      <c r="N767" s="240">
        <v>0</v>
      </c>
      <c r="O767" s="164">
        <v>14774</v>
      </c>
      <c r="P767" s="164">
        <v>10870</v>
      </c>
      <c r="Q767" s="240">
        <v>19316</v>
      </c>
      <c r="R767" s="240">
        <v>14457</v>
      </c>
      <c r="S767" s="240">
        <v>14807</v>
      </c>
      <c r="T767" s="240">
        <v>15563</v>
      </c>
      <c r="U767" s="240">
        <v>16291</v>
      </c>
    </row>
    <row r="768" spans="2:21" ht="24" customHeight="1">
      <c r="B768" s="1" t="s">
        <v>323</v>
      </c>
      <c r="C768" s="89"/>
      <c r="D768" s="89"/>
      <c r="E768" s="1" t="s">
        <v>10</v>
      </c>
      <c r="F768" s="89"/>
      <c r="G768" s="89"/>
      <c r="H768" s="95"/>
      <c r="I768" s="95"/>
      <c r="J768" s="95"/>
      <c r="K768" s="95"/>
      <c r="L768" s="95"/>
      <c r="M768" s="240">
        <v>18556</v>
      </c>
      <c r="N768" s="240">
        <v>31940</v>
      </c>
      <c r="O768" s="164">
        <v>35500</v>
      </c>
      <c r="P768" s="164">
        <v>30000</v>
      </c>
      <c r="Q768" s="240">
        <v>42500</v>
      </c>
      <c r="R768" s="240">
        <v>41250</v>
      </c>
      <c r="S768" s="240">
        <v>30000</v>
      </c>
      <c r="T768" s="240">
        <v>30000</v>
      </c>
      <c r="U768" s="240">
        <v>30000</v>
      </c>
    </row>
    <row r="769" spans="2:21" ht="24" customHeight="1">
      <c r="B769" s="599" t="s">
        <v>1402</v>
      </c>
      <c r="C769" s="601"/>
      <c r="D769" s="601"/>
      <c r="E769" s="599" t="s">
        <v>229</v>
      </c>
      <c r="F769" s="601"/>
      <c r="G769" s="601"/>
      <c r="H769" s="600"/>
      <c r="I769" s="600"/>
      <c r="J769" s="600"/>
      <c r="K769" s="600"/>
      <c r="L769" s="600"/>
      <c r="M769" s="240">
        <v>0</v>
      </c>
      <c r="N769" s="240">
        <v>0</v>
      </c>
      <c r="O769" s="164">
        <v>0</v>
      </c>
      <c r="P769" s="164">
        <v>0</v>
      </c>
      <c r="Q769" s="240">
        <v>27000</v>
      </c>
      <c r="R769" s="240">
        <v>0</v>
      </c>
      <c r="S769" s="240">
        <v>0</v>
      </c>
      <c r="T769" s="240">
        <v>0</v>
      </c>
      <c r="U769" s="240">
        <v>0</v>
      </c>
    </row>
    <row r="770" spans="2:21" ht="24" customHeight="1">
      <c r="B770" s="1" t="s">
        <v>324</v>
      </c>
      <c r="C770" s="95"/>
      <c r="D770" s="95"/>
      <c r="E770" s="1" t="s">
        <v>17</v>
      </c>
      <c r="F770" s="95"/>
      <c r="G770" s="95"/>
      <c r="H770" s="95"/>
      <c r="I770" s="95"/>
      <c r="J770" s="95"/>
      <c r="K770" s="95"/>
      <c r="L770" s="95"/>
      <c r="M770" s="240">
        <v>24249</v>
      </c>
      <c r="N770" s="240">
        <v>16795</v>
      </c>
      <c r="O770" s="164">
        <v>25249</v>
      </c>
      <c r="P770" s="164">
        <v>20000</v>
      </c>
      <c r="Q770" s="208">
        <v>21200</v>
      </c>
      <c r="R770" s="240">
        <v>22472</v>
      </c>
      <c r="S770" s="240">
        <v>23820</v>
      </c>
      <c r="T770" s="240">
        <v>25249</v>
      </c>
      <c r="U770" s="240">
        <v>26764</v>
      </c>
    </row>
    <row r="771" spans="2:21" ht="24" customHeight="1">
      <c r="B771" s="1" t="s">
        <v>1040</v>
      </c>
      <c r="C771" s="89"/>
      <c r="D771" s="89"/>
      <c r="E771" s="1" t="s">
        <v>289</v>
      </c>
      <c r="F771" s="89"/>
      <c r="G771" s="89"/>
      <c r="H771" s="89"/>
      <c r="I771" s="89"/>
      <c r="J771" s="89"/>
      <c r="K771" s="89"/>
      <c r="L771" s="89"/>
      <c r="M771" s="325">
        <v>3114</v>
      </c>
      <c r="N771" s="325">
        <v>1097</v>
      </c>
      <c r="O771" s="175">
        <v>4500</v>
      </c>
      <c r="P771" s="175">
        <v>4500</v>
      </c>
      <c r="Q771" s="237">
        <v>4500</v>
      </c>
      <c r="R771" s="237">
        <v>4500</v>
      </c>
      <c r="S771" s="237">
        <v>4500</v>
      </c>
      <c r="T771" s="237">
        <v>4500</v>
      </c>
      <c r="U771" s="237">
        <v>4500</v>
      </c>
    </row>
    <row r="772" spans="2:21" ht="24" customHeight="1">
      <c r="B772" s="1" t="s">
        <v>325</v>
      </c>
      <c r="C772" s="95"/>
      <c r="D772" s="95"/>
      <c r="E772" s="1" t="s">
        <v>81</v>
      </c>
      <c r="F772" s="95"/>
      <c r="G772" s="95"/>
      <c r="H772" s="89"/>
      <c r="I772" s="89"/>
      <c r="J772" s="89"/>
      <c r="K772" s="89"/>
      <c r="L772" s="89"/>
      <c r="M772" s="325">
        <v>1497</v>
      </c>
      <c r="N772" s="325">
        <v>1553</v>
      </c>
      <c r="O772" s="165">
        <v>1500</v>
      </c>
      <c r="P772" s="165">
        <v>1500</v>
      </c>
      <c r="Q772" s="223">
        <v>2000</v>
      </c>
      <c r="R772" s="223">
        <v>2000</v>
      </c>
      <c r="S772" s="223">
        <v>2000</v>
      </c>
      <c r="T772" s="223">
        <v>2000</v>
      </c>
      <c r="U772" s="223">
        <v>2000</v>
      </c>
    </row>
    <row r="773" spans="2:21" ht="24" customHeight="1">
      <c r="B773" s="1" t="s">
        <v>989</v>
      </c>
      <c r="C773" s="89"/>
      <c r="D773" s="89"/>
      <c r="E773" s="155" t="s">
        <v>82</v>
      </c>
      <c r="F773" s="89"/>
      <c r="G773" s="89"/>
      <c r="H773" s="89"/>
      <c r="I773" s="89"/>
      <c r="J773" s="89"/>
      <c r="K773" s="89"/>
      <c r="L773" s="89"/>
      <c r="M773" s="228">
        <v>791</v>
      </c>
      <c r="N773" s="228">
        <v>1309</v>
      </c>
      <c r="O773" s="165">
        <v>1329</v>
      </c>
      <c r="P773" s="165">
        <v>1283</v>
      </c>
      <c r="Q773" s="228">
        <v>1347</v>
      </c>
      <c r="R773" s="228">
        <v>1387</v>
      </c>
      <c r="S773" s="228">
        <v>1429</v>
      </c>
      <c r="T773" s="228">
        <v>1472</v>
      </c>
      <c r="U773" s="228">
        <v>1516</v>
      </c>
    </row>
    <row r="774" spans="2:21" ht="24" customHeight="1">
      <c r="B774" s="1" t="s">
        <v>772</v>
      </c>
      <c r="C774" s="95"/>
      <c r="D774" s="95"/>
      <c r="E774" s="1" t="s">
        <v>767</v>
      </c>
      <c r="F774" s="95"/>
      <c r="G774" s="95"/>
      <c r="H774" s="95"/>
      <c r="I774" s="95"/>
      <c r="J774" s="95"/>
      <c r="K774" s="95"/>
      <c r="L774" s="95"/>
      <c r="M774" s="352">
        <v>5542</v>
      </c>
      <c r="N774" s="352">
        <v>35858</v>
      </c>
      <c r="O774" s="176">
        <v>10000</v>
      </c>
      <c r="P774" s="176">
        <v>10000</v>
      </c>
      <c r="Q774" s="207">
        <v>10000</v>
      </c>
      <c r="R774" s="207">
        <v>10000</v>
      </c>
      <c r="S774" s="207">
        <v>10000</v>
      </c>
      <c r="T774" s="207">
        <v>10000</v>
      </c>
      <c r="U774" s="207">
        <v>10000</v>
      </c>
    </row>
    <row r="775" spans="2:21" ht="24" customHeight="1">
      <c r="B775" s="1" t="s">
        <v>849</v>
      </c>
      <c r="C775" s="95"/>
      <c r="D775" s="95"/>
      <c r="E775" s="1" t="s">
        <v>832</v>
      </c>
      <c r="F775" s="95"/>
      <c r="G775" s="95"/>
      <c r="H775" s="95"/>
      <c r="I775" s="95"/>
      <c r="J775" s="95"/>
      <c r="K775" s="95"/>
      <c r="L775" s="95"/>
      <c r="M775" s="352">
        <v>7988</v>
      </c>
      <c r="N775" s="352">
        <v>0</v>
      </c>
      <c r="O775" s="176">
        <v>16000</v>
      </c>
      <c r="P775" s="176">
        <v>16000</v>
      </c>
      <c r="Q775" s="207">
        <v>16000</v>
      </c>
      <c r="R775" s="207">
        <v>16000</v>
      </c>
      <c r="S775" s="207">
        <v>16000</v>
      </c>
      <c r="T775" s="207">
        <v>16000</v>
      </c>
      <c r="U775" s="207">
        <v>16000</v>
      </c>
    </row>
    <row r="776" spans="2:21" ht="24" customHeight="1">
      <c r="B776" s="1" t="s">
        <v>546</v>
      </c>
      <c r="C776" s="95"/>
      <c r="D776" s="95"/>
      <c r="E776" s="1" t="s">
        <v>259</v>
      </c>
      <c r="F776" s="95"/>
      <c r="G776" s="95"/>
      <c r="H776" s="95"/>
      <c r="I776" s="95"/>
      <c r="J776" s="95"/>
      <c r="K776" s="95"/>
      <c r="L776" s="95"/>
      <c r="M776" s="352">
        <v>589</v>
      </c>
      <c r="N776" s="352">
        <v>689</v>
      </c>
      <c r="O776" s="176">
        <v>750</v>
      </c>
      <c r="P776" s="176">
        <v>689</v>
      </c>
      <c r="Q776" s="207">
        <v>750</v>
      </c>
      <c r="R776" s="207">
        <v>750</v>
      </c>
      <c r="S776" s="207">
        <v>750</v>
      </c>
      <c r="T776" s="207">
        <v>750</v>
      </c>
      <c r="U776" s="207">
        <v>0</v>
      </c>
    </row>
    <row r="777" spans="2:21" ht="24" customHeight="1">
      <c r="B777" s="1" t="s">
        <v>545</v>
      </c>
      <c r="C777" s="95"/>
      <c r="D777" s="95"/>
      <c r="E777" s="1" t="s">
        <v>18</v>
      </c>
      <c r="F777" s="95"/>
      <c r="G777" s="95"/>
      <c r="H777" s="95"/>
      <c r="I777" s="95"/>
      <c r="J777" s="95"/>
      <c r="K777" s="95"/>
      <c r="L777" s="95"/>
      <c r="M777" s="240">
        <v>1396</v>
      </c>
      <c r="N777" s="240">
        <v>1130</v>
      </c>
      <c r="O777" s="164">
        <v>2000</v>
      </c>
      <c r="P777" s="164">
        <v>1500</v>
      </c>
      <c r="Q777" s="208">
        <v>2000</v>
      </c>
      <c r="R777" s="208">
        <v>2000</v>
      </c>
      <c r="S777" s="208">
        <v>2000</v>
      </c>
      <c r="T777" s="208">
        <v>2000</v>
      </c>
      <c r="U777" s="208">
        <v>2000</v>
      </c>
    </row>
    <row r="778" spans="2:21" ht="24" customHeight="1">
      <c r="B778" s="1" t="s">
        <v>326</v>
      </c>
      <c r="C778" s="95"/>
      <c r="D778" s="95"/>
      <c r="E778" s="304" t="s">
        <v>89</v>
      </c>
      <c r="F778" s="95"/>
      <c r="G778" s="95"/>
      <c r="H778" s="95"/>
      <c r="I778" s="95"/>
      <c r="J778" s="95"/>
      <c r="K778" s="95"/>
      <c r="L778" s="95"/>
      <c r="M778" s="240">
        <v>1354</v>
      </c>
      <c r="N778" s="240">
        <v>2774</v>
      </c>
      <c r="O778" s="164">
        <v>3980</v>
      </c>
      <c r="P778" s="164">
        <v>3980</v>
      </c>
      <c r="Q778" s="208">
        <v>3980</v>
      </c>
      <c r="R778" s="208">
        <v>3980</v>
      </c>
      <c r="S778" s="208">
        <v>3980</v>
      </c>
      <c r="T778" s="208">
        <v>3980</v>
      </c>
      <c r="U778" s="208">
        <v>3980</v>
      </c>
    </row>
    <row r="779" spans="2:21" ht="24" customHeight="1">
      <c r="B779" s="1" t="s">
        <v>327</v>
      </c>
      <c r="C779" s="95"/>
      <c r="D779" s="95"/>
      <c r="E779" s="1" t="s">
        <v>11</v>
      </c>
      <c r="F779" s="95"/>
      <c r="G779" s="95"/>
      <c r="H779" s="95"/>
      <c r="I779" s="95"/>
      <c r="J779" s="95"/>
      <c r="K779" s="95"/>
      <c r="L779" s="95"/>
      <c r="M779" s="240">
        <v>1667</v>
      </c>
      <c r="N779" s="240">
        <v>1513</v>
      </c>
      <c r="O779" s="164">
        <v>1250</v>
      </c>
      <c r="P779" s="164">
        <v>1250</v>
      </c>
      <c r="Q779" s="208">
        <v>1250</v>
      </c>
      <c r="R779" s="208">
        <v>1250</v>
      </c>
      <c r="S779" s="208">
        <v>1250</v>
      </c>
      <c r="T779" s="208">
        <v>1250</v>
      </c>
      <c r="U779" s="208">
        <v>1250</v>
      </c>
    </row>
    <row r="780" spans="2:21" ht="24" customHeight="1">
      <c r="B780" s="1" t="s">
        <v>328</v>
      </c>
      <c r="C780" s="95"/>
      <c r="D780" s="95"/>
      <c r="E780" s="1" t="s">
        <v>329</v>
      </c>
      <c r="F780" s="95"/>
      <c r="G780" s="95"/>
      <c r="H780" s="95"/>
      <c r="I780" s="95"/>
      <c r="J780" s="95"/>
      <c r="K780" s="95"/>
      <c r="L780" s="95"/>
      <c r="M780" s="240">
        <v>9473</v>
      </c>
      <c r="N780" s="240">
        <v>6469</v>
      </c>
      <c r="O780" s="164">
        <v>8000</v>
      </c>
      <c r="P780" s="164">
        <v>8000</v>
      </c>
      <c r="Q780" s="208">
        <v>8000</v>
      </c>
      <c r="R780" s="208">
        <v>8000</v>
      </c>
      <c r="S780" s="208">
        <v>8000</v>
      </c>
      <c r="T780" s="208">
        <v>8000</v>
      </c>
      <c r="U780" s="208">
        <v>8000</v>
      </c>
    </row>
    <row r="781" spans="2:21" ht="24" customHeight="1">
      <c r="B781" s="1" t="s">
        <v>330</v>
      </c>
      <c r="C781" s="95"/>
      <c r="D781" s="95"/>
      <c r="E781" s="1" t="s">
        <v>12</v>
      </c>
      <c r="F781" s="95"/>
      <c r="G781" s="95"/>
      <c r="H781" s="95"/>
      <c r="I781" s="95"/>
      <c r="J781" s="95"/>
      <c r="K781" s="95"/>
      <c r="L781" s="95"/>
      <c r="M781" s="240">
        <v>9351</v>
      </c>
      <c r="N781" s="240">
        <v>6582</v>
      </c>
      <c r="O781" s="164">
        <v>9500</v>
      </c>
      <c r="P781" s="164">
        <v>9500</v>
      </c>
      <c r="Q781" s="208">
        <v>9500</v>
      </c>
      <c r="R781" s="208">
        <v>9500</v>
      </c>
      <c r="S781" s="208">
        <v>9500</v>
      </c>
      <c r="T781" s="208">
        <v>9500</v>
      </c>
      <c r="U781" s="208">
        <v>9500</v>
      </c>
    </row>
    <row r="782" spans="2:21" ht="24" customHeight="1">
      <c r="B782" s="1" t="s">
        <v>773</v>
      </c>
      <c r="C782" s="95"/>
      <c r="D782" s="95"/>
      <c r="E782" s="1" t="s">
        <v>769</v>
      </c>
      <c r="F782" s="95"/>
      <c r="G782" s="95"/>
      <c r="H782" s="95"/>
      <c r="I782" s="95"/>
      <c r="J782" s="95"/>
      <c r="K782" s="95"/>
      <c r="L782" s="95"/>
      <c r="M782" s="240">
        <v>4786</v>
      </c>
      <c r="N782" s="240">
        <v>2954</v>
      </c>
      <c r="O782" s="164">
        <v>10000</v>
      </c>
      <c r="P782" s="164">
        <v>10000</v>
      </c>
      <c r="Q782" s="240">
        <v>10000</v>
      </c>
      <c r="R782" s="208">
        <v>10000</v>
      </c>
      <c r="S782" s="208">
        <v>10000</v>
      </c>
      <c r="T782" s="208">
        <v>10000</v>
      </c>
      <c r="U782" s="208">
        <v>10000</v>
      </c>
    </row>
    <row r="783" spans="2:21" ht="24" customHeight="1">
      <c r="B783" s="1" t="s">
        <v>331</v>
      </c>
      <c r="C783" s="95"/>
      <c r="D783" s="95"/>
      <c r="E783" s="1" t="s">
        <v>16</v>
      </c>
      <c r="F783" s="95"/>
      <c r="G783" s="95"/>
      <c r="H783" s="95"/>
      <c r="I783" s="95"/>
      <c r="J783" s="95"/>
      <c r="K783" s="95"/>
      <c r="L783" s="95"/>
      <c r="M783" s="240">
        <v>1157</v>
      </c>
      <c r="N783" s="240">
        <v>955</v>
      </c>
      <c r="O783" s="164">
        <v>5600</v>
      </c>
      <c r="P783" s="164">
        <v>3600</v>
      </c>
      <c r="Q783" s="240">
        <v>2000</v>
      </c>
      <c r="R783" s="208">
        <v>2000</v>
      </c>
      <c r="S783" s="208">
        <v>2000</v>
      </c>
      <c r="T783" s="208">
        <v>2000</v>
      </c>
      <c r="U783" s="208">
        <v>2000</v>
      </c>
    </row>
    <row r="784" spans="2:21" ht="24" customHeight="1">
      <c r="B784" s="1" t="s">
        <v>332</v>
      </c>
      <c r="C784" s="95"/>
      <c r="D784" s="95"/>
      <c r="E784" s="1" t="s">
        <v>831</v>
      </c>
      <c r="F784" s="95"/>
      <c r="G784" s="95"/>
      <c r="H784" s="95"/>
      <c r="I784" s="95"/>
      <c r="J784" s="95"/>
      <c r="K784" s="95"/>
      <c r="L784" s="95"/>
      <c r="M784" s="240">
        <v>3008</v>
      </c>
      <c r="N784" s="240">
        <v>1545</v>
      </c>
      <c r="O784" s="164">
        <v>5000</v>
      </c>
      <c r="P784" s="164">
        <v>5000</v>
      </c>
      <c r="Q784" s="240">
        <v>5000</v>
      </c>
      <c r="R784" s="208">
        <v>5000</v>
      </c>
      <c r="S784" s="208">
        <v>5000</v>
      </c>
      <c r="T784" s="208">
        <v>5000</v>
      </c>
      <c r="U784" s="208">
        <v>5000</v>
      </c>
    </row>
    <row r="785" spans="2:21" ht="24" customHeight="1">
      <c r="B785" s="1" t="s">
        <v>1042</v>
      </c>
      <c r="C785" s="89"/>
      <c r="D785" s="89"/>
      <c r="E785" s="1" t="s">
        <v>853</v>
      </c>
      <c r="F785" s="89"/>
      <c r="G785" s="89"/>
      <c r="H785" s="89"/>
      <c r="I785" s="89"/>
      <c r="J785" s="89"/>
      <c r="K785" s="89"/>
      <c r="L785" s="89"/>
      <c r="M785" s="240">
        <v>2680</v>
      </c>
      <c r="N785" s="240">
        <v>1101</v>
      </c>
      <c r="O785" s="175">
        <v>2233</v>
      </c>
      <c r="P785" s="175">
        <v>2233</v>
      </c>
      <c r="Q785" s="325">
        <v>2233</v>
      </c>
      <c r="R785" s="237">
        <v>1200</v>
      </c>
      <c r="S785" s="237">
        <v>1200</v>
      </c>
      <c r="T785" s="237">
        <v>1200</v>
      </c>
      <c r="U785" s="237">
        <v>1200</v>
      </c>
    </row>
    <row r="786" spans="2:21" ht="24" customHeight="1">
      <c r="B786" s="1" t="s">
        <v>333</v>
      </c>
      <c r="C786" s="95"/>
      <c r="D786" s="95"/>
      <c r="E786" s="1" t="s">
        <v>128</v>
      </c>
      <c r="F786" s="95"/>
      <c r="G786" s="95"/>
      <c r="H786" s="95"/>
      <c r="I786" s="95"/>
      <c r="J786" s="95"/>
      <c r="K786" s="95"/>
      <c r="L786" s="95"/>
      <c r="M786" s="240">
        <v>17706</v>
      </c>
      <c r="N786" s="240">
        <v>12426</v>
      </c>
      <c r="O786" s="164">
        <v>20000</v>
      </c>
      <c r="P786" s="164">
        <v>20000</v>
      </c>
      <c r="Q786" s="208">
        <v>21400</v>
      </c>
      <c r="R786" s="208">
        <v>22898</v>
      </c>
      <c r="S786" s="208">
        <v>24501</v>
      </c>
      <c r="T786" s="208">
        <v>26216</v>
      </c>
      <c r="U786" s="208">
        <v>28051</v>
      </c>
    </row>
    <row r="787" spans="2:21" ht="24" customHeight="1">
      <c r="B787" s="1" t="s">
        <v>1070</v>
      </c>
      <c r="C787" s="95"/>
      <c r="D787" s="95"/>
      <c r="E787" s="1" t="s">
        <v>1071</v>
      </c>
      <c r="F787" s="95"/>
      <c r="G787" s="95"/>
      <c r="H787" s="95"/>
      <c r="I787" s="95"/>
      <c r="J787" s="95"/>
      <c r="K787" s="95"/>
      <c r="L787" s="95"/>
      <c r="M787" s="240">
        <v>0</v>
      </c>
      <c r="N787" s="240">
        <v>88495</v>
      </c>
      <c r="O787" s="164">
        <v>67000</v>
      </c>
      <c r="P787" s="164">
        <v>67000</v>
      </c>
      <c r="Q787" s="240">
        <v>0</v>
      </c>
      <c r="R787" s="240">
        <v>0</v>
      </c>
      <c r="S787" s="208">
        <v>0</v>
      </c>
      <c r="T787" s="208">
        <v>0</v>
      </c>
      <c r="U787" s="208">
        <v>0</v>
      </c>
    </row>
    <row r="788" spans="2:21" ht="24" customHeight="1">
      <c r="B788" s="304" t="s">
        <v>840</v>
      </c>
      <c r="C788" s="95"/>
      <c r="D788" s="95"/>
      <c r="E788" s="96" t="s">
        <v>1454</v>
      </c>
      <c r="F788" s="95"/>
      <c r="G788" s="95"/>
      <c r="H788" s="95"/>
      <c r="I788" s="95"/>
      <c r="J788" s="95"/>
      <c r="K788" s="95"/>
      <c r="L788" s="95"/>
      <c r="M788" s="240">
        <v>59900</v>
      </c>
      <c r="N788" s="240">
        <v>0</v>
      </c>
      <c r="O788" s="164">
        <v>0</v>
      </c>
      <c r="P788" s="164">
        <v>0</v>
      </c>
      <c r="Q788" s="240">
        <v>220000</v>
      </c>
      <c r="R788" s="240">
        <v>440000</v>
      </c>
      <c r="S788" s="240">
        <v>440000</v>
      </c>
      <c r="T788" s="240">
        <v>440000</v>
      </c>
      <c r="U788" s="240">
        <v>440000</v>
      </c>
    </row>
    <row r="789" spans="2:21" ht="24" customHeight="1">
      <c r="B789" s="95" t="s">
        <v>971</v>
      </c>
      <c r="C789" s="97"/>
      <c r="D789" s="97"/>
      <c r="E789" s="1" t="s">
        <v>725</v>
      </c>
      <c r="F789" s="97"/>
      <c r="G789" s="97"/>
      <c r="H789" s="97"/>
      <c r="I789" s="97"/>
      <c r="J789" s="97"/>
      <c r="K789" s="97"/>
      <c r="L789" s="97"/>
      <c r="M789" s="308">
        <v>236</v>
      </c>
      <c r="N789" s="308">
        <v>0</v>
      </c>
      <c r="O789" s="172">
        <v>1100</v>
      </c>
      <c r="P789" s="172">
        <v>0</v>
      </c>
      <c r="Q789" s="308">
        <v>1061</v>
      </c>
      <c r="R789" s="308">
        <v>0</v>
      </c>
      <c r="S789" s="308">
        <v>0</v>
      </c>
      <c r="T789" s="308">
        <v>0</v>
      </c>
      <c r="U789" s="234">
        <v>0</v>
      </c>
    </row>
    <row r="790" spans="2:21" ht="24" customHeight="1">
      <c r="B790" s="95" t="s">
        <v>1021</v>
      </c>
      <c r="C790" s="97"/>
      <c r="D790" s="97"/>
      <c r="E790" s="1" t="s">
        <v>245</v>
      </c>
      <c r="F790" s="97"/>
      <c r="G790" s="97"/>
      <c r="H790" s="97"/>
      <c r="I790" s="97"/>
      <c r="J790" s="97"/>
      <c r="K790" s="97"/>
      <c r="L790" s="97"/>
      <c r="M790" s="308">
        <v>0</v>
      </c>
      <c r="N790" s="308">
        <v>0</v>
      </c>
      <c r="O790" s="164">
        <v>82000</v>
      </c>
      <c r="P790" s="164">
        <v>20000</v>
      </c>
      <c r="Q790" s="240">
        <v>100000</v>
      </c>
      <c r="R790" s="308">
        <v>0</v>
      </c>
      <c r="S790" s="308">
        <v>0</v>
      </c>
      <c r="T790" s="308">
        <v>0</v>
      </c>
      <c r="U790" s="308">
        <v>0</v>
      </c>
    </row>
    <row r="791" spans="2:21" ht="24" customHeight="1">
      <c r="B791" s="304" t="s">
        <v>996</v>
      </c>
      <c r="C791" s="106"/>
      <c r="D791" s="106"/>
      <c r="E791" s="1" t="s">
        <v>1003</v>
      </c>
      <c r="F791" s="108"/>
      <c r="G791" s="106"/>
      <c r="H791" s="106"/>
      <c r="I791" s="106"/>
      <c r="J791" s="106"/>
      <c r="K791" s="106"/>
      <c r="L791" s="106"/>
      <c r="M791" s="307">
        <v>12225</v>
      </c>
      <c r="N791" s="307">
        <v>96777</v>
      </c>
      <c r="O791" s="197">
        <v>68721</v>
      </c>
      <c r="P791" s="197">
        <v>0</v>
      </c>
      <c r="Q791" s="307">
        <v>22848</v>
      </c>
      <c r="R791" s="308">
        <v>0</v>
      </c>
      <c r="S791" s="308">
        <v>0</v>
      </c>
      <c r="T791" s="308">
        <v>0</v>
      </c>
      <c r="U791" s="234">
        <v>0</v>
      </c>
    </row>
    <row r="792" spans="2:21" ht="24" customHeight="1">
      <c r="B792" s="304" t="s">
        <v>1073</v>
      </c>
      <c r="C792" s="106"/>
      <c r="D792" s="106"/>
      <c r="E792" s="1" t="s">
        <v>246</v>
      </c>
      <c r="F792" s="108"/>
      <c r="G792" s="106"/>
      <c r="H792" s="106"/>
      <c r="I792" s="106"/>
      <c r="J792" s="106"/>
      <c r="K792" s="106"/>
      <c r="L792" s="106"/>
      <c r="M792" s="307">
        <v>38002</v>
      </c>
      <c r="N792" s="307">
        <v>4323</v>
      </c>
      <c r="O792" s="164">
        <v>100000</v>
      </c>
      <c r="P792" s="164">
        <v>0</v>
      </c>
      <c r="Q792" s="240">
        <v>165000</v>
      </c>
      <c r="R792" s="240">
        <v>90000</v>
      </c>
      <c r="S792" s="240">
        <v>90000</v>
      </c>
      <c r="T792" s="240">
        <v>90000</v>
      </c>
      <c r="U792" s="240">
        <v>90000</v>
      </c>
    </row>
    <row r="793" spans="2:21" ht="24" customHeight="1">
      <c r="B793" s="324" t="s">
        <v>1438</v>
      </c>
      <c r="C793" s="311"/>
      <c r="D793" s="311"/>
      <c r="E793" s="304" t="s">
        <v>1428</v>
      </c>
      <c r="F793" s="311"/>
      <c r="G793" s="311"/>
      <c r="H793" s="311"/>
      <c r="I793" s="311"/>
      <c r="J793" s="311"/>
      <c r="K793" s="311"/>
      <c r="L793" s="311"/>
      <c r="M793" s="308">
        <v>0</v>
      </c>
      <c r="N793" s="308">
        <v>0</v>
      </c>
      <c r="O793" s="172">
        <v>0</v>
      </c>
      <c r="P793" s="172">
        <v>0</v>
      </c>
      <c r="Q793" s="308">
        <v>45860</v>
      </c>
      <c r="R793" s="308">
        <v>0</v>
      </c>
      <c r="S793" s="308">
        <v>0</v>
      </c>
      <c r="T793" s="308">
        <v>0</v>
      </c>
      <c r="U793" s="308">
        <v>0</v>
      </c>
    </row>
    <row r="794" spans="2:21" ht="24" customHeight="1">
      <c r="B794" s="1" t="s">
        <v>334</v>
      </c>
      <c r="C794" s="89"/>
      <c r="D794" s="89"/>
      <c r="E794" s="1" t="s">
        <v>243</v>
      </c>
      <c r="F794" s="97"/>
      <c r="G794" s="97"/>
      <c r="H794" s="97"/>
      <c r="I794" s="97"/>
      <c r="J794" s="97"/>
      <c r="K794" s="97"/>
      <c r="L794" s="106"/>
      <c r="M794" s="240">
        <v>22482</v>
      </c>
      <c r="N794" s="240">
        <v>22482</v>
      </c>
      <c r="O794" s="164">
        <v>22488</v>
      </c>
      <c r="P794" s="164">
        <v>22488</v>
      </c>
      <c r="Q794" s="221">
        <v>9370</v>
      </c>
      <c r="R794" s="221">
        <v>0</v>
      </c>
      <c r="S794" s="221">
        <v>0</v>
      </c>
      <c r="T794" s="221">
        <v>0</v>
      </c>
      <c r="U794" s="220">
        <v>0</v>
      </c>
    </row>
    <row r="795" spans="2:21" ht="24" customHeight="1">
      <c r="B795" s="304" t="s">
        <v>1420</v>
      </c>
      <c r="C795" s="619"/>
      <c r="D795" s="619"/>
      <c r="E795" s="618" t="s">
        <v>1421</v>
      </c>
      <c r="F795" s="467"/>
      <c r="G795" s="467"/>
      <c r="H795" s="467"/>
      <c r="I795" s="467"/>
      <c r="J795" s="467"/>
      <c r="K795" s="467"/>
      <c r="L795" s="106"/>
      <c r="M795" s="240">
        <v>0</v>
      </c>
      <c r="N795" s="240">
        <v>0</v>
      </c>
      <c r="O795" s="164">
        <v>0</v>
      </c>
      <c r="P795" s="164">
        <v>0</v>
      </c>
      <c r="Q795" s="221">
        <v>3227415</v>
      </c>
      <c r="R795" s="221">
        <v>0</v>
      </c>
      <c r="S795" s="221">
        <v>0</v>
      </c>
      <c r="T795" s="221">
        <v>0</v>
      </c>
      <c r="U795" s="220">
        <v>0</v>
      </c>
    </row>
    <row r="796" spans="2:21" ht="24" customHeight="1">
      <c r="B796" s="1" t="s">
        <v>335</v>
      </c>
      <c r="C796" s="89"/>
      <c r="D796" s="89"/>
      <c r="E796" s="1" t="s">
        <v>1130</v>
      </c>
      <c r="F796" s="89"/>
      <c r="G796" s="89"/>
      <c r="H796" s="89"/>
      <c r="I796" s="89"/>
      <c r="J796" s="89"/>
      <c r="K796" s="89"/>
      <c r="L796" s="89"/>
      <c r="M796" s="240">
        <v>30948</v>
      </c>
      <c r="N796" s="240">
        <v>0</v>
      </c>
      <c r="O796" s="164">
        <v>0</v>
      </c>
      <c r="P796" s="164">
        <v>0</v>
      </c>
      <c r="Q796" s="240">
        <v>0</v>
      </c>
      <c r="R796" s="240">
        <v>0</v>
      </c>
      <c r="S796" s="240">
        <v>0</v>
      </c>
      <c r="T796" s="240">
        <v>0</v>
      </c>
      <c r="U796" s="208">
        <v>0</v>
      </c>
    </row>
    <row r="797" spans="2:21" ht="24" customHeight="1">
      <c r="B797" s="635" t="s">
        <v>1449</v>
      </c>
      <c r="C797" s="106"/>
      <c r="D797" s="106"/>
      <c r="E797" s="635" t="s">
        <v>1439</v>
      </c>
      <c r="F797" s="108"/>
      <c r="G797" s="106"/>
      <c r="H797" s="106"/>
      <c r="I797" s="106"/>
      <c r="J797" s="106"/>
      <c r="K797" s="106"/>
      <c r="L797" s="106"/>
      <c r="M797" s="307">
        <v>0</v>
      </c>
      <c r="N797" s="307">
        <v>0</v>
      </c>
      <c r="O797" s="197">
        <v>0</v>
      </c>
      <c r="P797" s="197">
        <v>0</v>
      </c>
      <c r="Q797" s="307">
        <v>120259</v>
      </c>
      <c r="R797" s="307">
        <v>481037</v>
      </c>
      <c r="S797" s="307">
        <v>601297</v>
      </c>
      <c r="T797" s="240">
        <v>0</v>
      </c>
      <c r="U797" s="208">
        <v>0</v>
      </c>
    </row>
    <row r="798" spans="2:21" ht="24" customHeight="1">
      <c r="B798" s="98" t="s">
        <v>1189</v>
      </c>
      <c r="C798" s="98"/>
      <c r="D798" s="98"/>
      <c r="E798" s="98"/>
      <c r="F798" s="98"/>
      <c r="G798" s="98"/>
      <c r="H798" s="98"/>
      <c r="I798" s="98"/>
      <c r="J798" s="98"/>
      <c r="K798" s="98"/>
      <c r="L798" s="98"/>
      <c r="M798" s="267"/>
      <c r="N798" s="267"/>
      <c r="O798" s="168"/>
      <c r="P798" s="168"/>
      <c r="Q798" s="219"/>
      <c r="R798" s="267"/>
      <c r="S798" s="267"/>
      <c r="T798" s="267"/>
      <c r="U798" s="219"/>
    </row>
    <row r="799" spans="2:21" ht="24" customHeight="1">
      <c r="B799" s="1" t="s">
        <v>336</v>
      </c>
      <c r="C799" s="95"/>
      <c r="D799" s="95"/>
      <c r="E799" s="1" t="s">
        <v>798</v>
      </c>
      <c r="F799" s="95"/>
      <c r="G799" s="95"/>
      <c r="H799" s="95"/>
      <c r="I799" s="95"/>
      <c r="J799" s="95"/>
      <c r="K799" s="95"/>
      <c r="L799" s="95"/>
      <c r="M799" s="240">
        <v>135000</v>
      </c>
      <c r="N799" s="240">
        <v>140000</v>
      </c>
      <c r="O799" s="164">
        <v>150000</v>
      </c>
      <c r="P799" s="164">
        <v>150000</v>
      </c>
      <c r="Q799" s="208">
        <v>155000</v>
      </c>
      <c r="R799" s="208">
        <v>0</v>
      </c>
      <c r="S799" s="208">
        <v>0</v>
      </c>
      <c r="T799" s="208">
        <v>0</v>
      </c>
      <c r="U799" s="208">
        <v>0</v>
      </c>
    </row>
    <row r="800" spans="2:21" ht="24" customHeight="1">
      <c r="B800" s="1" t="s">
        <v>337</v>
      </c>
      <c r="C800" s="95"/>
      <c r="D800" s="95"/>
      <c r="E800" s="1" t="s">
        <v>847</v>
      </c>
      <c r="F800" s="95"/>
      <c r="G800" s="95"/>
      <c r="H800" s="95"/>
      <c r="I800" s="95"/>
      <c r="J800" s="95"/>
      <c r="K800" s="95"/>
      <c r="L800" s="95"/>
      <c r="M800" s="240">
        <v>29668</v>
      </c>
      <c r="N800" s="240">
        <v>22850</v>
      </c>
      <c r="O800" s="164">
        <v>15710</v>
      </c>
      <c r="P800" s="164">
        <v>15710</v>
      </c>
      <c r="Q800" s="208">
        <v>8060</v>
      </c>
      <c r="R800" s="208">
        <v>0</v>
      </c>
      <c r="S800" s="208">
        <v>0</v>
      </c>
      <c r="T800" s="208">
        <v>0</v>
      </c>
      <c r="U800" s="208">
        <v>0</v>
      </c>
    </row>
    <row r="801" spans="2:21" ht="24" customHeight="1">
      <c r="B801" s="347" t="s">
        <v>338</v>
      </c>
      <c r="C801" s="347"/>
      <c r="D801" s="347"/>
      <c r="E801" s="347"/>
      <c r="F801" s="347"/>
      <c r="G801" s="347"/>
      <c r="H801" s="347"/>
      <c r="I801" s="347"/>
      <c r="J801" s="347"/>
      <c r="K801" s="98"/>
      <c r="L801" s="98"/>
      <c r="M801" s="267"/>
      <c r="N801" s="267"/>
      <c r="O801" s="168"/>
      <c r="P801" s="168"/>
      <c r="Q801" s="219"/>
      <c r="R801" s="219"/>
      <c r="S801" s="219"/>
      <c r="T801" s="219"/>
      <c r="U801" s="219"/>
    </row>
    <row r="802" spans="2:21" ht="24" customHeight="1">
      <c r="B802" s="1" t="s">
        <v>697</v>
      </c>
      <c r="C802" s="95"/>
      <c r="D802" s="95"/>
      <c r="E802" s="1" t="s">
        <v>798</v>
      </c>
      <c r="F802" s="95"/>
      <c r="G802" s="95"/>
      <c r="H802" s="95"/>
      <c r="I802" s="95"/>
      <c r="J802" s="95"/>
      <c r="K802" s="95"/>
      <c r="L802" s="95"/>
      <c r="M802" s="240">
        <v>845000</v>
      </c>
      <c r="N802" s="240">
        <v>885000</v>
      </c>
      <c r="O802" s="164">
        <v>920000</v>
      </c>
      <c r="P802" s="164">
        <v>920000</v>
      </c>
      <c r="Q802" s="208">
        <v>0</v>
      </c>
      <c r="R802" s="208">
        <v>0</v>
      </c>
      <c r="S802" s="208">
        <v>0</v>
      </c>
      <c r="T802" s="208">
        <v>0</v>
      </c>
      <c r="U802" s="208">
        <v>0</v>
      </c>
    </row>
    <row r="803" spans="2:21" ht="24" customHeight="1">
      <c r="B803" s="1" t="s">
        <v>698</v>
      </c>
      <c r="C803" s="95"/>
      <c r="D803" s="95"/>
      <c r="E803" s="1" t="s">
        <v>847</v>
      </c>
      <c r="F803" s="95"/>
      <c r="G803" s="95"/>
      <c r="H803" s="95"/>
      <c r="I803" s="95"/>
      <c r="J803" s="95"/>
      <c r="K803" s="95"/>
      <c r="L803" s="95"/>
      <c r="M803" s="240">
        <v>289114</v>
      </c>
      <c r="N803" s="240">
        <v>252652</v>
      </c>
      <c r="O803" s="164">
        <v>215070</v>
      </c>
      <c r="P803" s="164">
        <v>215070</v>
      </c>
      <c r="Q803" s="208">
        <v>0</v>
      </c>
      <c r="R803" s="208">
        <v>0</v>
      </c>
      <c r="S803" s="208">
        <v>0</v>
      </c>
      <c r="T803" s="208">
        <v>0</v>
      </c>
      <c r="U803" s="208">
        <v>0</v>
      </c>
    </row>
    <row r="804" spans="2:21" ht="24" customHeight="1">
      <c r="B804" s="347" t="s">
        <v>1388</v>
      </c>
      <c r="C804" s="347"/>
      <c r="D804" s="347"/>
      <c r="E804" s="347"/>
      <c r="F804" s="347"/>
      <c r="G804" s="347"/>
      <c r="H804" s="347"/>
      <c r="I804" s="347"/>
      <c r="J804" s="347"/>
      <c r="K804" s="98"/>
      <c r="L804" s="98"/>
      <c r="M804" s="267"/>
      <c r="N804" s="267"/>
      <c r="O804" s="168"/>
      <c r="P804" s="168"/>
      <c r="Q804" s="219"/>
      <c r="R804" s="219"/>
      <c r="S804" s="219"/>
      <c r="T804" s="219"/>
      <c r="U804" s="219"/>
    </row>
    <row r="805" spans="2:21" ht="24" customHeight="1">
      <c r="B805" s="602" t="s">
        <v>1389</v>
      </c>
      <c r="C805" s="603"/>
      <c r="D805" s="603"/>
      <c r="E805" s="602" t="s">
        <v>798</v>
      </c>
      <c r="F805" s="603"/>
      <c r="G805" s="603"/>
      <c r="H805" s="603"/>
      <c r="I805" s="603"/>
      <c r="J805" s="603"/>
      <c r="K805" s="603"/>
      <c r="L805" s="603"/>
      <c r="M805" s="240">
        <v>0</v>
      </c>
      <c r="N805" s="240">
        <v>0</v>
      </c>
      <c r="O805" s="164">
        <v>0</v>
      </c>
      <c r="P805" s="164">
        <v>0</v>
      </c>
      <c r="Q805" s="208">
        <v>1021842</v>
      </c>
      <c r="R805" s="208">
        <v>1029888</v>
      </c>
      <c r="S805" s="208">
        <v>1045980</v>
      </c>
      <c r="T805" s="208">
        <v>1062072</v>
      </c>
      <c r="U805" s="208">
        <v>0</v>
      </c>
    </row>
    <row r="806" spans="2:21" ht="24" customHeight="1">
      <c r="B806" s="602" t="s">
        <v>1390</v>
      </c>
      <c r="C806" s="603"/>
      <c r="D806" s="603"/>
      <c r="E806" s="602" t="s">
        <v>847</v>
      </c>
      <c r="F806" s="603"/>
      <c r="G806" s="603"/>
      <c r="H806" s="603"/>
      <c r="I806" s="603"/>
      <c r="J806" s="603"/>
      <c r="K806" s="603"/>
      <c r="L806" s="603"/>
      <c r="M806" s="240">
        <v>0</v>
      </c>
      <c r="N806" s="240">
        <v>0</v>
      </c>
      <c r="O806" s="164">
        <v>0</v>
      </c>
      <c r="P806" s="164">
        <v>0</v>
      </c>
      <c r="Q806" s="208">
        <v>46713</v>
      </c>
      <c r="R806" s="208">
        <v>35835</v>
      </c>
      <c r="S806" s="208">
        <v>24074</v>
      </c>
      <c r="T806" s="208">
        <v>12129</v>
      </c>
      <c r="U806" s="208">
        <v>0</v>
      </c>
    </row>
    <row r="807" spans="2:21" ht="24" customHeight="1">
      <c r="B807" s="98" t="s">
        <v>339</v>
      </c>
      <c r="C807" s="98"/>
      <c r="D807" s="98"/>
      <c r="E807" s="98"/>
      <c r="F807" s="98"/>
      <c r="G807" s="98"/>
      <c r="H807" s="98"/>
      <c r="I807" s="98"/>
      <c r="J807" s="98"/>
      <c r="K807" s="98"/>
      <c r="L807" s="98"/>
      <c r="M807" s="267"/>
      <c r="N807" s="267"/>
      <c r="O807" s="168"/>
      <c r="P807" s="168"/>
      <c r="Q807" s="219"/>
      <c r="R807" s="219"/>
      <c r="S807" s="219"/>
      <c r="T807" s="219"/>
      <c r="U807" s="219"/>
    </row>
    <row r="808" spans="2:21" ht="24" customHeight="1">
      <c r="B808" s="1" t="s">
        <v>340</v>
      </c>
      <c r="C808" s="95"/>
      <c r="D808" s="95"/>
      <c r="E808" s="1" t="s">
        <v>798</v>
      </c>
      <c r="F808" s="95"/>
      <c r="G808" s="95"/>
      <c r="H808" s="95"/>
      <c r="I808" s="95"/>
      <c r="J808" s="95"/>
      <c r="K808" s="95"/>
      <c r="L808" s="95"/>
      <c r="M808" s="240">
        <v>52832</v>
      </c>
      <c r="N808" s="240">
        <v>0</v>
      </c>
      <c r="O808" s="164">
        <v>0</v>
      </c>
      <c r="P808" s="164">
        <v>0</v>
      </c>
      <c r="Q808" s="208">
        <v>0</v>
      </c>
      <c r="R808" s="208">
        <v>0</v>
      </c>
      <c r="S808" s="208">
        <v>0</v>
      </c>
      <c r="T808" s="208">
        <v>0</v>
      </c>
      <c r="U808" s="208">
        <v>0</v>
      </c>
    </row>
    <row r="809" spans="2:21" ht="24" customHeight="1">
      <c r="B809" s="1" t="s">
        <v>341</v>
      </c>
      <c r="C809" s="95"/>
      <c r="D809" s="95"/>
      <c r="E809" s="1" t="s">
        <v>847</v>
      </c>
      <c r="F809" s="95"/>
      <c r="G809" s="95"/>
      <c r="H809" s="95"/>
      <c r="I809" s="95"/>
      <c r="J809" s="95"/>
      <c r="K809" s="95"/>
      <c r="L809" s="95"/>
      <c r="M809" s="261">
        <v>693</v>
      </c>
      <c r="N809" s="261">
        <v>0</v>
      </c>
      <c r="O809" s="167">
        <v>0</v>
      </c>
      <c r="P809" s="167">
        <v>0</v>
      </c>
      <c r="Q809" s="225">
        <v>0</v>
      </c>
      <c r="R809" s="225">
        <v>0</v>
      </c>
      <c r="S809" s="225">
        <v>0</v>
      </c>
      <c r="T809" s="225">
        <v>0</v>
      </c>
      <c r="U809" s="225">
        <v>0</v>
      </c>
    </row>
    <row r="810" spans="2:21" ht="24" customHeight="1">
      <c r="B810" s="689" t="s">
        <v>1229</v>
      </c>
      <c r="C810" s="689"/>
      <c r="D810" s="689"/>
      <c r="E810" s="689"/>
      <c r="F810" s="689"/>
      <c r="G810" s="689"/>
      <c r="H810" s="689"/>
      <c r="I810" s="689"/>
      <c r="J810" s="689"/>
      <c r="K810" s="689"/>
      <c r="L810" s="689"/>
      <c r="M810" s="410">
        <f t="shared" ref="M810:U810" si="99">SUM(M748:M809)</f>
        <v>2031246</v>
      </c>
      <c r="N810" s="410">
        <f t="shared" si="99"/>
        <v>2194389</v>
      </c>
      <c r="O810" s="407">
        <f t="shared" si="99"/>
        <v>2352904</v>
      </c>
      <c r="P810" s="407">
        <f t="shared" si="99"/>
        <v>2135815</v>
      </c>
      <c r="Q810" s="410">
        <f t="shared" si="99"/>
        <v>5921896</v>
      </c>
      <c r="R810" s="410">
        <f t="shared" si="99"/>
        <v>2836520</v>
      </c>
      <c r="S810" s="410">
        <f t="shared" si="99"/>
        <v>2964863</v>
      </c>
      <c r="T810" s="410">
        <f t="shared" si="99"/>
        <v>2425049</v>
      </c>
      <c r="U810" s="410">
        <f t="shared" si="99"/>
        <v>1372582</v>
      </c>
    </row>
    <row r="811" spans="2:21" ht="6.75" customHeight="1">
      <c r="B811" s="468"/>
      <c r="C811" s="469"/>
      <c r="D811" s="469"/>
      <c r="E811" s="468"/>
      <c r="F811" s="469"/>
      <c r="G811" s="469"/>
      <c r="H811" s="469"/>
      <c r="I811" s="469"/>
      <c r="J811" s="469"/>
      <c r="K811" s="469"/>
      <c r="L811" s="469"/>
      <c r="M811" s="220"/>
      <c r="N811" s="240"/>
      <c r="O811" s="164"/>
      <c r="P811" s="164"/>
      <c r="Q811" s="208"/>
      <c r="R811" s="208"/>
      <c r="S811" s="208"/>
      <c r="T811" s="208"/>
      <c r="U811" s="208"/>
    </row>
    <row r="812" spans="2:21" ht="24" customHeight="1">
      <c r="B812" s="555" t="s">
        <v>1361</v>
      </c>
      <c r="C812" s="553"/>
      <c r="D812" s="553"/>
      <c r="E812" s="555" t="s">
        <v>1319</v>
      </c>
      <c r="F812" s="553"/>
      <c r="G812" s="553"/>
      <c r="H812" s="553"/>
      <c r="I812" s="553"/>
      <c r="J812" s="553"/>
      <c r="K812" s="553"/>
      <c r="L812" s="553"/>
      <c r="M812" s="403">
        <v>0</v>
      </c>
      <c r="N812" s="404">
        <v>0</v>
      </c>
      <c r="O812" s="405">
        <v>0</v>
      </c>
      <c r="P812" s="405">
        <f t="shared" ref="P812:U812" si="100">P443</f>
        <v>0</v>
      </c>
      <c r="Q812" s="414">
        <f t="shared" si="100"/>
        <v>0</v>
      </c>
      <c r="R812" s="414">
        <f t="shared" si="100"/>
        <v>66443</v>
      </c>
      <c r="S812" s="414">
        <f t="shared" si="100"/>
        <v>382945</v>
      </c>
      <c r="T812" s="414">
        <f t="shared" si="100"/>
        <v>382008</v>
      </c>
      <c r="U812" s="414">
        <f t="shared" si="100"/>
        <v>382074</v>
      </c>
    </row>
    <row r="813" spans="2:21" ht="24" customHeight="1">
      <c r="B813" s="1" t="s">
        <v>702</v>
      </c>
      <c r="C813" s="95"/>
      <c r="D813" s="95"/>
      <c r="E813" s="1" t="s">
        <v>193</v>
      </c>
      <c r="F813" s="95"/>
      <c r="G813" s="95"/>
      <c r="H813" s="95"/>
      <c r="I813" s="95"/>
      <c r="J813" s="95"/>
      <c r="K813" s="95"/>
      <c r="L813" s="95"/>
      <c r="M813" s="295">
        <v>73875</v>
      </c>
      <c r="N813" s="265">
        <v>75125</v>
      </c>
      <c r="O813" s="523">
        <v>75675</v>
      </c>
      <c r="P813" s="523">
        <f t="shared" ref="P813:U813" si="101">ROUND((P706+P707)/2,0)</f>
        <v>75675</v>
      </c>
      <c r="Q813" s="266">
        <f t="shared" si="101"/>
        <v>73650</v>
      </c>
      <c r="R813" s="266">
        <f t="shared" si="101"/>
        <v>74125</v>
      </c>
      <c r="S813" s="266">
        <f t="shared" si="101"/>
        <v>69525</v>
      </c>
      <c r="T813" s="266">
        <f t="shared" si="101"/>
        <v>0</v>
      </c>
      <c r="U813" s="266">
        <f t="shared" si="101"/>
        <v>0</v>
      </c>
    </row>
    <row r="814" spans="2:21" ht="24" customHeight="1">
      <c r="B814" s="593" t="s">
        <v>1395</v>
      </c>
      <c r="C814" s="594"/>
      <c r="D814" s="594"/>
      <c r="E814" s="593" t="s">
        <v>1138</v>
      </c>
      <c r="F814" s="594"/>
      <c r="G814" s="594"/>
      <c r="H814" s="594"/>
      <c r="I814" s="594"/>
      <c r="J814" s="594"/>
      <c r="K814" s="594"/>
      <c r="L814" s="594"/>
      <c r="M814" s="296">
        <v>0</v>
      </c>
      <c r="N814" s="549">
        <v>0</v>
      </c>
      <c r="O814" s="550">
        <v>0</v>
      </c>
      <c r="P814" s="550">
        <f>4160000-44416-2287</f>
        <v>4113297</v>
      </c>
      <c r="Q814" s="551">
        <v>0</v>
      </c>
      <c r="R814" s="551">
        <v>0</v>
      </c>
      <c r="S814" s="551">
        <v>0</v>
      </c>
      <c r="T814" s="551">
        <v>0</v>
      </c>
      <c r="U814" s="551">
        <v>0</v>
      </c>
    </row>
    <row r="815" spans="2:21" ht="24" customHeight="1">
      <c r="B815" s="689" t="s">
        <v>599</v>
      </c>
      <c r="C815" s="689"/>
      <c r="D815" s="689"/>
      <c r="E815" s="689"/>
      <c r="F815" s="689"/>
      <c r="G815" s="689"/>
      <c r="H815" s="689"/>
      <c r="I815" s="689"/>
      <c r="J815" s="689"/>
      <c r="K815" s="689"/>
      <c r="L815" s="689"/>
      <c r="M815" s="410">
        <f t="shared" ref="M815:U815" si="102">M813+M812+M814</f>
        <v>73875</v>
      </c>
      <c r="N815" s="410">
        <f t="shared" si="102"/>
        <v>75125</v>
      </c>
      <c r="O815" s="407">
        <f t="shared" si="102"/>
        <v>75675</v>
      </c>
      <c r="P815" s="407">
        <f t="shared" si="102"/>
        <v>4188972</v>
      </c>
      <c r="Q815" s="410">
        <f t="shared" si="102"/>
        <v>73650</v>
      </c>
      <c r="R815" s="410">
        <f t="shared" si="102"/>
        <v>140568</v>
      </c>
      <c r="S815" s="410">
        <f t="shared" si="102"/>
        <v>452470</v>
      </c>
      <c r="T815" s="410">
        <f t="shared" si="102"/>
        <v>382008</v>
      </c>
      <c r="U815" s="410">
        <f t="shared" si="102"/>
        <v>382074</v>
      </c>
    </row>
    <row r="816" spans="2:21" ht="15" customHeight="1">
      <c r="B816" s="499"/>
      <c r="C816" s="499"/>
      <c r="D816" s="499"/>
      <c r="E816" s="499"/>
      <c r="F816" s="499"/>
      <c r="G816" s="499"/>
      <c r="H816" s="499"/>
      <c r="I816" s="499"/>
      <c r="J816" s="499"/>
      <c r="K816" s="499"/>
      <c r="L816" s="499"/>
      <c r="M816" s="498"/>
      <c r="N816" s="498"/>
      <c r="O816" s="500"/>
      <c r="P816" s="500"/>
      <c r="Q816" s="498"/>
      <c r="R816" s="498"/>
      <c r="S816" s="498"/>
      <c r="T816" s="498"/>
      <c r="U816" s="498"/>
    </row>
    <row r="817" spans="1:21" ht="24" customHeight="1">
      <c r="B817" s="360"/>
      <c r="C817" s="691" t="s">
        <v>1228</v>
      </c>
      <c r="D817" s="691"/>
      <c r="E817" s="691"/>
      <c r="F817" s="691"/>
      <c r="G817" s="691"/>
      <c r="H817" s="691"/>
      <c r="I817" s="691"/>
      <c r="J817" s="691"/>
      <c r="K817" s="691"/>
      <c r="L817" s="691"/>
      <c r="M817" s="407">
        <f t="shared" ref="M817:U817" si="103">M810</f>
        <v>2031246</v>
      </c>
      <c r="N817" s="407">
        <f t="shared" si="103"/>
        <v>2194389</v>
      </c>
      <c r="O817" s="407">
        <f t="shared" si="103"/>
        <v>2352904</v>
      </c>
      <c r="P817" s="407">
        <f t="shared" si="103"/>
        <v>2135815</v>
      </c>
      <c r="Q817" s="407">
        <f t="shared" si="103"/>
        <v>5921896</v>
      </c>
      <c r="R817" s="407">
        <f t="shared" si="103"/>
        <v>2836520</v>
      </c>
      <c r="S817" s="407">
        <f t="shared" si="103"/>
        <v>2964863</v>
      </c>
      <c r="T817" s="407">
        <f t="shared" si="103"/>
        <v>2425049</v>
      </c>
      <c r="U817" s="407">
        <f t="shared" si="103"/>
        <v>1372582</v>
      </c>
    </row>
    <row r="818" spans="1:21" ht="15" customHeight="1">
      <c r="B818" s="420"/>
      <c r="C818" s="360"/>
      <c r="D818" s="360"/>
      <c r="E818" s="360"/>
      <c r="F818" s="360"/>
      <c r="G818" s="360"/>
      <c r="H818" s="360"/>
      <c r="I818" s="360"/>
      <c r="J818" s="360"/>
      <c r="K818" s="360"/>
      <c r="L818" s="360"/>
      <c r="M818" s="187"/>
      <c r="N818" s="167"/>
      <c r="O818" s="167"/>
      <c r="P818" s="167"/>
      <c r="Q818" s="167"/>
      <c r="R818" s="167"/>
      <c r="S818" s="167"/>
      <c r="T818" s="167"/>
      <c r="U818" s="167"/>
    </row>
    <row r="819" spans="1:21" ht="24" customHeight="1">
      <c r="B819" s="420"/>
      <c r="C819" s="692" t="s">
        <v>838</v>
      </c>
      <c r="D819" s="692"/>
      <c r="E819" s="692"/>
      <c r="F819" s="692"/>
      <c r="G819" s="692"/>
      <c r="H819" s="692"/>
      <c r="I819" s="692"/>
      <c r="J819" s="692"/>
      <c r="K819" s="692"/>
      <c r="L819" s="692"/>
      <c r="M819" s="462">
        <f t="shared" ref="M819:U819" si="104">M742</f>
        <v>575030</v>
      </c>
      <c r="N819" s="462">
        <f t="shared" si="104"/>
        <v>174744</v>
      </c>
      <c r="O819" s="462">
        <f t="shared" si="104"/>
        <v>519749</v>
      </c>
      <c r="P819" s="462">
        <f t="shared" si="104"/>
        <v>4679749</v>
      </c>
      <c r="Q819" s="462">
        <f t="shared" si="104"/>
        <v>1600356</v>
      </c>
      <c r="R819" s="462">
        <f t="shared" si="104"/>
        <v>1065723</v>
      </c>
      <c r="S819" s="462">
        <f t="shared" si="104"/>
        <v>769303</v>
      </c>
      <c r="T819" s="462">
        <f t="shared" si="104"/>
        <v>568980</v>
      </c>
      <c r="U819" s="462">
        <f t="shared" si="104"/>
        <v>0</v>
      </c>
    </row>
    <row r="820" spans="1:21" ht="24" customHeight="1">
      <c r="B820" s="421"/>
      <c r="C820" s="693" t="s">
        <v>1204</v>
      </c>
      <c r="D820" s="693"/>
      <c r="E820" s="693"/>
      <c r="F820" s="693"/>
      <c r="G820" s="693"/>
      <c r="H820" s="693"/>
      <c r="I820" s="693"/>
      <c r="J820" s="693"/>
      <c r="K820" s="693"/>
      <c r="L820" s="693"/>
      <c r="M820" s="419">
        <f t="shared" ref="M820:U820" si="105">-M815</f>
        <v>-73875</v>
      </c>
      <c r="N820" s="419">
        <f t="shared" si="105"/>
        <v>-75125</v>
      </c>
      <c r="O820" s="419">
        <f t="shared" si="105"/>
        <v>-75675</v>
      </c>
      <c r="P820" s="419">
        <f t="shared" si="105"/>
        <v>-4188972</v>
      </c>
      <c r="Q820" s="419">
        <f t="shared" si="105"/>
        <v>-73650</v>
      </c>
      <c r="R820" s="419">
        <f t="shared" si="105"/>
        <v>-140568</v>
      </c>
      <c r="S820" s="419">
        <f t="shared" si="105"/>
        <v>-452470</v>
      </c>
      <c r="T820" s="419">
        <f t="shared" si="105"/>
        <v>-382008</v>
      </c>
      <c r="U820" s="419">
        <f t="shared" si="105"/>
        <v>-382074</v>
      </c>
    </row>
    <row r="821" spans="1:21" ht="24" customHeight="1">
      <c r="B821" s="360"/>
      <c r="C821" s="691" t="s">
        <v>1230</v>
      </c>
      <c r="D821" s="691"/>
      <c r="E821" s="691"/>
      <c r="F821" s="691"/>
      <c r="G821" s="691"/>
      <c r="H821" s="691"/>
      <c r="I821" s="691"/>
      <c r="J821" s="691"/>
      <c r="K821" s="691"/>
      <c r="L821" s="691"/>
      <c r="M821" s="407">
        <f t="shared" ref="M821:U821" si="106">SUM(M819:M820)</f>
        <v>501155</v>
      </c>
      <c r="N821" s="407">
        <f t="shared" si="106"/>
        <v>99619</v>
      </c>
      <c r="O821" s="407">
        <f t="shared" si="106"/>
        <v>444074</v>
      </c>
      <c r="P821" s="407">
        <f t="shared" si="106"/>
        <v>490777</v>
      </c>
      <c r="Q821" s="407">
        <f t="shared" si="106"/>
        <v>1526706</v>
      </c>
      <c r="R821" s="407">
        <f t="shared" si="106"/>
        <v>925155</v>
      </c>
      <c r="S821" s="407">
        <f t="shared" si="106"/>
        <v>316833</v>
      </c>
      <c r="T821" s="407">
        <f t="shared" si="106"/>
        <v>186972</v>
      </c>
      <c r="U821" s="407">
        <f t="shared" si="106"/>
        <v>-382074</v>
      </c>
    </row>
    <row r="822" spans="1:21" s="89" customFormat="1" ht="15" customHeight="1">
      <c r="A822" s="576"/>
      <c r="B822" s="145"/>
      <c r="C822" s="145"/>
      <c r="D822" s="145"/>
      <c r="E822" s="145"/>
      <c r="F822" s="145"/>
      <c r="G822" s="145"/>
      <c r="H822" s="145"/>
      <c r="I822" s="145"/>
      <c r="J822" s="145"/>
      <c r="K822" s="145"/>
      <c r="L822" s="145"/>
      <c r="M822" s="409"/>
      <c r="N822" s="409"/>
      <c r="O822" s="409"/>
      <c r="P822" s="409"/>
      <c r="Q822" s="409"/>
      <c r="R822" s="409"/>
      <c r="S822" s="409"/>
      <c r="T822" s="409"/>
      <c r="U822" s="409"/>
    </row>
    <row r="823" spans="1:21" s="89" customFormat="1" ht="24" customHeight="1">
      <c r="A823" s="576"/>
      <c r="B823" s="145"/>
      <c r="C823" s="145"/>
      <c r="D823" s="145"/>
      <c r="E823" s="145"/>
      <c r="F823" s="145"/>
      <c r="G823" s="145"/>
      <c r="H823" s="145"/>
      <c r="I823" s="145"/>
      <c r="J823" s="145"/>
      <c r="K823" s="145"/>
      <c r="L823" s="360" t="s">
        <v>425</v>
      </c>
      <c r="M823" s="280">
        <f t="shared" ref="M823:U823" si="107">M738-M810+M821</f>
        <v>112137</v>
      </c>
      <c r="N823" s="280">
        <f t="shared" si="107"/>
        <v>-357700</v>
      </c>
      <c r="O823" s="280">
        <f t="shared" si="107"/>
        <v>-152977</v>
      </c>
      <c r="P823" s="280">
        <f t="shared" si="107"/>
        <v>88819</v>
      </c>
      <c r="Q823" s="280">
        <f t="shared" si="107"/>
        <v>609175</v>
      </c>
      <c r="R823" s="280">
        <f t="shared" si="107"/>
        <v>-57965</v>
      </c>
      <c r="S823" s="280">
        <f t="shared" si="107"/>
        <v>-713197</v>
      </c>
      <c r="T823" s="280">
        <f t="shared" si="107"/>
        <v>-217330</v>
      </c>
      <c r="U823" s="280">
        <f t="shared" si="107"/>
        <v>357747</v>
      </c>
    </row>
    <row r="824" spans="1:21" s="89" customFormat="1" ht="15" customHeight="1">
      <c r="A824" s="576"/>
      <c r="B824" s="145"/>
      <c r="C824" s="145"/>
      <c r="D824" s="145"/>
      <c r="E824" s="145"/>
      <c r="F824" s="145"/>
      <c r="G824" s="145"/>
      <c r="H824" s="145"/>
      <c r="I824" s="145"/>
      <c r="J824" s="145"/>
      <c r="K824" s="145"/>
      <c r="L824" s="145"/>
      <c r="M824" s="409"/>
      <c r="N824" s="409"/>
      <c r="O824" s="409"/>
      <c r="P824" s="409"/>
      <c r="Q824" s="409"/>
      <c r="R824" s="409"/>
      <c r="S824" s="409"/>
      <c r="T824" s="409"/>
      <c r="U824" s="409"/>
    </row>
    <row r="825" spans="1:21" s="89" customFormat="1" ht="24" customHeight="1">
      <c r="A825" s="576"/>
      <c r="B825" s="694" t="s">
        <v>756</v>
      </c>
      <c r="C825" s="694"/>
      <c r="D825" s="694"/>
      <c r="E825" s="694"/>
      <c r="F825" s="694"/>
      <c r="G825" s="694"/>
      <c r="H825" s="694"/>
      <c r="I825" s="694"/>
      <c r="J825" s="694"/>
      <c r="K825" s="694"/>
      <c r="L825" s="694"/>
      <c r="M825" s="409">
        <v>1222388</v>
      </c>
      <c r="N825" s="409">
        <v>864688</v>
      </c>
      <c r="O825" s="409">
        <v>692051</v>
      </c>
      <c r="P825" s="409">
        <f>N825+P823</f>
        <v>953507</v>
      </c>
      <c r="Q825" s="409">
        <f>P825+Q823</f>
        <v>1562682</v>
      </c>
      <c r="R825" s="409">
        <f>Q825+R823</f>
        <v>1504717</v>
      </c>
      <c r="S825" s="409">
        <f>R825+S823</f>
        <v>791520</v>
      </c>
      <c r="T825" s="409">
        <f>S825+T823</f>
        <v>574190</v>
      </c>
      <c r="U825" s="409">
        <f>T825+U823</f>
        <v>931937</v>
      </c>
    </row>
    <row r="826" spans="1:21" s="104" customFormat="1" ht="24" customHeight="1">
      <c r="A826" s="584"/>
      <c r="B826" s="497"/>
      <c r="C826" s="497"/>
      <c r="D826" s="497"/>
      <c r="E826" s="497"/>
      <c r="F826" s="497"/>
      <c r="G826" s="497"/>
      <c r="H826" s="497"/>
      <c r="I826" s="497"/>
      <c r="J826" s="497"/>
      <c r="K826" s="497"/>
      <c r="L826" s="497"/>
      <c r="M826" s="179">
        <f t="shared" ref="M826:U826" si="108">M825/(M810+M815)</f>
        <v>0.58067350997876133</v>
      </c>
      <c r="N826" s="179">
        <f t="shared" si="108"/>
        <v>0.38100139501232422</v>
      </c>
      <c r="O826" s="179">
        <f t="shared" si="108"/>
        <v>0.28496128806186666</v>
      </c>
      <c r="P826" s="179">
        <f t="shared" si="108"/>
        <v>0.15075717174349113</v>
      </c>
      <c r="Q826" s="179">
        <f t="shared" si="108"/>
        <v>0.2606404821178922</v>
      </c>
      <c r="R826" s="179">
        <f t="shared" si="108"/>
        <v>0.5054324897349356</v>
      </c>
      <c r="S826" s="179">
        <f t="shared" si="108"/>
        <v>0.23161921884697803</v>
      </c>
      <c r="T826" s="179">
        <f t="shared" si="108"/>
        <v>0.20455231226156079</v>
      </c>
      <c r="U826" s="179">
        <f t="shared" si="108"/>
        <v>0.53112233964948119</v>
      </c>
    </row>
    <row r="827" spans="1:21" ht="15" customHeight="1">
      <c r="B827" s="89"/>
      <c r="C827" s="89"/>
      <c r="D827" s="89"/>
      <c r="E827" s="89"/>
      <c r="F827" s="89"/>
      <c r="G827" s="89"/>
      <c r="H827" s="89"/>
      <c r="I827" s="89"/>
      <c r="J827" s="89"/>
      <c r="K827" s="89"/>
      <c r="L827" s="89"/>
      <c r="M827" s="263"/>
      <c r="N827" s="263"/>
      <c r="O827" s="196"/>
      <c r="P827" s="196"/>
      <c r="Q827" s="264"/>
      <c r="R827" s="264"/>
      <c r="S827" s="264"/>
      <c r="T827" s="264"/>
      <c r="U827" s="264"/>
    </row>
    <row r="828" spans="1:21" ht="24" customHeight="1">
      <c r="B828" s="163" t="s">
        <v>1293</v>
      </c>
      <c r="C828" s="89"/>
      <c r="D828" s="89"/>
      <c r="E828" s="89"/>
      <c r="F828" s="89"/>
      <c r="G828" s="89"/>
      <c r="H828" s="89"/>
      <c r="I828" s="89"/>
      <c r="J828" s="89"/>
      <c r="K828" s="89"/>
      <c r="L828" s="89"/>
      <c r="M828" s="254"/>
      <c r="N828" s="253"/>
      <c r="O828" s="185"/>
      <c r="P828" s="185"/>
      <c r="Q828" s="255"/>
      <c r="R828" s="255"/>
      <c r="S828" s="255"/>
      <c r="T828" s="255"/>
      <c r="U828" s="255"/>
    </row>
    <row r="829" spans="1:21" ht="15" customHeight="1">
      <c r="B829" s="89"/>
      <c r="C829" s="89"/>
      <c r="D829" s="89"/>
      <c r="E829" s="89"/>
      <c r="F829" s="89"/>
      <c r="G829" s="89"/>
      <c r="H829" s="89"/>
      <c r="I829" s="89"/>
      <c r="J829" s="89"/>
      <c r="K829" s="89"/>
      <c r="L829" s="89"/>
      <c r="M829" s="254"/>
      <c r="N829" s="253"/>
      <c r="O829" s="185"/>
      <c r="P829" s="185"/>
      <c r="Q829" s="255"/>
      <c r="R829" s="255"/>
      <c r="S829" s="255"/>
      <c r="T829" s="255"/>
      <c r="U829" s="255"/>
    </row>
    <row r="830" spans="1:21" ht="24" customHeight="1">
      <c r="B830" s="327" t="s">
        <v>1141</v>
      </c>
      <c r="C830" s="326"/>
      <c r="D830" s="326"/>
      <c r="E830" s="326" t="s">
        <v>1142</v>
      </c>
      <c r="F830" s="326"/>
      <c r="G830" s="326"/>
      <c r="H830" s="326"/>
      <c r="I830" s="326"/>
      <c r="J830" s="326"/>
      <c r="K830" s="326"/>
      <c r="L830" s="326"/>
      <c r="M830" s="404">
        <v>2812</v>
      </c>
      <c r="N830" s="404">
        <v>1406</v>
      </c>
      <c r="O830" s="405">
        <v>1406</v>
      </c>
      <c r="P830" s="405">
        <v>0</v>
      </c>
      <c r="Q830" s="404">
        <v>0</v>
      </c>
      <c r="R830" s="404">
        <v>0</v>
      </c>
      <c r="S830" s="404">
        <v>0</v>
      </c>
      <c r="T830" s="404">
        <v>0</v>
      </c>
      <c r="U830" s="404">
        <v>0</v>
      </c>
    </row>
    <row r="831" spans="1:21" ht="24" customHeight="1">
      <c r="B831" s="89" t="s">
        <v>1104</v>
      </c>
      <c r="C831" s="95"/>
      <c r="D831" s="95"/>
      <c r="E831" s="95" t="s">
        <v>1105</v>
      </c>
      <c r="F831" s="95"/>
      <c r="G831" s="95"/>
      <c r="H831" s="95"/>
      <c r="I831" s="95"/>
      <c r="J831" s="95"/>
      <c r="K831" s="95"/>
      <c r="L831" s="95"/>
      <c r="M831" s="240">
        <v>0</v>
      </c>
      <c r="N831" s="240">
        <v>0</v>
      </c>
      <c r="O831" s="164">
        <v>4699</v>
      </c>
      <c r="P831" s="164">
        <v>0</v>
      </c>
      <c r="Q831" s="240">
        <v>0</v>
      </c>
      <c r="R831" s="240">
        <v>0</v>
      </c>
      <c r="S831" s="240">
        <v>0</v>
      </c>
      <c r="T831" s="240">
        <v>0</v>
      </c>
      <c r="U831" s="240">
        <v>0</v>
      </c>
    </row>
    <row r="832" spans="1:21" ht="24" customHeight="1">
      <c r="B832" s="89" t="s">
        <v>342</v>
      </c>
      <c r="C832" s="89"/>
      <c r="D832" s="89"/>
      <c r="E832" s="89" t="s">
        <v>343</v>
      </c>
      <c r="F832" s="89"/>
      <c r="G832" s="89"/>
      <c r="H832" s="89"/>
      <c r="I832" s="89"/>
      <c r="J832" s="89"/>
      <c r="K832" s="89"/>
      <c r="L832" s="89"/>
      <c r="M832" s="240">
        <v>6006</v>
      </c>
      <c r="N832" s="240">
        <v>0</v>
      </c>
      <c r="O832" s="164">
        <v>0</v>
      </c>
      <c r="P832" s="164">
        <v>0</v>
      </c>
      <c r="Q832" s="240">
        <v>0</v>
      </c>
      <c r="R832" s="240">
        <v>0</v>
      </c>
      <c r="S832" s="240">
        <v>0</v>
      </c>
      <c r="T832" s="240">
        <v>0</v>
      </c>
      <c r="U832" s="240">
        <v>0</v>
      </c>
    </row>
    <row r="833" spans="1:21" ht="24" customHeight="1">
      <c r="B833" s="89" t="s">
        <v>344</v>
      </c>
      <c r="C833" s="89"/>
      <c r="D833" s="89"/>
      <c r="E833" s="89" t="s">
        <v>345</v>
      </c>
      <c r="F833" s="89"/>
      <c r="G833" s="89"/>
      <c r="H833" s="89"/>
      <c r="I833" s="89"/>
      <c r="J833" s="89"/>
      <c r="K833" s="89"/>
      <c r="L833" s="89"/>
      <c r="M833" s="240">
        <v>1136</v>
      </c>
      <c r="N833" s="240">
        <v>1705</v>
      </c>
      <c r="O833" s="164">
        <v>1932</v>
      </c>
      <c r="P833" s="164">
        <v>1136</v>
      </c>
      <c r="Q833" s="240">
        <v>0</v>
      </c>
      <c r="R833" s="240">
        <v>0</v>
      </c>
      <c r="S833" s="240">
        <v>0</v>
      </c>
      <c r="T833" s="240">
        <v>0</v>
      </c>
      <c r="U833" s="240">
        <v>0</v>
      </c>
    </row>
    <row r="834" spans="1:21" ht="24" customHeight="1">
      <c r="B834" s="89" t="s">
        <v>1009</v>
      </c>
      <c r="C834" s="89"/>
      <c r="D834" s="89"/>
      <c r="E834" s="89" t="s">
        <v>1010</v>
      </c>
      <c r="F834" s="89"/>
      <c r="G834" s="89"/>
      <c r="H834" s="89"/>
      <c r="I834" s="89"/>
      <c r="J834" s="89"/>
      <c r="K834" s="89"/>
      <c r="L834" s="89"/>
      <c r="M834" s="240">
        <v>14094</v>
      </c>
      <c r="N834" s="240">
        <v>2013</v>
      </c>
      <c r="O834" s="164">
        <v>4698</v>
      </c>
      <c r="P834" s="164">
        <v>0</v>
      </c>
      <c r="Q834" s="240">
        <v>0</v>
      </c>
      <c r="R834" s="240">
        <v>0</v>
      </c>
      <c r="S834" s="240">
        <v>0</v>
      </c>
      <c r="T834" s="240">
        <v>0</v>
      </c>
      <c r="U834" s="240">
        <v>0</v>
      </c>
    </row>
    <row r="835" spans="1:21" ht="24" customHeight="1">
      <c r="B835" s="89" t="s">
        <v>965</v>
      </c>
      <c r="C835" s="89"/>
      <c r="D835" s="89"/>
      <c r="E835" s="89" t="s">
        <v>966</v>
      </c>
      <c r="F835" s="89"/>
      <c r="G835" s="89"/>
      <c r="H835" s="89"/>
      <c r="I835" s="89"/>
      <c r="J835" s="89"/>
      <c r="K835" s="89"/>
      <c r="L835" s="89"/>
      <c r="M835" s="240">
        <v>7690</v>
      </c>
      <c r="N835" s="240">
        <v>429</v>
      </c>
      <c r="O835" s="164">
        <v>4358</v>
      </c>
      <c r="P835" s="164">
        <v>0</v>
      </c>
      <c r="Q835" s="240">
        <v>0</v>
      </c>
      <c r="R835" s="240">
        <v>0</v>
      </c>
      <c r="S835" s="240">
        <v>0</v>
      </c>
      <c r="T835" s="240">
        <v>0</v>
      </c>
      <c r="U835" s="240">
        <v>0</v>
      </c>
    </row>
    <row r="836" spans="1:21" ht="24" customHeight="1">
      <c r="B836" s="574" t="s">
        <v>1379</v>
      </c>
      <c r="C836" s="574"/>
      <c r="D836" s="574"/>
      <c r="E836" s="574" t="s">
        <v>1380</v>
      </c>
      <c r="F836" s="574"/>
      <c r="G836" s="574"/>
      <c r="H836" s="574"/>
      <c r="I836" s="574"/>
      <c r="J836" s="574"/>
      <c r="K836" s="574"/>
      <c r="L836" s="574"/>
      <c r="M836" s="240">
        <v>0</v>
      </c>
      <c r="N836" s="240">
        <v>1071</v>
      </c>
      <c r="O836" s="164">
        <v>0</v>
      </c>
      <c r="P836" s="164">
        <v>0</v>
      </c>
      <c r="Q836" s="240">
        <v>0</v>
      </c>
      <c r="R836" s="240">
        <v>0</v>
      </c>
      <c r="S836" s="240">
        <v>0</v>
      </c>
      <c r="T836" s="240">
        <v>0</v>
      </c>
      <c r="U836" s="240">
        <v>0</v>
      </c>
    </row>
    <row r="837" spans="1:21" ht="24" customHeight="1">
      <c r="B837" s="89" t="s">
        <v>1093</v>
      </c>
      <c r="C837" s="89"/>
      <c r="D837" s="89"/>
      <c r="E837" s="89" t="s">
        <v>1094</v>
      </c>
      <c r="F837" s="89"/>
      <c r="G837" s="89"/>
      <c r="H837" s="89"/>
      <c r="I837" s="89"/>
      <c r="J837" s="89"/>
      <c r="K837" s="89"/>
      <c r="L837" s="89"/>
      <c r="M837" s="240">
        <v>486</v>
      </c>
      <c r="N837" s="240">
        <v>5531</v>
      </c>
      <c r="O837" s="164">
        <v>0</v>
      </c>
      <c r="P837" s="164">
        <v>0</v>
      </c>
      <c r="Q837" s="240">
        <v>0</v>
      </c>
      <c r="R837" s="240">
        <v>0</v>
      </c>
      <c r="S837" s="240">
        <v>0</v>
      </c>
      <c r="T837" s="240">
        <v>0</v>
      </c>
      <c r="U837" s="240">
        <v>0</v>
      </c>
    </row>
    <row r="838" spans="1:21" ht="24" customHeight="1">
      <c r="B838" s="89" t="s">
        <v>1102</v>
      </c>
      <c r="C838" s="89"/>
      <c r="D838" s="89"/>
      <c r="E838" s="89" t="s">
        <v>1103</v>
      </c>
      <c r="F838" s="89"/>
      <c r="G838" s="89"/>
      <c r="H838" s="89"/>
      <c r="I838" s="89"/>
      <c r="J838" s="89"/>
      <c r="K838" s="89"/>
      <c r="L838" s="89"/>
      <c r="M838" s="240">
        <v>0</v>
      </c>
      <c r="N838" s="240">
        <v>0</v>
      </c>
      <c r="O838" s="164">
        <v>3522</v>
      </c>
      <c r="P838" s="164">
        <v>0</v>
      </c>
      <c r="Q838" s="240">
        <v>0</v>
      </c>
      <c r="R838" s="240">
        <v>0</v>
      </c>
      <c r="S838" s="240">
        <v>0</v>
      </c>
      <c r="T838" s="240">
        <v>0</v>
      </c>
      <c r="U838" s="240">
        <v>0</v>
      </c>
    </row>
    <row r="839" spans="1:21" ht="24" customHeight="1">
      <c r="B839" s="89" t="s">
        <v>875</v>
      </c>
      <c r="C839" s="89"/>
      <c r="D839" s="89"/>
      <c r="E839" s="89" t="s">
        <v>876</v>
      </c>
      <c r="F839" s="89"/>
      <c r="G839" s="89"/>
      <c r="H839" s="89"/>
      <c r="I839" s="89"/>
      <c r="J839" s="89"/>
      <c r="K839" s="89"/>
      <c r="L839" s="89"/>
      <c r="M839" s="240">
        <v>8820</v>
      </c>
      <c r="N839" s="240">
        <v>6615</v>
      </c>
      <c r="O839" s="164">
        <v>5145</v>
      </c>
      <c r="P839" s="164">
        <v>0</v>
      </c>
      <c r="Q839" s="240">
        <v>0</v>
      </c>
      <c r="R839" s="240">
        <v>0</v>
      </c>
      <c r="S839" s="240">
        <v>0</v>
      </c>
      <c r="T839" s="240">
        <v>0</v>
      </c>
      <c r="U839" s="240">
        <v>0</v>
      </c>
    </row>
    <row r="840" spans="1:21" ht="24" customHeight="1">
      <c r="B840" s="89" t="s">
        <v>1119</v>
      </c>
      <c r="C840" s="89"/>
      <c r="D840" s="89"/>
      <c r="E840" s="89" t="s">
        <v>7</v>
      </c>
      <c r="F840" s="89"/>
      <c r="G840" s="89"/>
      <c r="H840" s="89"/>
      <c r="I840" s="89"/>
      <c r="J840" s="89"/>
      <c r="K840" s="89"/>
      <c r="L840" s="89"/>
      <c r="M840" s="261">
        <v>0</v>
      </c>
      <c r="N840" s="261">
        <v>193</v>
      </c>
      <c r="O840" s="167">
        <v>0</v>
      </c>
      <c r="P840" s="167">
        <v>0</v>
      </c>
      <c r="Q840" s="225">
        <v>0</v>
      </c>
      <c r="R840" s="261">
        <v>0</v>
      </c>
      <c r="S840" s="261">
        <v>0</v>
      </c>
      <c r="T840" s="261">
        <v>0</v>
      </c>
      <c r="U840" s="261">
        <v>0</v>
      </c>
    </row>
    <row r="841" spans="1:21" s="89" customFormat="1" ht="24" customHeight="1">
      <c r="A841" s="576"/>
      <c r="B841" s="689" t="s">
        <v>1233</v>
      </c>
      <c r="C841" s="689"/>
      <c r="D841" s="689"/>
      <c r="E841" s="689"/>
      <c r="F841" s="689"/>
      <c r="G841" s="689"/>
      <c r="H841" s="689"/>
      <c r="I841" s="689"/>
      <c r="J841" s="689"/>
      <c r="K841" s="689"/>
      <c r="L841" s="689"/>
      <c r="M841" s="408">
        <f t="shared" ref="M841:U841" si="109">SUM(M830:M840)</f>
        <v>41044</v>
      </c>
      <c r="N841" s="425">
        <f t="shared" si="109"/>
        <v>18963</v>
      </c>
      <c r="O841" s="409">
        <f t="shared" si="109"/>
        <v>25760</v>
      </c>
      <c r="P841" s="409">
        <f t="shared" si="109"/>
        <v>1136</v>
      </c>
      <c r="Q841" s="408">
        <f t="shared" si="109"/>
        <v>0</v>
      </c>
      <c r="R841" s="408">
        <f t="shared" si="109"/>
        <v>0</v>
      </c>
      <c r="S841" s="408">
        <f t="shared" si="109"/>
        <v>0</v>
      </c>
      <c r="T841" s="408">
        <f t="shared" si="109"/>
        <v>0</v>
      </c>
      <c r="U841" s="408">
        <f t="shared" si="109"/>
        <v>0</v>
      </c>
    </row>
    <row r="842" spans="1:21" ht="15" customHeight="1">
      <c r="B842" s="89"/>
      <c r="C842" s="89"/>
      <c r="D842" s="89"/>
      <c r="E842" s="89"/>
      <c r="F842" s="89"/>
      <c r="G842" s="89"/>
      <c r="H842" s="89"/>
      <c r="I842" s="89"/>
      <c r="J842" s="89"/>
      <c r="K842" s="89"/>
      <c r="L842" s="89"/>
      <c r="M842" s="439"/>
      <c r="N842" s="429"/>
      <c r="O842" s="455"/>
      <c r="P842" s="455"/>
      <c r="Q842" s="456"/>
      <c r="R842" s="456"/>
      <c r="S842" s="456"/>
      <c r="T842" s="456"/>
      <c r="U842" s="456"/>
    </row>
    <row r="843" spans="1:21" ht="24" customHeight="1">
      <c r="B843" s="1" t="s">
        <v>1098</v>
      </c>
      <c r="C843" s="89"/>
      <c r="D843" s="89"/>
      <c r="E843" s="89" t="s">
        <v>81</v>
      </c>
      <c r="F843" s="89"/>
      <c r="G843" s="89"/>
      <c r="H843" s="95"/>
      <c r="I843" s="95"/>
      <c r="J843" s="95"/>
      <c r="K843" s="95"/>
      <c r="L843" s="95"/>
      <c r="M843" s="404">
        <v>5035</v>
      </c>
      <c r="N843" s="404">
        <v>5290</v>
      </c>
      <c r="O843" s="405">
        <v>0</v>
      </c>
      <c r="P843" s="405">
        <v>0</v>
      </c>
      <c r="Q843" s="404">
        <v>0</v>
      </c>
      <c r="R843" s="404">
        <v>0</v>
      </c>
      <c r="S843" s="404">
        <v>0</v>
      </c>
      <c r="T843" s="404">
        <v>0</v>
      </c>
      <c r="U843" s="404">
        <v>0</v>
      </c>
    </row>
    <row r="844" spans="1:21" ht="24" customHeight="1">
      <c r="B844" s="1" t="s">
        <v>1109</v>
      </c>
      <c r="C844" s="89"/>
      <c r="D844" s="89"/>
      <c r="E844" s="89" t="s">
        <v>1110</v>
      </c>
      <c r="F844" s="89"/>
      <c r="G844" s="89"/>
      <c r="H844" s="95"/>
      <c r="I844" s="95"/>
      <c r="J844" s="95"/>
      <c r="K844" s="95"/>
      <c r="L844" s="95"/>
      <c r="M844" s="240">
        <v>0</v>
      </c>
      <c r="N844" s="240">
        <v>118032</v>
      </c>
      <c r="O844" s="164">
        <v>0</v>
      </c>
      <c r="P844" s="164">
        <v>0</v>
      </c>
      <c r="Q844" s="240">
        <v>0</v>
      </c>
      <c r="R844" s="240">
        <v>0</v>
      </c>
      <c r="S844" s="240">
        <v>0</v>
      </c>
      <c r="T844" s="240">
        <v>0</v>
      </c>
      <c r="U844" s="240">
        <v>0</v>
      </c>
    </row>
    <row r="845" spans="1:21" ht="24" customHeight="1">
      <c r="B845" s="1" t="s">
        <v>1007</v>
      </c>
      <c r="C845" s="95"/>
      <c r="D845" s="95"/>
      <c r="E845" s="1" t="s">
        <v>1008</v>
      </c>
      <c r="F845" s="95"/>
      <c r="G845" s="95"/>
      <c r="H845" s="95"/>
      <c r="I845" s="95"/>
      <c r="J845" s="95"/>
      <c r="K845" s="95"/>
      <c r="L845" s="95"/>
      <c r="M845" s="240">
        <v>0</v>
      </c>
      <c r="N845" s="240">
        <v>65077</v>
      </c>
      <c r="O845" s="164">
        <v>0</v>
      </c>
      <c r="P845" s="164">
        <v>0</v>
      </c>
      <c r="Q845" s="240">
        <v>0</v>
      </c>
      <c r="R845" s="240">
        <v>0</v>
      </c>
      <c r="S845" s="240">
        <v>0</v>
      </c>
      <c r="T845" s="240">
        <v>0</v>
      </c>
      <c r="U845" s="240">
        <v>0</v>
      </c>
    </row>
    <row r="846" spans="1:21" ht="24" customHeight="1">
      <c r="B846" s="1" t="s">
        <v>1100</v>
      </c>
      <c r="C846" s="95"/>
      <c r="D846" s="95"/>
      <c r="E846" s="1" t="s">
        <v>1101</v>
      </c>
      <c r="F846" s="95"/>
      <c r="G846" s="95"/>
      <c r="H846" s="95"/>
      <c r="I846" s="95"/>
      <c r="J846" s="95"/>
      <c r="K846" s="95"/>
      <c r="L846" s="95"/>
      <c r="M846" s="240">
        <v>0</v>
      </c>
      <c r="N846" s="240">
        <v>0</v>
      </c>
      <c r="O846" s="164">
        <v>0</v>
      </c>
      <c r="P846" s="164">
        <v>0</v>
      </c>
      <c r="Q846" s="240">
        <v>0</v>
      </c>
      <c r="R846" s="240">
        <v>0</v>
      </c>
      <c r="S846" s="240">
        <v>0</v>
      </c>
      <c r="T846" s="240">
        <v>0</v>
      </c>
      <c r="U846" s="240">
        <v>0</v>
      </c>
    </row>
    <row r="847" spans="1:21" ht="24" customHeight="1">
      <c r="B847" s="1" t="s">
        <v>1099</v>
      </c>
      <c r="C847" s="95"/>
      <c r="D847" s="95"/>
      <c r="E847" s="96" t="s">
        <v>343</v>
      </c>
      <c r="F847" s="95"/>
      <c r="G847" s="95"/>
      <c r="H847" s="95"/>
      <c r="I847" s="95"/>
      <c r="J847" s="95"/>
      <c r="K847" s="95"/>
      <c r="L847" s="95"/>
      <c r="M847" s="240">
        <v>0</v>
      </c>
      <c r="N847" s="240">
        <v>47274</v>
      </c>
      <c r="O847" s="164">
        <v>0</v>
      </c>
      <c r="P847" s="164">
        <v>0</v>
      </c>
      <c r="Q847" s="240">
        <v>0</v>
      </c>
      <c r="R847" s="240">
        <v>0</v>
      </c>
      <c r="S847" s="240">
        <v>0</v>
      </c>
      <c r="T847" s="240">
        <v>0</v>
      </c>
      <c r="U847" s="240">
        <v>0</v>
      </c>
    </row>
    <row r="848" spans="1:21" ht="24" customHeight="1">
      <c r="B848" s="1" t="s">
        <v>943</v>
      </c>
      <c r="C848" s="95"/>
      <c r="D848" s="95"/>
      <c r="E848" s="96" t="s">
        <v>942</v>
      </c>
      <c r="F848" s="95"/>
      <c r="G848" s="95"/>
      <c r="H848" s="95"/>
      <c r="I848" s="95"/>
      <c r="J848" s="95"/>
      <c r="K848" s="95"/>
      <c r="L848" s="95"/>
      <c r="M848" s="261">
        <v>0</v>
      </c>
      <c r="N848" s="261">
        <v>0</v>
      </c>
      <c r="O848" s="167">
        <v>5000</v>
      </c>
      <c r="P848" s="167">
        <v>0</v>
      </c>
      <c r="Q848" s="261">
        <v>0</v>
      </c>
      <c r="R848" s="261">
        <v>0</v>
      </c>
      <c r="S848" s="261">
        <v>0</v>
      </c>
      <c r="T848" s="261">
        <v>0</v>
      </c>
      <c r="U848" s="261">
        <v>0</v>
      </c>
    </row>
    <row r="849" spans="1:21" ht="24" customHeight="1">
      <c r="B849" s="689" t="s">
        <v>1234</v>
      </c>
      <c r="C849" s="689"/>
      <c r="D849" s="689"/>
      <c r="E849" s="689"/>
      <c r="F849" s="689"/>
      <c r="G849" s="689"/>
      <c r="H849" s="689"/>
      <c r="I849" s="689"/>
      <c r="J849" s="689"/>
      <c r="K849" s="689"/>
      <c r="L849" s="689"/>
      <c r="M849" s="410">
        <f t="shared" ref="M849:U849" si="110">SUM(M843:M848)</f>
        <v>5035</v>
      </c>
      <c r="N849" s="410">
        <f t="shared" si="110"/>
        <v>235673</v>
      </c>
      <c r="O849" s="407">
        <f t="shared" si="110"/>
        <v>5000</v>
      </c>
      <c r="P849" s="407">
        <f t="shared" si="110"/>
        <v>0</v>
      </c>
      <c r="Q849" s="410">
        <f t="shared" si="110"/>
        <v>0</v>
      </c>
      <c r="R849" s="410">
        <f t="shared" si="110"/>
        <v>0</v>
      </c>
      <c r="S849" s="410">
        <f t="shared" si="110"/>
        <v>0</v>
      </c>
      <c r="T849" s="410">
        <f t="shared" si="110"/>
        <v>0</v>
      </c>
      <c r="U849" s="410">
        <f t="shared" si="110"/>
        <v>0</v>
      </c>
    </row>
    <row r="850" spans="1:21" ht="6.75" customHeight="1">
      <c r="B850" s="628"/>
      <c r="C850" s="629"/>
      <c r="D850" s="629"/>
      <c r="E850" s="628"/>
      <c r="F850" s="629"/>
      <c r="G850" s="629"/>
      <c r="H850" s="629"/>
      <c r="I850" s="629"/>
      <c r="J850" s="629"/>
      <c r="K850" s="629"/>
      <c r="L850" s="629"/>
      <c r="M850" s="220"/>
      <c r="N850" s="240"/>
      <c r="O850" s="164"/>
      <c r="P850" s="164"/>
      <c r="Q850" s="208"/>
      <c r="R850" s="208"/>
      <c r="S850" s="208"/>
      <c r="T850" s="208"/>
      <c r="U850" s="208"/>
    </row>
    <row r="851" spans="1:21" ht="24" customHeight="1">
      <c r="B851" s="628" t="s">
        <v>1432</v>
      </c>
      <c r="C851" s="629"/>
      <c r="D851" s="629"/>
      <c r="E851" s="96" t="s">
        <v>1433</v>
      </c>
      <c r="F851" s="629"/>
      <c r="G851" s="629"/>
      <c r="H851" s="629"/>
      <c r="I851" s="629"/>
      <c r="J851" s="629"/>
      <c r="K851" s="629"/>
      <c r="L851" s="629"/>
      <c r="M851" s="261">
        <v>0</v>
      </c>
      <c r="N851" s="261">
        <v>0</v>
      </c>
      <c r="O851" s="167">
        <v>0</v>
      </c>
      <c r="P851" s="167">
        <v>32267</v>
      </c>
      <c r="Q851" s="261">
        <v>0</v>
      </c>
      <c r="R851" s="261">
        <v>0</v>
      </c>
      <c r="S851" s="261">
        <v>0</v>
      </c>
      <c r="T851" s="261">
        <v>0</v>
      </c>
      <c r="U851" s="261">
        <v>0</v>
      </c>
    </row>
    <row r="852" spans="1:21" ht="24" customHeight="1">
      <c r="B852" s="689" t="s">
        <v>599</v>
      </c>
      <c r="C852" s="689"/>
      <c r="D852" s="689"/>
      <c r="E852" s="689"/>
      <c r="F852" s="689"/>
      <c r="G852" s="689"/>
      <c r="H852" s="689"/>
      <c r="I852" s="689"/>
      <c r="J852" s="689"/>
      <c r="K852" s="689"/>
      <c r="L852" s="689"/>
      <c r="M852" s="410">
        <f t="shared" ref="M852:U852" si="111">SUM(M851)</f>
        <v>0</v>
      </c>
      <c r="N852" s="410">
        <f t="shared" si="111"/>
        <v>0</v>
      </c>
      <c r="O852" s="407">
        <f t="shared" si="111"/>
        <v>0</v>
      </c>
      <c r="P852" s="407">
        <f t="shared" si="111"/>
        <v>32267</v>
      </c>
      <c r="Q852" s="410">
        <f t="shared" si="111"/>
        <v>0</v>
      </c>
      <c r="R852" s="410">
        <f t="shared" si="111"/>
        <v>0</v>
      </c>
      <c r="S852" s="410">
        <f t="shared" si="111"/>
        <v>0</v>
      </c>
      <c r="T852" s="410">
        <f t="shared" si="111"/>
        <v>0</v>
      </c>
      <c r="U852" s="410">
        <f t="shared" si="111"/>
        <v>0</v>
      </c>
    </row>
    <row r="853" spans="1:21" ht="15" customHeight="1">
      <c r="B853" s="416"/>
      <c r="C853" s="493"/>
      <c r="D853" s="493"/>
      <c r="E853" s="493"/>
      <c r="F853" s="493"/>
      <c r="G853" s="493"/>
      <c r="H853" s="493"/>
      <c r="I853" s="493"/>
      <c r="J853" s="493"/>
      <c r="K853" s="493"/>
      <c r="L853" s="493"/>
      <c r="M853" s="487"/>
      <c r="N853" s="487"/>
      <c r="O853" s="632"/>
      <c r="P853" s="632"/>
      <c r="Q853" s="633"/>
      <c r="R853" s="633"/>
      <c r="S853" s="633"/>
      <c r="T853" s="633"/>
      <c r="U853" s="633"/>
    </row>
    <row r="854" spans="1:21" ht="24" customHeight="1">
      <c r="B854" s="360"/>
      <c r="C854" s="696" t="s">
        <v>1434</v>
      </c>
      <c r="D854" s="696"/>
      <c r="E854" s="696"/>
      <c r="F854" s="696"/>
      <c r="G854" s="696"/>
      <c r="H854" s="696"/>
      <c r="I854" s="696"/>
      <c r="J854" s="696"/>
      <c r="K854" s="696"/>
      <c r="L854" s="696"/>
      <c r="M854" s="407">
        <f t="shared" ref="M854:U854" si="112">M849</f>
        <v>5035</v>
      </c>
      <c r="N854" s="407">
        <f t="shared" si="112"/>
        <v>235673</v>
      </c>
      <c r="O854" s="407">
        <f t="shared" si="112"/>
        <v>5000</v>
      </c>
      <c r="P854" s="407">
        <f t="shared" si="112"/>
        <v>0</v>
      </c>
      <c r="Q854" s="407">
        <f t="shared" si="112"/>
        <v>0</v>
      </c>
      <c r="R854" s="407">
        <f t="shared" si="112"/>
        <v>0</v>
      </c>
      <c r="S854" s="407">
        <f t="shared" si="112"/>
        <v>0</v>
      </c>
      <c r="T854" s="407">
        <f t="shared" si="112"/>
        <v>0</v>
      </c>
      <c r="U854" s="407">
        <f t="shared" si="112"/>
        <v>0</v>
      </c>
    </row>
    <row r="855" spans="1:21" ht="15" customHeight="1">
      <c r="B855" s="420"/>
      <c r="C855" s="360"/>
      <c r="D855" s="360"/>
      <c r="E855" s="360"/>
      <c r="F855" s="360"/>
      <c r="G855" s="360"/>
      <c r="H855" s="360"/>
      <c r="I855" s="360"/>
      <c r="J855" s="360"/>
      <c r="K855" s="360"/>
      <c r="L855" s="360"/>
      <c r="M855" s="187"/>
      <c r="N855" s="167"/>
      <c r="O855" s="167"/>
      <c r="P855" s="167"/>
      <c r="Q855" s="167"/>
      <c r="R855" s="167"/>
      <c r="S855" s="167"/>
      <c r="T855" s="167"/>
      <c r="U855" s="167"/>
    </row>
    <row r="856" spans="1:21" ht="24" customHeight="1">
      <c r="B856" s="421"/>
      <c r="C856" s="693" t="s">
        <v>1204</v>
      </c>
      <c r="D856" s="693"/>
      <c r="E856" s="693"/>
      <c r="F856" s="693"/>
      <c r="G856" s="693"/>
      <c r="H856" s="693"/>
      <c r="I856" s="693"/>
      <c r="J856" s="693"/>
      <c r="K856" s="693"/>
      <c r="L856" s="693"/>
      <c r="M856" s="634">
        <f t="shared" ref="M856:U856" si="113">-M851</f>
        <v>0</v>
      </c>
      <c r="N856" s="634">
        <f t="shared" si="113"/>
        <v>0</v>
      </c>
      <c r="O856" s="634">
        <f t="shared" si="113"/>
        <v>0</v>
      </c>
      <c r="P856" s="634">
        <f t="shared" si="113"/>
        <v>-32267</v>
      </c>
      <c r="Q856" s="634">
        <f t="shared" si="113"/>
        <v>0</v>
      </c>
      <c r="R856" s="634">
        <f t="shared" si="113"/>
        <v>0</v>
      </c>
      <c r="S856" s="634">
        <f t="shared" si="113"/>
        <v>0</v>
      </c>
      <c r="T856" s="634">
        <f t="shared" si="113"/>
        <v>0</v>
      </c>
      <c r="U856" s="634">
        <f t="shared" si="113"/>
        <v>0</v>
      </c>
    </row>
    <row r="857" spans="1:21" ht="24" customHeight="1">
      <c r="B857" s="360"/>
      <c r="C857" s="691" t="s">
        <v>1436</v>
      </c>
      <c r="D857" s="691"/>
      <c r="E857" s="691"/>
      <c r="F857" s="691"/>
      <c r="G857" s="691"/>
      <c r="H857" s="691"/>
      <c r="I857" s="691"/>
      <c r="J857" s="691"/>
      <c r="K857" s="691"/>
      <c r="L857" s="691"/>
      <c r="M857" s="407">
        <f t="shared" ref="M857:U857" si="114">SUM(M856:M856)</f>
        <v>0</v>
      </c>
      <c r="N857" s="407">
        <f t="shared" si="114"/>
        <v>0</v>
      </c>
      <c r="O857" s="407">
        <f t="shared" si="114"/>
        <v>0</v>
      </c>
      <c r="P857" s="407">
        <f t="shared" si="114"/>
        <v>-32267</v>
      </c>
      <c r="Q857" s="407">
        <f t="shared" si="114"/>
        <v>0</v>
      </c>
      <c r="R857" s="407">
        <f t="shared" si="114"/>
        <v>0</v>
      </c>
      <c r="S857" s="407">
        <f t="shared" si="114"/>
        <v>0</v>
      </c>
      <c r="T857" s="407">
        <f t="shared" si="114"/>
        <v>0</v>
      </c>
      <c r="U857" s="407">
        <f t="shared" si="114"/>
        <v>0</v>
      </c>
    </row>
    <row r="858" spans="1:21" s="630" customFormat="1" ht="15" customHeight="1">
      <c r="A858" s="627"/>
      <c r="B858" s="145"/>
      <c r="C858" s="145"/>
      <c r="D858" s="145"/>
      <c r="E858" s="145"/>
      <c r="F858" s="145"/>
      <c r="G858" s="145"/>
      <c r="H858" s="145"/>
      <c r="I858" s="145"/>
      <c r="J858" s="145"/>
      <c r="K858" s="145"/>
      <c r="L858" s="145"/>
      <c r="M858" s="409"/>
      <c r="N858" s="409"/>
      <c r="O858" s="409"/>
      <c r="P858" s="409"/>
      <c r="Q858" s="409"/>
      <c r="R858" s="409"/>
      <c r="S858" s="409"/>
      <c r="T858" s="409"/>
      <c r="U858" s="409"/>
    </row>
    <row r="859" spans="1:21" s="630" customFormat="1" ht="24" customHeight="1">
      <c r="A859" s="627"/>
      <c r="B859" s="145"/>
      <c r="C859" s="145"/>
      <c r="D859" s="145"/>
      <c r="E859" s="145"/>
      <c r="F859" s="145"/>
      <c r="G859" s="145"/>
      <c r="H859" s="145"/>
      <c r="I859" s="145"/>
      <c r="J859" s="145"/>
      <c r="K859" s="145"/>
      <c r="L859" s="360" t="s">
        <v>425</v>
      </c>
      <c r="M859" s="280">
        <f t="shared" ref="M859:U859" si="115">M841-M854+M857</f>
        <v>36009</v>
      </c>
      <c r="N859" s="280">
        <f t="shared" si="115"/>
        <v>-216710</v>
      </c>
      <c r="O859" s="280">
        <f t="shared" si="115"/>
        <v>20760</v>
      </c>
      <c r="P859" s="280">
        <f t="shared" si="115"/>
        <v>-31131</v>
      </c>
      <c r="Q859" s="280">
        <f t="shared" si="115"/>
        <v>0</v>
      </c>
      <c r="R859" s="280">
        <f t="shared" si="115"/>
        <v>0</v>
      </c>
      <c r="S859" s="280">
        <f t="shared" si="115"/>
        <v>0</v>
      </c>
      <c r="T859" s="280">
        <f t="shared" si="115"/>
        <v>0</v>
      </c>
      <c r="U859" s="280">
        <f t="shared" si="115"/>
        <v>0</v>
      </c>
    </row>
    <row r="860" spans="1:21" s="630" customFormat="1" ht="15" customHeight="1">
      <c r="A860" s="627"/>
      <c r="B860" s="145"/>
      <c r="C860" s="145"/>
      <c r="D860" s="145"/>
      <c r="E860" s="145"/>
      <c r="F860" s="145"/>
      <c r="G860" s="145"/>
      <c r="H860" s="145"/>
      <c r="I860" s="145"/>
      <c r="J860" s="145"/>
      <c r="K860" s="145"/>
      <c r="L860" s="145"/>
      <c r="M860" s="409"/>
      <c r="N860" s="409"/>
      <c r="O860" s="409"/>
      <c r="P860" s="409"/>
      <c r="Q860" s="409"/>
      <c r="R860" s="409"/>
      <c r="S860" s="409"/>
      <c r="T860" s="409"/>
      <c r="U860" s="409"/>
    </row>
    <row r="861" spans="1:21" s="630" customFormat="1" ht="24" customHeight="1">
      <c r="A861" s="627"/>
      <c r="B861" s="694" t="s">
        <v>1435</v>
      </c>
      <c r="C861" s="694"/>
      <c r="D861" s="694"/>
      <c r="E861" s="694"/>
      <c r="F861" s="694"/>
      <c r="G861" s="694"/>
      <c r="H861" s="694"/>
      <c r="I861" s="694"/>
      <c r="J861" s="694"/>
      <c r="K861" s="694"/>
      <c r="L861" s="694"/>
      <c r="M861" s="409">
        <v>247841</v>
      </c>
      <c r="N861" s="409">
        <v>31131</v>
      </c>
      <c r="O861" s="409">
        <v>59959</v>
      </c>
      <c r="P861" s="409">
        <f>N861+P859</f>
        <v>0</v>
      </c>
      <c r="Q861" s="409">
        <f>P861+Q859</f>
        <v>0</v>
      </c>
      <c r="R861" s="409">
        <f>Q861+R859</f>
        <v>0</v>
      </c>
      <c r="S861" s="409">
        <f>R861+S859</f>
        <v>0</v>
      </c>
      <c r="T861" s="409">
        <f>S861+T859</f>
        <v>0</v>
      </c>
      <c r="U861" s="409">
        <f>T861+U859</f>
        <v>0</v>
      </c>
    </row>
    <row r="862" spans="1:21" s="630" customFormat="1" ht="15" customHeight="1">
      <c r="A862" s="627"/>
      <c r="M862" s="408"/>
      <c r="N862" s="408"/>
      <c r="O862" s="409"/>
      <c r="P862" s="409"/>
      <c r="Q862" s="408"/>
      <c r="R862" s="408"/>
      <c r="S862" s="408"/>
      <c r="T862" s="408"/>
      <c r="U862" s="408"/>
    </row>
    <row r="863" spans="1:21" ht="24" customHeight="1">
      <c r="B863" s="102" t="s">
        <v>1294</v>
      </c>
      <c r="C863" s="89"/>
      <c r="D863" s="89"/>
      <c r="E863" s="304"/>
      <c r="F863" s="89"/>
      <c r="G863" s="89"/>
      <c r="H863" s="89"/>
      <c r="I863" s="89"/>
      <c r="J863" s="89"/>
      <c r="K863" s="89"/>
      <c r="L863" s="89"/>
      <c r="M863" s="254"/>
      <c r="N863" s="254"/>
      <c r="O863" s="185"/>
      <c r="P863" s="185"/>
      <c r="Q863" s="255"/>
      <c r="R863" s="255"/>
      <c r="S863" s="255"/>
      <c r="T863" s="255"/>
      <c r="U863" s="255"/>
    </row>
    <row r="864" spans="1:21" ht="15" customHeight="1">
      <c r="B864" s="89"/>
      <c r="C864" s="89"/>
      <c r="D864" s="89"/>
      <c r="E864" s="89"/>
      <c r="F864" s="89"/>
      <c r="G864" s="89"/>
      <c r="H864" s="89"/>
      <c r="I864" s="89"/>
      <c r="J864" s="89"/>
      <c r="K864" s="89"/>
      <c r="L864" s="89"/>
      <c r="M864" s="254"/>
      <c r="N864" s="304"/>
      <c r="O864" s="185"/>
      <c r="P864" s="185"/>
      <c r="Q864" s="255"/>
      <c r="R864" s="255"/>
      <c r="S864" s="255"/>
      <c r="T864" s="255"/>
      <c r="U864" s="255"/>
    </row>
    <row r="865" spans="2:21" ht="24" customHeight="1">
      <c r="B865" s="570" t="s">
        <v>1372</v>
      </c>
      <c r="C865" s="569"/>
      <c r="D865" s="569"/>
      <c r="E865" s="646" t="s">
        <v>1480</v>
      </c>
      <c r="F865" s="569"/>
      <c r="G865" s="569"/>
      <c r="H865" s="569"/>
      <c r="I865" s="569"/>
      <c r="J865" s="569"/>
      <c r="K865" s="569"/>
      <c r="L865" s="569"/>
      <c r="M865" s="440">
        <v>0</v>
      </c>
      <c r="N865" s="440">
        <v>0</v>
      </c>
      <c r="O865" s="452">
        <v>334250</v>
      </c>
      <c r="P865" s="452">
        <v>0</v>
      </c>
      <c r="Q865" s="440">
        <v>0</v>
      </c>
      <c r="R865" s="454">
        <v>0</v>
      </c>
      <c r="S865" s="454">
        <v>0</v>
      </c>
      <c r="T865" s="454">
        <v>0</v>
      </c>
      <c r="U865" s="454">
        <v>0</v>
      </c>
    </row>
    <row r="866" spans="2:21" ht="24" customHeight="1">
      <c r="B866" s="1" t="s">
        <v>711</v>
      </c>
      <c r="C866" s="89"/>
      <c r="D866" s="89"/>
      <c r="E866" s="4" t="s">
        <v>712</v>
      </c>
      <c r="F866" s="89"/>
      <c r="G866" s="89"/>
      <c r="H866" s="89"/>
      <c r="I866" s="89"/>
      <c r="J866" s="89"/>
      <c r="K866" s="89"/>
      <c r="L866" s="89"/>
      <c r="M866" s="240">
        <v>83523</v>
      </c>
      <c r="N866" s="240">
        <v>9549</v>
      </c>
      <c r="O866" s="164">
        <v>90000</v>
      </c>
      <c r="P866" s="164">
        <v>70689</v>
      </c>
      <c r="Q866" s="240">
        <v>90000</v>
      </c>
      <c r="R866" s="208">
        <v>90000</v>
      </c>
      <c r="S866" s="208">
        <v>90000</v>
      </c>
      <c r="T866" s="208">
        <v>90000</v>
      </c>
      <c r="U866" s="208">
        <v>90000</v>
      </c>
    </row>
    <row r="867" spans="2:21" ht="24" customHeight="1">
      <c r="B867" s="1" t="s">
        <v>713</v>
      </c>
      <c r="C867" s="89"/>
      <c r="D867" s="89"/>
      <c r="E867" s="4" t="s">
        <v>714</v>
      </c>
      <c r="F867" s="89"/>
      <c r="G867" s="89"/>
      <c r="H867" s="89"/>
      <c r="I867" s="89"/>
      <c r="J867" s="89"/>
      <c r="K867" s="89"/>
      <c r="L867" s="89"/>
      <c r="M867" s="240">
        <v>129116</v>
      </c>
      <c r="N867" s="240">
        <v>83029</v>
      </c>
      <c r="O867" s="164">
        <v>145000</v>
      </c>
      <c r="P867" s="164">
        <v>125000</v>
      </c>
      <c r="Q867" s="240">
        <v>145000</v>
      </c>
      <c r="R867" s="240">
        <v>145000</v>
      </c>
      <c r="S867" s="240">
        <v>145000</v>
      </c>
      <c r="T867" s="240">
        <v>145000</v>
      </c>
      <c r="U867" s="240">
        <v>145000</v>
      </c>
    </row>
    <row r="868" spans="2:21" ht="24" customHeight="1">
      <c r="B868" s="1" t="s">
        <v>715</v>
      </c>
      <c r="C868" s="89"/>
      <c r="D868" s="89"/>
      <c r="E868" s="4" t="s">
        <v>834</v>
      </c>
      <c r="F868" s="89"/>
      <c r="G868" s="89"/>
      <c r="H868" s="89"/>
      <c r="I868" s="89"/>
      <c r="J868" s="89"/>
      <c r="K868" s="89"/>
      <c r="L868" s="89"/>
      <c r="M868" s="240">
        <v>272906</v>
      </c>
      <c r="N868" s="240">
        <v>259988</v>
      </c>
      <c r="O868" s="164">
        <v>370000</v>
      </c>
      <c r="P868" s="164">
        <v>270000</v>
      </c>
      <c r="Q868" s="240">
        <v>370000</v>
      </c>
      <c r="R868" s="240">
        <v>370000</v>
      </c>
      <c r="S868" s="240">
        <v>370000</v>
      </c>
      <c r="T868" s="240">
        <v>370000</v>
      </c>
      <c r="U868" s="240">
        <v>370000</v>
      </c>
    </row>
    <row r="869" spans="2:21" ht="24" customHeight="1">
      <c r="B869" s="1" t="s">
        <v>347</v>
      </c>
      <c r="C869" s="89"/>
      <c r="D869" s="89"/>
      <c r="E869" s="1" t="s">
        <v>348</v>
      </c>
      <c r="F869" s="89"/>
      <c r="G869" s="89"/>
      <c r="H869" s="89"/>
      <c r="I869" s="89"/>
      <c r="J869" s="89"/>
      <c r="K869" s="89"/>
      <c r="L869" s="89"/>
      <c r="M869" s="240">
        <v>42396</v>
      </c>
      <c r="N869" s="240">
        <v>4642</v>
      </c>
      <c r="O869" s="164">
        <v>45000</v>
      </c>
      <c r="P869" s="164">
        <v>22598</v>
      </c>
      <c r="Q869" s="240">
        <v>45000</v>
      </c>
      <c r="R869" s="240">
        <v>45000</v>
      </c>
      <c r="S869" s="240">
        <v>45000</v>
      </c>
      <c r="T869" s="240">
        <v>45000</v>
      </c>
      <c r="U869" s="240">
        <v>45000</v>
      </c>
    </row>
    <row r="870" spans="2:21" ht="24" customHeight="1">
      <c r="B870" s="1" t="s">
        <v>350</v>
      </c>
      <c r="C870" s="95"/>
      <c r="D870" s="95"/>
      <c r="E870" s="688" t="s">
        <v>6</v>
      </c>
      <c r="F870" s="688"/>
      <c r="G870" s="688"/>
      <c r="H870" s="688"/>
      <c r="I870" s="688"/>
      <c r="J870" s="688"/>
      <c r="K870" s="688"/>
      <c r="L870" s="688"/>
      <c r="M870" s="240">
        <v>1333</v>
      </c>
      <c r="N870" s="240">
        <v>235</v>
      </c>
      <c r="O870" s="164">
        <v>250</v>
      </c>
      <c r="P870" s="164">
        <v>90</v>
      </c>
      <c r="Q870" s="240">
        <v>150</v>
      </c>
      <c r="R870" s="240">
        <v>250</v>
      </c>
      <c r="S870" s="240">
        <v>500</v>
      </c>
      <c r="T870" s="240">
        <v>1000</v>
      </c>
      <c r="U870" s="240">
        <v>1000</v>
      </c>
    </row>
    <row r="871" spans="2:21" ht="24" customHeight="1">
      <c r="B871" s="1" t="s">
        <v>534</v>
      </c>
      <c r="C871" s="95"/>
      <c r="D871" s="95"/>
      <c r="E871" s="95" t="s">
        <v>61</v>
      </c>
      <c r="F871" s="95"/>
      <c r="G871" s="95"/>
      <c r="H871" s="95"/>
      <c r="I871" s="95"/>
      <c r="J871" s="95"/>
      <c r="K871" s="95"/>
      <c r="L871" s="95"/>
      <c r="M871" s="240">
        <v>14147</v>
      </c>
      <c r="N871" s="240">
        <v>5607</v>
      </c>
      <c r="O871" s="164">
        <v>0</v>
      </c>
      <c r="P871" s="164">
        <v>3991</v>
      </c>
      <c r="Q871" s="240">
        <v>0</v>
      </c>
      <c r="R871" s="240">
        <v>0</v>
      </c>
      <c r="S871" s="240">
        <v>0</v>
      </c>
      <c r="T871" s="240">
        <v>0</v>
      </c>
      <c r="U871" s="240">
        <v>0</v>
      </c>
    </row>
    <row r="872" spans="2:21" ht="24" customHeight="1">
      <c r="B872" s="1" t="s">
        <v>351</v>
      </c>
      <c r="C872" s="89"/>
      <c r="D872" s="89"/>
      <c r="E872" s="1" t="s">
        <v>208</v>
      </c>
      <c r="F872" s="89"/>
      <c r="G872" s="89"/>
      <c r="H872" s="89"/>
      <c r="I872" s="89"/>
      <c r="J872" s="89"/>
      <c r="K872" s="89"/>
      <c r="L872" s="89"/>
      <c r="M872" s="228">
        <v>57539</v>
      </c>
      <c r="N872" s="228">
        <v>54976</v>
      </c>
      <c r="O872" s="165">
        <v>66209</v>
      </c>
      <c r="P872" s="165">
        <v>66209</v>
      </c>
      <c r="Q872" s="228">
        <v>68281</v>
      </c>
      <c r="R872" s="228">
        <v>70436</v>
      </c>
      <c r="S872" s="228">
        <v>72678</v>
      </c>
      <c r="T872" s="228">
        <v>75009</v>
      </c>
      <c r="U872" s="228">
        <v>77409</v>
      </c>
    </row>
    <row r="873" spans="2:21" ht="24" customHeight="1">
      <c r="B873" s="1" t="s">
        <v>525</v>
      </c>
      <c r="C873" s="89"/>
      <c r="D873" s="89"/>
      <c r="E873" s="1" t="s">
        <v>699</v>
      </c>
      <c r="F873" s="89"/>
      <c r="G873" s="89"/>
      <c r="H873" s="89"/>
      <c r="I873" s="89"/>
      <c r="J873" s="89"/>
      <c r="K873" s="89"/>
      <c r="L873" s="89"/>
      <c r="M873" s="228">
        <v>18259</v>
      </c>
      <c r="N873" s="228">
        <v>1746</v>
      </c>
      <c r="O873" s="165">
        <v>17500</v>
      </c>
      <c r="P873" s="165">
        <v>11000</v>
      </c>
      <c r="Q873" s="228">
        <v>17500</v>
      </c>
      <c r="R873" s="228">
        <v>17500</v>
      </c>
      <c r="S873" s="228">
        <v>17500</v>
      </c>
      <c r="T873" s="228">
        <v>17500</v>
      </c>
      <c r="U873" s="228">
        <v>17500</v>
      </c>
    </row>
    <row r="874" spans="2:21" ht="24" customHeight="1">
      <c r="B874" s="1" t="s">
        <v>727</v>
      </c>
      <c r="C874" s="89"/>
      <c r="D874" s="89"/>
      <c r="E874" s="1" t="s">
        <v>349</v>
      </c>
      <c r="F874" s="89"/>
      <c r="G874" s="89"/>
      <c r="H874" s="89"/>
      <c r="I874" s="89"/>
      <c r="J874" s="89"/>
      <c r="K874" s="89"/>
      <c r="L874" s="89"/>
      <c r="M874" s="240">
        <v>124328</v>
      </c>
      <c r="N874" s="240">
        <v>0</v>
      </c>
      <c r="O874" s="164">
        <v>120000</v>
      </c>
      <c r="P874" s="164">
        <v>145676</v>
      </c>
      <c r="Q874" s="240">
        <v>120000</v>
      </c>
      <c r="R874" s="240">
        <v>120000</v>
      </c>
      <c r="S874" s="240">
        <v>120000</v>
      </c>
      <c r="T874" s="240">
        <v>120000</v>
      </c>
      <c r="U874" s="240">
        <v>120000</v>
      </c>
    </row>
    <row r="875" spans="2:21" ht="24" customHeight="1">
      <c r="B875" s="1" t="s">
        <v>352</v>
      </c>
      <c r="C875" s="89"/>
      <c r="D875" s="89"/>
      <c r="E875" s="1" t="s">
        <v>835</v>
      </c>
      <c r="F875" s="89"/>
      <c r="G875" s="89"/>
      <c r="H875" s="89"/>
      <c r="I875" s="89"/>
      <c r="J875" s="89"/>
      <c r="K875" s="89"/>
      <c r="L875" s="89"/>
      <c r="M875" s="228">
        <v>18154</v>
      </c>
      <c r="N875" s="228">
        <v>3745</v>
      </c>
      <c r="O875" s="165">
        <v>15000</v>
      </c>
      <c r="P875" s="165">
        <v>8000</v>
      </c>
      <c r="Q875" s="228">
        <v>15000</v>
      </c>
      <c r="R875" s="228">
        <v>15000</v>
      </c>
      <c r="S875" s="228">
        <v>15000</v>
      </c>
      <c r="T875" s="228">
        <v>15000</v>
      </c>
      <c r="U875" s="228">
        <v>15000</v>
      </c>
    </row>
    <row r="876" spans="2:21" ht="24" customHeight="1">
      <c r="B876" s="1" t="s">
        <v>353</v>
      </c>
      <c r="C876" s="89"/>
      <c r="D876" s="89"/>
      <c r="E876" s="1" t="s">
        <v>7</v>
      </c>
      <c r="F876" s="89"/>
      <c r="G876" s="89"/>
      <c r="H876" s="89"/>
      <c r="I876" s="89"/>
      <c r="J876" s="89"/>
      <c r="K876" s="89"/>
      <c r="L876" s="89"/>
      <c r="M876" s="261">
        <v>5150</v>
      </c>
      <c r="N876" s="261">
        <v>7551</v>
      </c>
      <c r="O876" s="167">
        <v>5000</v>
      </c>
      <c r="P876" s="167">
        <v>5100</v>
      </c>
      <c r="Q876" s="261">
        <v>5000</v>
      </c>
      <c r="R876" s="225">
        <v>5000</v>
      </c>
      <c r="S876" s="225">
        <v>5000</v>
      </c>
      <c r="T876" s="225">
        <v>5000</v>
      </c>
      <c r="U876" s="225">
        <v>5000</v>
      </c>
    </row>
    <row r="877" spans="2:21" ht="24" customHeight="1">
      <c r="B877" s="689" t="s">
        <v>1235</v>
      </c>
      <c r="C877" s="689"/>
      <c r="D877" s="689"/>
      <c r="E877" s="689"/>
      <c r="F877" s="689"/>
      <c r="G877" s="689"/>
      <c r="H877" s="689"/>
      <c r="I877" s="689"/>
      <c r="J877" s="689"/>
      <c r="K877" s="689"/>
      <c r="L877" s="689"/>
      <c r="M877" s="410">
        <f t="shared" ref="M877:U877" si="116">SUM(M865:M876)</f>
        <v>766851</v>
      </c>
      <c r="N877" s="410">
        <f t="shared" si="116"/>
        <v>431068</v>
      </c>
      <c r="O877" s="407">
        <f t="shared" si="116"/>
        <v>1208209</v>
      </c>
      <c r="P877" s="407">
        <f t="shared" si="116"/>
        <v>728353</v>
      </c>
      <c r="Q877" s="410">
        <f t="shared" si="116"/>
        <v>875931</v>
      </c>
      <c r="R877" s="410">
        <f t="shared" si="116"/>
        <v>878186</v>
      </c>
      <c r="S877" s="410">
        <f t="shared" si="116"/>
        <v>880678</v>
      </c>
      <c r="T877" s="410">
        <f t="shared" si="116"/>
        <v>883509</v>
      </c>
      <c r="U877" s="410">
        <f t="shared" si="116"/>
        <v>885909</v>
      </c>
    </row>
    <row r="878" spans="2:21" ht="6.9" customHeight="1">
      <c r="B878" s="468"/>
      <c r="C878" s="470"/>
      <c r="D878" s="470"/>
      <c r="E878" s="468"/>
      <c r="F878" s="470"/>
      <c r="G878" s="470"/>
      <c r="H878" s="470"/>
      <c r="I878" s="470"/>
      <c r="J878" s="470"/>
      <c r="K878" s="470"/>
      <c r="L878" s="470"/>
      <c r="M878" s="220"/>
      <c r="N878" s="240"/>
      <c r="O878" s="164"/>
      <c r="P878" s="164"/>
      <c r="Q878" s="240"/>
      <c r="R878" s="208"/>
      <c r="S878" s="208"/>
      <c r="T878" s="208"/>
      <c r="U878" s="208"/>
    </row>
    <row r="879" spans="2:21" ht="24" customHeight="1">
      <c r="B879" s="1" t="s">
        <v>354</v>
      </c>
      <c r="C879" s="95"/>
      <c r="D879" s="95"/>
      <c r="E879" s="1" t="s">
        <v>238</v>
      </c>
      <c r="F879" s="95"/>
      <c r="G879" s="95"/>
      <c r="H879" s="95"/>
      <c r="I879" s="95"/>
      <c r="J879" s="95"/>
      <c r="K879" s="95"/>
      <c r="L879" s="95"/>
      <c r="M879" s="436">
        <v>1410988</v>
      </c>
      <c r="N879" s="436">
        <v>1473433</v>
      </c>
      <c r="O879" s="449">
        <v>1434849</v>
      </c>
      <c r="P879" s="449">
        <f>1434849+141972+36642+1729+140538+225</f>
        <v>1755955</v>
      </c>
      <c r="Q879" s="436">
        <f>2339746+3000+5817+15493-233117-2072+20000+30674</f>
        <v>2179541</v>
      </c>
      <c r="R879" s="436">
        <f>2164558+3000+5000+2500+17464-5155+20000+28875</f>
        <v>2236242</v>
      </c>
      <c r="S879" s="436">
        <f>2293053+3000+5000+2500+15477+20000-2242+31316-180</f>
        <v>2367924</v>
      </c>
      <c r="T879" s="436">
        <f>2640365+3000+5000+5561-259509+20000-2331+33375+200</f>
        <v>2445661</v>
      </c>
      <c r="U879" s="436">
        <f>2535691+3000+5000+2500-87494+20000-2400+36207</f>
        <v>2512504</v>
      </c>
    </row>
    <row r="880" spans="2:21" ht="24" customHeight="1">
      <c r="B880" s="689" t="s">
        <v>592</v>
      </c>
      <c r="C880" s="689"/>
      <c r="D880" s="689"/>
      <c r="E880" s="689"/>
      <c r="F880" s="689"/>
      <c r="G880" s="689"/>
      <c r="H880" s="689"/>
      <c r="I880" s="689"/>
      <c r="J880" s="689"/>
      <c r="K880" s="689"/>
      <c r="L880" s="689"/>
      <c r="M880" s="410">
        <f t="shared" ref="M880:U880" si="117">SUM(M879)</f>
        <v>1410988</v>
      </c>
      <c r="N880" s="410">
        <f t="shared" si="117"/>
        <v>1473433</v>
      </c>
      <c r="O880" s="407">
        <f t="shared" si="117"/>
        <v>1434849</v>
      </c>
      <c r="P880" s="407">
        <f t="shared" si="117"/>
        <v>1755955</v>
      </c>
      <c r="Q880" s="406">
        <f t="shared" si="117"/>
        <v>2179541</v>
      </c>
      <c r="R880" s="406">
        <f t="shared" si="117"/>
        <v>2236242</v>
      </c>
      <c r="S880" s="406">
        <f t="shared" si="117"/>
        <v>2367924</v>
      </c>
      <c r="T880" s="406">
        <f t="shared" si="117"/>
        <v>2445661</v>
      </c>
      <c r="U880" s="406">
        <f t="shared" si="117"/>
        <v>2512504</v>
      </c>
    </row>
    <row r="881" spans="1:21" ht="15" customHeight="1">
      <c r="B881" s="89"/>
      <c r="C881" s="89"/>
      <c r="D881" s="89"/>
      <c r="E881" s="89"/>
      <c r="F881" s="89"/>
      <c r="G881" s="89"/>
      <c r="H881" s="89"/>
      <c r="I881" s="89"/>
      <c r="J881" s="89"/>
      <c r="K881" s="89"/>
      <c r="L881" s="89"/>
      <c r="M881" s="256"/>
      <c r="N881" s="256"/>
      <c r="O881" s="354"/>
      <c r="P881" s="354"/>
      <c r="Q881" s="560"/>
      <c r="R881" s="267"/>
      <c r="S881" s="267"/>
      <c r="T881" s="267"/>
      <c r="U881" s="267"/>
    </row>
    <row r="882" spans="1:21" s="89" customFormat="1" ht="24" customHeight="1">
      <c r="A882" s="576"/>
      <c r="B882" s="689" t="s">
        <v>1253</v>
      </c>
      <c r="C882" s="689"/>
      <c r="D882" s="689"/>
      <c r="E882" s="689"/>
      <c r="F882" s="689"/>
      <c r="G882" s="689"/>
      <c r="H882" s="689"/>
      <c r="I882" s="689"/>
      <c r="J882" s="689"/>
      <c r="K882" s="689"/>
      <c r="L882" s="689"/>
      <c r="M882" s="408">
        <f t="shared" ref="M882:U882" si="118">M877+M880</f>
        <v>2177839</v>
      </c>
      <c r="N882" s="408">
        <f t="shared" si="118"/>
        <v>1904501</v>
      </c>
      <c r="O882" s="409">
        <f t="shared" si="118"/>
        <v>2643058</v>
      </c>
      <c r="P882" s="409">
        <f t="shared" si="118"/>
        <v>2484308</v>
      </c>
      <c r="Q882" s="425">
        <f t="shared" si="118"/>
        <v>3055472</v>
      </c>
      <c r="R882" s="425">
        <f t="shared" si="118"/>
        <v>3114428</v>
      </c>
      <c r="S882" s="425">
        <f t="shared" si="118"/>
        <v>3248602</v>
      </c>
      <c r="T882" s="425">
        <f t="shared" si="118"/>
        <v>3329170</v>
      </c>
      <c r="U882" s="425">
        <f t="shared" si="118"/>
        <v>3398413</v>
      </c>
    </row>
    <row r="883" spans="1:21" s="355" customFormat="1" ht="15" customHeight="1">
      <c r="A883" s="589"/>
      <c r="B883" s="305"/>
      <c r="C883" s="305"/>
      <c r="L883" s="356"/>
      <c r="M883" s="442"/>
      <c r="N883" s="442"/>
      <c r="O883" s="458"/>
      <c r="P883" s="458"/>
      <c r="Q883" s="442"/>
      <c r="R883" s="442"/>
      <c r="S883" s="442"/>
      <c r="T883" s="442"/>
      <c r="U883" s="442"/>
    </row>
    <row r="884" spans="1:21" ht="24" customHeight="1">
      <c r="B884" s="98" t="s">
        <v>472</v>
      </c>
      <c r="C884" s="89"/>
      <c r="D884" s="89"/>
      <c r="E884" s="89"/>
      <c r="F884" s="89"/>
      <c r="G884" s="89"/>
      <c r="H884" s="89"/>
      <c r="I884" s="89"/>
      <c r="J884" s="89"/>
      <c r="K884" s="89"/>
      <c r="L884" s="89"/>
      <c r="M884" s="439"/>
      <c r="N884" s="439"/>
      <c r="O884" s="455"/>
      <c r="P884" s="455"/>
      <c r="Q884" s="441"/>
      <c r="R884" s="441"/>
      <c r="S884" s="441"/>
      <c r="T884" s="441"/>
      <c r="U884" s="441"/>
    </row>
    <row r="885" spans="1:21" ht="24" customHeight="1">
      <c r="B885" s="1" t="s">
        <v>355</v>
      </c>
      <c r="C885" s="95"/>
      <c r="D885" s="95"/>
      <c r="E885" s="1" t="s">
        <v>722</v>
      </c>
      <c r="F885" s="95"/>
      <c r="G885" s="95"/>
      <c r="H885" s="95"/>
      <c r="I885" s="95"/>
      <c r="J885" s="95"/>
      <c r="K885" s="95"/>
      <c r="L885" s="95"/>
      <c r="M885" s="404">
        <v>539106</v>
      </c>
      <c r="N885" s="404">
        <v>587260</v>
      </c>
      <c r="O885" s="405">
        <v>659709</v>
      </c>
      <c r="P885" s="405">
        <v>650000</v>
      </c>
      <c r="Q885" s="404">
        <v>698640</v>
      </c>
      <c r="R885" s="404">
        <v>719599</v>
      </c>
      <c r="S885" s="404">
        <v>741187</v>
      </c>
      <c r="T885" s="404">
        <v>763423</v>
      </c>
      <c r="U885" s="404">
        <v>786326</v>
      </c>
    </row>
    <row r="886" spans="1:21" ht="24" customHeight="1">
      <c r="B886" s="1" t="s">
        <v>356</v>
      </c>
      <c r="C886" s="89"/>
      <c r="D886" s="89"/>
      <c r="E886" s="1" t="s">
        <v>66</v>
      </c>
      <c r="F886" s="89"/>
      <c r="G886" s="89"/>
      <c r="H886" s="89"/>
      <c r="I886" s="89"/>
      <c r="J886" s="89"/>
      <c r="K886" s="89"/>
      <c r="L886" s="89"/>
      <c r="M886" s="228">
        <v>48917</v>
      </c>
      <c r="N886" s="228">
        <v>11294</v>
      </c>
      <c r="O886" s="165">
        <v>62500</v>
      </c>
      <c r="P886" s="165">
        <v>62500</v>
      </c>
      <c r="Q886" s="228">
        <v>67250</v>
      </c>
      <c r="R886" s="228">
        <v>68250</v>
      </c>
      <c r="S886" s="228">
        <v>69250</v>
      </c>
      <c r="T886" s="228">
        <v>70250</v>
      </c>
      <c r="U886" s="228">
        <v>71250</v>
      </c>
    </row>
    <row r="887" spans="1:21" ht="24" customHeight="1">
      <c r="B887" s="1" t="s">
        <v>357</v>
      </c>
      <c r="C887" s="95"/>
      <c r="D887" s="95"/>
      <c r="E887" s="1" t="s">
        <v>14</v>
      </c>
      <c r="F887" s="95"/>
      <c r="G887" s="95"/>
      <c r="H887" s="95"/>
      <c r="I887" s="95"/>
      <c r="J887" s="95"/>
      <c r="K887" s="95"/>
      <c r="L887" s="95"/>
      <c r="M887" s="240">
        <v>3594</v>
      </c>
      <c r="N887" s="240">
        <v>1959</v>
      </c>
      <c r="O887" s="164">
        <v>5000</v>
      </c>
      <c r="P887" s="164">
        <v>5000</v>
      </c>
      <c r="Q887" s="240">
        <v>5000</v>
      </c>
      <c r="R887" s="240">
        <v>5000</v>
      </c>
      <c r="S887" s="240">
        <v>5000</v>
      </c>
      <c r="T887" s="240">
        <v>5000</v>
      </c>
      <c r="U887" s="240">
        <v>5000</v>
      </c>
    </row>
    <row r="888" spans="1:21" ht="24" customHeight="1">
      <c r="B888" s="1" t="s">
        <v>358</v>
      </c>
      <c r="C888" s="95"/>
      <c r="D888" s="95"/>
      <c r="E888" s="1" t="s">
        <v>8</v>
      </c>
      <c r="F888" s="95"/>
      <c r="G888" s="95"/>
      <c r="H888" s="95"/>
      <c r="I888" s="95"/>
      <c r="J888" s="95"/>
      <c r="K888" s="95"/>
      <c r="L888" s="95"/>
      <c r="M888" s="228">
        <v>54761</v>
      </c>
      <c r="N888" s="228">
        <v>67663</v>
      </c>
      <c r="O888" s="165">
        <v>70935</v>
      </c>
      <c r="P888" s="165">
        <v>70935</v>
      </c>
      <c r="Q888" s="228">
        <v>64943</v>
      </c>
      <c r="R888" s="240">
        <v>67098</v>
      </c>
      <c r="S888" s="240">
        <v>71186</v>
      </c>
      <c r="T888" s="240">
        <v>75459</v>
      </c>
      <c r="U888" s="240">
        <v>80082</v>
      </c>
    </row>
    <row r="889" spans="1:21" ht="24" customHeight="1">
      <c r="B889" s="1" t="s">
        <v>359</v>
      </c>
      <c r="C889" s="89"/>
      <c r="D889" s="89"/>
      <c r="E889" s="1" t="s">
        <v>9</v>
      </c>
      <c r="F889" s="89"/>
      <c r="G889" s="89"/>
      <c r="H889" s="89"/>
      <c r="I889" s="89"/>
      <c r="J889" s="89"/>
      <c r="K889" s="89"/>
      <c r="L889" s="89"/>
      <c r="M889" s="228">
        <v>43472</v>
      </c>
      <c r="N889" s="228">
        <v>45274</v>
      </c>
      <c r="O889" s="165">
        <v>53594</v>
      </c>
      <c r="P889" s="165">
        <v>53594</v>
      </c>
      <c r="Q889" s="228">
        <v>57313</v>
      </c>
      <c r="R889" s="228">
        <v>59032</v>
      </c>
      <c r="S889" s="228">
        <v>60803</v>
      </c>
      <c r="T889" s="228">
        <v>62627</v>
      </c>
      <c r="U889" s="228">
        <v>64506</v>
      </c>
    </row>
    <row r="890" spans="1:21" ht="24" customHeight="1">
      <c r="B890" s="1" t="s">
        <v>458</v>
      </c>
      <c r="C890" s="89"/>
      <c r="D890" s="89"/>
      <c r="E890" s="1" t="s">
        <v>13</v>
      </c>
      <c r="F890" s="89"/>
      <c r="G890" s="89"/>
      <c r="H890" s="89"/>
      <c r="I890" s="89"/>
      <c r="J890" s="89"/>
      <c r="K890" s="89"/>
      <c r="L890" s="89"/>
      <c r="M890" s="228">
        <v>153228</v>
      </c>
      <c r="N890" s="228">
        <v>143220</v>
      </c>
      <c r="O890" s="165">
        <v>173195</v>
      </c>
      <c r="P890" s="165">
        <v>149355</v>
      </c>
      <c r="Q890" s="228">
        <v>163125</v>
      </c>
      <c r="R890" s="228">
        <v>176175</v>
      </c>
      <c r="S890" s="228">
        <v>190269</v>
      </c>
      <c r="T890" s="228">
        <v>205491</v>
      </c>
      <c r="U890" s="228">
        <v>221930</v>
      </c>
    </row>
    <row r="891" spans="1:21" ht="24" customHeight="1">
      <c r="B891" s="1" t="s">
        <v>459</v>
      </c>
      <c r="C891" s="89"/>
      <c r="D891" s="89"/>
      <c r="E891" s="1" t="s">
        <v>161</v>
      </c>
      <c r="F891" s="89"/>
      <c r="G891" s="89"/>
      <c r="H891" s="89"/>
      <c r="I891" s="89"/>
      <c r="J891" s="89"/>
      <c r="K891" s="89"/>
      <c r="L891" s="89"/>
      <c r="M891" s="228">
        <v>617</v>
      </c>
      <c r="N891" s="228">
        <v>645</v>
      </c>
      <c r="O891" s="165">
        <v>1149</v>
      </c>
      <c r="P891" s="165">
        <v>1029</v>
      </c>
      <c r="Q891" s="228">
        <v>1138</v>
      </c>
      <c r="R891" s="240">
        <v>1149</v>
      </c>
      <c r="S891" s="240">
        <v>1160</v>
      </c>
      <c r="T891" s="240">
        <v>1172</v>
      </c>
      <c r="U891" s="240">
        <v>1184</v>
      </c>
    </row>
    <row r="892" spans="1:21" ht="24" customHeight="1">
      <c r="B892" s="1" t="s">
        <v>460</v>
      </c>
      <c r="C892" s="89"/>
      <c r="D892" s="89"/>
      <c r="E892" s="1" t="s">
        <v>461</v>
      </c>
      <c r="F892" s="89"/>
      <c r="G892" s="89"/>
      <c r="H892" s="89"/>
      <c r="I892" s="89"/>
      <c r="J892" s="89"/>
      <c r="K892" s="89"/>
      <c r="L892" s="89"/>
      <c r="M892" s="228">
        <v>10748</v>
      </c>
      <c r="N892" s="228">
        <v>9545</v>
      </c>
      <c r="O892" s="165">
        <v>11605</v>
      </c>
      <c r="P892" s="165">
        <v>10794</v>
      </c>
      <c r="Q892" s="228">
        <v>12469</v>
      </c>
      <c r="R892" s="240">
        <v>13092</v>
      </c>
      <c r="S892" s="240">
        <v>13747</v>
      </c>
      <c r="T892" s="240">
        <v>14434</v>
      </c>
      <c r="U892" s="240">
        <v>15156</v>
      </c>
    </row>
    <row r="893" spans="1:21" ht="24" customHeight="1">
      <c r="B893" s="1" t="s">
        <v>470</v>
      </c>
      <c r="C893" s="89"/>
      <c r="D893" s="89"/>
      <c r="E893" s="1" t="s">
        <v>463</v>
      </c>
      <c r="F893" s="89"/>
      <c r="G893" s="89"/>
      <c r="H893" s="89"/>
      <c r="I893" s="89"/>
      <c r="J893" s="89"/>
      <c r="K893" s="89"/>
      <c r="L893" s="89"/>
      <c r="M893" s="228">
        <v>1510</v>
      </c>
      <c r="N893" s="228">
        <v>1544</v>
      </c>
      <c r="O893" s="164">
        <v>1734</v>
      </c>
      <c r="P893" s="165">
        <v>1616</v>
      </c>
      <c r="Q893" s="240">
        <v>1826</v>
      </c>
      <c r="R893" s="240">
        <v>1881</v>
      </c>
      <c r="S893" s="240">
        <v>1937</v>
      </c>
      <c r="T893" s="240">
        <v>1995</v>
      </c>
      <c r="U893" s="240">
        <v>2055</v>
      </c>
    </row>
    <row r="894" spans="1:21" ht="24" customHeight="1">
      <c r="B894" s="1" t="s">
        <v>360</v>
      </c>
      <c r="C894" s="95"/>
      <c r="D894" s="95"/>
      <c r="E894" s="1" t="s">
        <v>86</v>
      </c>
      <c r="F894" s="95"/>
      <c r="G894" s="95"/>
      <c r="H894" s="95"/>
      <c r="I894" s="95"/>
      <c r="J894" s="95"/>
      <c r="K894" s="95"/>
      <c r="L894" s="95"/>
      <c r="M894" s="240">
        <v>4249</v>
      </c>
      <c r="N894" s="240">
        <v>23</v>
      </c>
      <c r="O894" s="164">
        <v>9000</v>
      </c>
      <c r="P894" s="164">
        <v>3000</v>
      </c>
      <c r="Q894" s="240">
        <v>9000</v>
      </c>
      <c r="R894" s="240">
        <v>8000</v>
      </c>
      <c r="S894" s="240">
        <v>8000</v>
      </c>
      <c r="T894" s="240">
        <v>8000</v>
      </c>
      <c r="U894" s="240">
        <v>8000</v>
      </c>
    </row>
    <row r="895" spans="1:21" ht="24" customHeight="1">
      <c r="B895" s="1" t="s">
        <v>361</v>
      </c>
      <c r="C895" s="95"/>
      <c r="D895" s="95"/>
      <c r="E895" s="1" t="s">
        <v>828</v>
      </c>
      <c r="F895" s="95"/>
      <c r="G895" s="95"/>
      <c r="H895" s="95"/>
      <c r="I895" s="95"/>
      <c r="J895" s="95"/>
      <c r="K895" s="95"/>
      <c r="L895" s="95"/>
      <c r="M895" s="240">
        <v>0</v>
      </c>
      <c r="N895" s="240">
        <v>6</v>
      </c>
      <c r="O895" s="164">
        <v>3000</v>
      </c>
      <c r="P895" s="164">
        <v>0</v>
      </c>
      <c r="Q895" s="240">
        <v>3000</v>
      </c>
      <c r="R895" s="240">
        <v>3000</v>
      </c>
      <c r="S895" s="240">
        <v>3000</v>
      </c>
      <c r="T895" s="240">
        <v>3000</v>
      </c>
      <c r="U895" s="240">
        <v>3000</v>
      </c>
    </row>
    <row r="896" spans="1:21" ht="24" customHeight="1">
      <c r="B896" s="1" t="s">
        <v>866</v>
      </c>
      <c r="C896" s="95"/>
      <c r="D896" s="95"/>
      <c r="E896" s="1" t="s">
        <v>785</v>
      </c>
      <c r="F896" s="95"/>
      <c r="G896" s="95"/>
      <c r="H896" s="95"/>
      <c r="I896" s="95"/>
      <c r="J896" s="95"/>
      <c r="K896" s="95"/>
      <c r="L896" s="95"/>
      <c r="M896" s="240">
        <v>0</v>
      </c>
      <c r="N896" s="240">
        <v>385000</v>
      </c>
      <c r="O896" s="164">
        <v>88866</v>
      </c>
      <c r="P896" s="164">
        <v>88866</v>
      </c>
      <c r="Q896" s="240">
        <v>154854</v>
      </c>
      <c r="R896" s="240">
        <v>277774</v>
      </c>
      <c r="S896" s="240">
        <v>338774</v>
      </c>
      <c r="T896" s="240">
        <v>323774</v>
      </c>
      <c r="U896" s="240">
        <v>323774</v>
      </c>
    </row>
    <row r="897" spans="1:21" ht="24" customHeight="1">
      <c r="B897" s="1" t="s">
        <v>1052</v>
      </c>
      <c r="C897" s="89"/>
      <c r="D897" s="89"/>
      <c r="E897" s="316" t="s">
        <v>1045</v>
      </c>
      <c r="F897" s="89"/>
      <c r="G897" s="89"/>
      <c r="H897" s="89"/>
      <c r="I897" s="89"/>
      <c r="J897" s="89"/>
      <c r="K897" s="89"/>
      <c r="L897" s="89"/>
      <c r="M897" s="228">
        <v>8209</v>
      </c>
      <c r="N897" s="228">
        <v>0</v>
      </c>
      <c r="O897" s="165">
        <v>0</v>
      </c>
      <c r="P897" s="165">
        <v>0</v>
      </c>
      <c r="Q897" s="228">
        <v>10814</v>
      </c>
      <c r="R897" s="228">
        <v>959</v>
      </c>
      <c r="S897" s="228">
        <v>0</v>
      </c>
      <c r="T897" s="228">
        <v>11816</v>
      </c>
      <c r="U897" s="228">
        <v>1048</v>
      </c>
    </row>
    <row r="898" spans="1:21" ht="24" customHeight="1">
      <c r="B898" s="1" t="s">
        <v>362</v>
      </c>
      <c r="C898" s="89"/>
      <c r="D898" s="89"/>
      <c r="E898" s="1" t="s">
        <v>209</v>
      </c>
      <c r="F898" s="89"/>
      <c r="G898" s="89"/>
      <c r="H898" s="89"/>
      <c r="I898" s="89"/>
      <c r="J898" s="89"/>
      <c r="K898" s="89"/>
      <c r="L898" s="89"/>
      <c r="M898" s="240">
        <v>8367</v>
      </c>
      <c r="N898" s="240">
        <v>8875</v>
      </c>
      <c r="O898" s="164">
        <v>8250</v>
      </c>
      <c r="P898" s="164">
        <v>9000</v>
      </c>
      <c r="Q898" s="240">
        <v>9000</v>
      </c>
      <c r="R898" s="240">
        <v>9000</v>
      </c>
      <c r="S898" s="240">
        <v>9000</v>
      </c>
      <c r="T898" s="240">
        <v>9000</v>
      </c>
      <c r="U898" s="240">
        <v>9000</v>
      </c>
    </row>
    <row r="899" spans="1:21" ht="24" customHeight="1">
      <c r="B899" s="1" t="s">
        <v>363</v>
      </c>
      <c r="C899" s="89"/>
      <c r="D899" s="89"/>
      <c r="E899" s="1" t="s">
        <v>10</v>
      </c>
      <c r="F899" s="89"/>
      <c r="G899" s="89"/>
      <c r="H899" s="89"/>
      <c r="I899" s="89"/>
      <c r="J899" s="89"/>
      <c r="K899" s="89"/>
      <c r="L899" s="89"/>
      <c r="M899" s="240">
        <v>7960</v>
      </c>
      <c r="N899" s="240">
        <v>10189</v>
      </c>
      <c r="O899" s="164">
        <v>11400</v>
      </c>
      <c r="P899" s="164">
        <v>11400</v>
      </c>
      <c r="Q899" s="240">
        <v>11400</v>
      </c>
      <c r="R899" s="240">
        <v>11400</v>
      </c>
      <c r="S899" s="240">
        <v>11400</v>
      </c>
      <c r="T899" s="240">
        <v>11400</v>
      </c>
      <c r="U899" s="240">
        <v>11400</v>
      </c>
    </row>
    <row r="900" spans="1:21" ht="24" customHeight="1">
      <c r="B900" s="1" t="s">
        <v>364</v>
      </c>
      <c r="C900" s="89"/>
      <c r="D900" s="89"/>
      <c r="E900" s="1" t="s">
        <v>120</v>
      </c>
      <c r="F900" s="89"/>
      <c r="G900" s="89"/>
      <c r="H900" s="89"/>
      <c r="I900" s="89"/>
      <c r="J900" s="89"/>
      <c r="K900" s="89"/>
      <c r="L900" s="89"/>
      <c r="M900" s="240">
        <v>591</v>
      </c>
      <c r="N900" s="240">
        <v>270</v>
      </c>
      <c r="O900" s="164">
        <v>1000</v>
      </c>
      <c r="P900" s="164">
        <v>500</v>
      </c>
      <c r="Q900" s="240">
        <v>1000</v>
      </c>
      <c r="R900" s="240">
        <v>1000</v>
      </c>
      <c r="S900" s="240">
        <v>1000</v>
      </c>
      <c r="T900" s="240">
        <v>1000</v>
      </c>
      <c r="U900" s="240">
        <v>1000</v>
      </c>
    </row>
    <row r="901" spans="1:21" ht="24" customHeight="1">
      <c r="B901" s="1" t="s">
        <v>365</v>
      </c>
      <c r="C901" s="95"/>
      <c r="D901" s="95"/>
      <c r="E901" s="1" t="s">
        <v>81</v>
      </c>
      <c r="F901" s="95"/>
      <c r="G901" s="95"/>
      <c r="H901" s="95"/>
      <c r="I901" s="95"/>
      <c r="J901" s="95"/>
      <c r="K901" s="95"/>
      <c r="L901" s="95"/>
      <c r="M901" s="240">
        <v>1691</v>
      </c>
      <c r="N901" s="240">
        <v>2176</v>
      </c>
      <c r="O901" s="164">
        <v>8055</v>
      </c>
      <c r="P901" s="164">
        <v>8055</v>
      </c>
      <c r="Q901" s="240">
        <v>8428</v>
      </c>
      <c r="R901" s="240">
        <v>8720</v>
      </c>
      <c r="S901" s="240">
        <v>9026</v>
      </c>
      <c r="T901" s="240">
        <v>9347</v>
      </c>
      <c r="U901" s="240">
        <v>9685</v>
      </c>
    </row>
    <row r="902" spans="1:21" ht="24" customHeight="1">
      <c r="B902" s="1" t="s">
        <v>990</v>
      </c>
      <c r="C902" s="89"/>
      <c r="D902" s="89"/>
      <c r="E902" s="155" t="s">
        <v>82</v>
      </c>
      <c r="F902" s="89"/>
      <c r="G902" s="89"/>
      <c r="H902" s="89"/>
      <c r="I902" s="89"/>
      <c r="J902" s="89"/>
      <c r="K902" s="89"/>
      <c r="L902" s="89"/>
      <c r="M902" s="228">
        <v>2341</v>
      </c>
      <c r="N902" s="228">
        <v>3504</v>
      </c>
      <c r="O902" s="165">
        <v>3487</v>
      </c>
      <c r="P902" s="165">
        <v>4244</v>
      </c>
      <c r="Q902" s="228">
        <v>4456</v>
      </c>
      <c r="R902" s="228">
        <v>4590</v>
      </c>
      <c r="S902" s="228">
        <v>4728</v>
      </c>
      <c r="T902" s="228">
        <v>4870</v>
      </c>
      <c r="U902" s="228">
        <v>5016</v>
      </c>
    </row>
    <row r="903" spans="1:21" ht="24" customHeight="1">
      <c r="B903" s="1" t="s">
        <v>526</v>
      </c>
      <c r="C903" s="95"/>
      <c r="D903" s="95"/>
      <c r="E903" s="1" t="s">
        <v>832</v>
      </c>
      <c r="F903" s="95"/>
      <c r="G903" s="95"/>
      <c r="H903" s="95"/>
      <c r="I903" s="95"/>
      <c r="J903" s="95"/>
      <c r="K903" s="95"/>
      <c r="L903" s="95"/>
      <c r="M903" s="240">
        <v>32234</v>
      </c>
      <c r="N903" s="240">
        <v>21656</v>
      </c>
      <c r="O903" s="164">
        <v>40000</v>
      </c>
      <c r="P903" s="164">
        <v>40000</v>
      </c>
      <c r="Q903" s="240">
        <v>40000</v>
      </c>
      <c r="R903" s="240">
        <v>40000</v>
      </c>
      <c r="S903" s="240">
        <v>40000</v>
      </c>
      <c r="T903" s="240">
        <v>40000</v>
      </c>
      <c r="U903" s="240">
        <v>40000</v>
      </c>
    </row>
    <row r="904" spans="1:21" ht="24" customHeight="1">
      <c r="B904" s="1" t="s">
        <v>366</v>
      </c>
      <c r="C904" s="95"/>
      <c r="D904" s="95"/>
      <c r="E904" s="1" t="s">
        <v>89</v>
      </c>
      <c r="F904" s="95"/>
      <c r="G904" s="95"/>
      <c r="H904" s="95"/>
      <c r="I904" s="95"/>
      <c r="J904" s="95"/>
      <c r="K904" s="95"/>
      <c r="L904" s="95"/>
      <c r="M904" s="240">
        <v>3390</v>
      </c>
      <c r="N904" s="240">
        <v>5942</v>
      </c>
      <c r="O904" s="164">
        <v>6220</v>
      </c>
      <c r="P904" s="164">
        <v>6220</v>
      </c>
      <c r="Q904" s="240">
        <v>6220</v>
      </c>
      <c r="R904" s="240">
        <v>6220</v>
      </c>
      <c r="S904" s="240">
        <v>6220</v>
      </c>
      <c r="T904" s="240">
        <v>6220</v>
      </c>
      <c r="U904" s="240">
        <v>6220</v>
      </c>
    </row>
    <row r="905" spans="1:21" ht="24" customHeight="1">
      <c r="B905" s="1" t="s">
        <v>367</v>
      </c>
      <c r="C905" s="95"/>
      <c r="D905" s="95"/>
      <c r="E905" s="1" t="s">
        <v>12</v>
      </c>
      <c r="F905" s="95"/>
      <c r="G905" s="95"/>
      <c r="H905" s="95"/>
      <c r="I905" s="95"/>
      <c r="J905" s="95"/>
      <c r="K905" s="95"/>
      <c r="L905" s="95"/>
      <c r="M905" s="240">
        <v>24447</v>
      </c>
      <c r="N905" s="240">
        <v>23393</v>
      </c>
      <c r="O905" s="164">
        <v>25000</v>
      </c>
      <c r="P905" s="164">
        <v>25000</v>
      </c>
      <c r="Q905" s="240">
        <v>30000</v>
      </c>
      <c r="R905" s="240">
        <v>30000</v>
      </c>
      <c r="S905" s="240">
        <v>30000</v>
      </c>
      <c r="T905" s="240">
        <v>30000</v>
      </c>
      <c r="U905" s="240">
        <v>30000</v>
      </c>
    </row>
    <row r="906" spans="1:21" ht="24" customHeight="1">
      <c r="B906" s="1" t="s">
        <v>368</v>
      </c>
      <c r="C906" s="95"/>
      <c r="D906" s="95"/>
      <c r="E906" s="1" t="s">
        <v>16</v>
      </c>
      <c r="F906" s="95"/>
      <c r="G906" s="95"/>
      <c r="H906" s="95"/>
      <c r="I906" s="95"/>
      <c r="J906" s="95"/>
      <c r="K906" s="95"/>
      <c r="L906" s="95"/>
      <c r="M906" s="240">
        <v>4541</v>
      </c>
      <c r="N906" s="240">
        <v>4198</v>
      </c>
      <c r="O906" s="164">
        <v>11000</v>
      </c>
      <c r="P906" s="164">
        <v>11000</v>
      </c>
      <c r="Q906" s="240">
        <v>11000</v>
      </c>
      <c r="R906" s="240">
        <v>6000</v>
      </c>
      <c r="S906" s="240">
        <v>6000</v>
      </c>
      <c r="T906" s="240">
        <v>6000</v>
      </c>
      <c r="U906" s="240">
        <v>6000</v>
      </c>
    </row>
    <row r="907" spans="1:21" ht="24" customHeight="1">
      <c r="B907" s="1" t="s">
        <v>369</v>
      </c>
      <c r="C907" s="95"/>
      <c r="D907" s="95"/>
      <c r="E907" s="1" t="s">
        <v>831</v>
      </c>
      <c r="F907" s="95"/>
      <c r="G907" s="95"/>
      <c r="H907" s="95"/>
      <c r="I907" s="95"/>
      <c r="J907" s="95"/>
      <c r="K907" s="95"/>
      <c r="L907" s="95"/>
      <c r="M907" s="240">
        <v>66190</v>
      </c>
      <c r="N907" s="240">
        <v>37541</v>
      </c>
      <c r="O907" s="164">
        <v>71000</v>
      </c>
      <c r="P907" s="164">
        <v>71000</v>
      </c>
      <c r="Q907" s="240">
        <v>71000</v>
      </c>
      <c r="R907" s="240">
        <v>71000</v>
      </c>
      <c r="S907" s="240">
        <v>71000</v>
      </c>
      <c r="T907" s="240">
        <v>71000</v>
      </c>
      <c r="U907" s="240">
        <v>71000</v>
      </c>
    </row>
    <row r="908" spans="1:21" ht="24" customHeight="1">
      <c r="B908" s="350" t="s">
        <v>1167</v>
      </c>
      <c r="C908" s="349"/>
      <c r="D908" s="349"/>
      <c r="E908" s="350" t="s">
        <v>1168</v>
      </c>
      <c r="F908" s="349"/>
      <c r="G908" s="349"/>
      <c r="H908" s="349"/>
      <c r="I908" s="349"/>
      <c r="J908" s="349"/>
      <c r="K908" s="349"/>
      <c r="L908" s="349"/>
      <c r="M908" s="240">
        <v>52081</v>
      </c>
      <c r="N908" s="240">
        <v>5334</v>
      </c>
      <c r="O908" s="164">
        <v>55000</v>
      </c>
      <c r="P908" s="164">
        <v>55000</v>
      </c>
      <c r="Q908" s="240">
        <v>55000</v>
      </c>
      <c r="R908" s="240">
        <v>55000</v>
      </c>
      <c r="S908" s="240">
        <v>55000</v>
      </c>
      <c r="T908" s="240">
        <v>55000</v>
      </c>
      <c r="U908" s="240">
        <v>55000</v>
      </c>
    </row>
    <row r="909" spans="1:21" ht="24" customHeight="1">
      <c r="B909" s="1" t="s">
        <v>716</v>
      </c>
      <c r="C909" s="95"/>
      <c r="D909" s="95"/>
      <c r="E909" s="1" t="s">
        <v>128</v>
      </c>
      <c r="F909" s="95"/>
      <c r="G909" s="95"/>
      <c r="H909" s="95"/>
      <c r="I909" s="95"/>
      <c r="J909" s="95"/>
      <c r="K909" s="95"/>
      <c r="L909" s="95"/>
      <c r="M909" s="261">
        <v>20321</v>
      </c>
      <c r="N909" s="261">
        <v>19923</v>
      </c>
      <c r="O909" s="167">
        <v>21824</v>
      </c>
      <c r="P909" s="167">
        <v>40000</v>
      </c>
      <c r="Q909" s="261">
        <v>42800</v>
      </c>
      <c r="R909" s="261">
        <v>45796</v>
      </c>
      <c r="S909" s="261">
        <v>49002</v>
      </c>
      <c r="T909" s="261">
        <v>52432</v>
      </c>
      <c r="U909" s="261">
        <v>56102</v>
      </c>
    </row>
    <row r="910" spans="1:21" s="89" customFormat="1" ht="24" customHeight="1">
      <c r="A910" s="576"/>
      <c r="B910" s="689" t="s">
        <v>1236</v>
      </c>
      <c r="C910" s="689"/>
      <c r="D910" s="689"/>
      <c r="E910" s="689"/>
      <c r="F910" s="689"/>
      <c r="G910" s="689"/>
      <c r="H910" s="689"/>
      <c r="I910" s="689"/>
      <c r="J910" s="689"/>
      <c r="K910" s="689"/>
      <c r="L910" s="689"/>
      <c r="M910" s="410">
        <f t="shared" ref="M910:U910" si="119">SUM(M885:M909)</f>
        <v>1092565</v>
      </c>
      <c r="N910" s="406">
        <f t="shared" si="119"/>
        <v>1396434</v>
      </c>
      <c r="O910" s="407">
        <f t="shared" si="119"/>
        <v>1402523</v>
      </c>
      <c r="P910" s="407">
        <f t="shared" si="119"/>
        <v>1378108</v>
      </c>
      <c r="Q910" s="406">
        <f t="shared" si="119"/>
        <v>1539676</v>
      </c>
      <c r="R910" s="406">
        <f t="shared" si="119"/>
        <v>1689735</v>
      </c>
      <c r="S910" s="406">
        <f t="shared" si="119"/>
        <v>1796689</v>
      </c>
      <c r="T910" s="406">
        <f t="shared" si="119"/>
        <v>1842710</v>
      </c>
      <c r="U910" s="406">
        <f t="shared" si="119"/>
        <v>1883734</v>
      </c>
    </row>
    <row r="911" spans="1:21" ht="15" customHeight="1">
      <c r="B911" s="1"/>
      <c r="C911" s="95"/>
      <c r="D911" s="95"/>
      <c r="E911" s="1"/>
      <c r="F911" s="95"/>
      <c r="G911" s="95"/>
      <c r="H911" s="95"/>
      <c r="I911" s="95"/>
      <c r="J911" s="95"/>
      <c r="K911" s="95"/>
      <c r="L911" s="95"/>
      <c r="M911" s="220"/>
      <c r="N911" s="220"/>
      <c r="O911" s="405"/>
      <c r="P911" s="405"/>
      <c r="Q911" s="404"/>
      <c r="R911" s="404"/>
      <c r="S911" s="404"/>
      <c r="T911" s="404"/>
      <c r="U911" s="404"/>
    </row>
    <row r="912" spans="1:21" ht="24" customHeight="1">
      <c r="B912" s="98" t="s">
        <v>473</v>
      </c>
      <c r="C912" s="89"/>
      <c r="D912" s="89"/>
      <c r="E912" s="89"/>
      <c r="F912" s="89"/>
      <c r="G912" s="89"/>
      <c r="H912" s="89"/>
      <c r="I912" s="89"/>
      <c r="J912" s="89"/>
      <c r="K912" s="89"/>
      <c r="L912" s="89"/>
      <c r="M912" s="226"/>
      <c r="N912" s="226"/>
      <c r="O912" s="455"/>
      <c r="P912" s="455"/>
      <c r="Q912" s="441"/>
      <c r="R912" s="441"/>
      <c r="S912" s="441"/>
      <c r="T912" s="441"/>
      <c r="U912" s="441"/>
    </row>
    <row r="913" spans="2:21" ht="24" customHeight="1">
      <c r="B913" s="1" t="s">
        <v>485</v>
      </c>
      <c r="C913" s="95"/>
      <c r="D913" s="95"/>
      <c r="E913" s="1" t="s">
        <v>722</v>
      </c>
      <c r="F913" s="95"/>
      <c r="G913" s="95"/>
      <c r="H913" s="95"/>
      <c r="I913" s="95"/>
      <c r="J913" s="95"/>
      <c r="K913" s="95"/>
      <c r="L913" s="95"/>
      <c r="M913" s="404">
        <v>362352</v>
      </c>
      <c r="N913" s="404">
        <v>372355</v>
      </c>
      <c r="O913" s="405">
        <v>386753</v>
      </c>
      <c r="P913" s="405">
        <v>375000</v>
      </c>
      <c r="Q913" s="404">
        <v>416678</v>
      </c>
      <c r="R913" s="404">
        <v>403137</v>
      </c>
      <c r="S913" s="404">
        <v>415231</v>
      </c>
      <c r="T913" s="404">
        <v>427688</v>
      </c>
      <c r="U913" s="404">
        <v>440519</v>
      </c>
    </row>
    <row r="914" spans="2:21" ht="24" customHeight="1">
      <c r="B914" s="1" t="s">
        <v>486</v>
      </c>
      <c r="C914" s="89"/>
      <c r="D914" s="89"/>
      <c r="E914" s="1" t="s">
        <v>66</v>
      </c>
      <c r="F914" s="89"/>
      <c r="G914" s="89"/>
      <c r="H914" s="89"/>
      <c r="I914" s="89"/>
      <c r="J914" s="89"/>
      <c r="K914" s="89"/>
      <c r="L914" s="89"/>
      <c r="M914" s="240">
        <v>14151</v>
      </c>
      <c r="N914" s="240">
        <v>473</v>
      </c>
      <c r="O914" s="164">
        <v>23500</v>
      </c>
      <c r="P914" s="164">
        <v>9000</v>
      </c>
      <c r="Q914" s="240">
        <v>27500</v>
      </c>
      <c r="R914" s="240">
        <v>28500</v>
      </c>
      <c r="S914" s="240">
        <v>29500</v>
      </c>
      <c r="T914" s="240">
        <v>30500</v>
      </c>
      <c r="U914" s="240">
        <v>31500</v>
      </c>
    </row>
    <row r="915" spans="2:21" ht="24" customHeight="1">
      <c r="B915" s="1" t="s">
        <v>487</v>
      </c>
      <c r="C915" s="95"/>
      <c r="D915" s="95"/>
      <c r="E915" s="1" t="s">
        <v>370</v>
      </c>
      <c r="F915" s="95"/>
      <c r="G915" s="95"/>
      <c r="H915" s="95"/>
      <c r="I915" s="95"/>
      <c r="J915" s="95"/>
      <c r="K915" s="95"/>
      <c r="L915" s="95"/>
      <c r="M915" s="240">
        <v>11389</v>
      </c>
      <c r="N915" s="240">
        <v>0</v>
      </c>
      <c r="O915" s="164">
        <v>15000</v>
      </c>
      <c r="P915" s="164">
        <v>15000</v>
      </c>
      <c r="Q915" s="240">
        <v>15000</v>
      </c>
      <c r="R915" s="240">
        <v>15000</v>
      </c>
      <c r="S915" s="240">
        <v>15000</v>
      </c>
      <c r="T915" s="240">
        <v>15000</v>
      </c>
      <c r="U915" s="240">
        <v>15000</v>
      </c>
    </row>
    <row r="916" spans="2:21" ht="24" customHeight="1">
      <c r="B916" s="1" t="s">
        <v>488</v>
      </c>
      <c r="C916" s="95"/>
      <c r="D916" s="95"/>
      <c r="E916" s="1" t="s">
        <v>371</v>
      </c>
      <c r="F916" s="95"/>
      <c r="G916" s="95"/>
      <c r="H916" s="95"/>
      <c r="I916" s="95"/>
      <c r="J916" s="95"/>
      <c r="K916" s="95"/>
      <c r="L916" s="95"/>
      <c r="M916" s="240">
        <v>31664</v>
      </c>
      <c r="N916" s="240">
        <v>20559</v>
      </c>
      <c r="O916" s="164">
        <v>40000</v>
      </c>
      <c r="P916" s="164">
        <v>40000</v>
      </c>
      <c r="Q916" s="240">
        <v>60000</v>
      </c>
      <c r="R916" s="240">
        <v>60000</v>
      </c>
      <c r="S916" s="240">
        <v>60000</v>
      </c>
      <c r="T916" s="240">
        <v>60000</v>
      </c>
      <c r="U916" s="240">
        <v>60000</v>
      </c>
    </row>
    <row r="917" spans="2:21" ht="24" customHeight="1">
      <c r="B917" s="1" t="s">
        <v>489</v>
      </c>
      <c r="C917" s="95"/>
      <c r="D917" s="95"/>
      <c r="E917" s="1" t="s">
        <v>372</v>
      </c>
      <c r="F917" s="95"/>
      <c r="G917" s="95"/>
      <c r="H917" s="95"/>
      <c r="I917" s="95"/>
      <c r="J917" s="95"/>
      <c r="K917" s="95"/>
      <c r="L917" s="95"/>
      <c r="M917" s="240">
        <v>31873</v>
      </c>
      <c r="N917" s="240">
        <v>13687</v>
      </c>
      <c r="O917" s="164">
        <v>40000</v>
      </c>
      <c r="P917" s="164">
        <v>25000</v>
      </c>
      <c r="Q917" s="240">
        <v>40000</v>
      </c>
      <c r="R917" s="240">
        <v>40000</v>
      </c>
      <c r="S917" s="240">
        <v>40000</v>
      </c>
      <c r="T917" s="240">
        <v>40000</v>
      </c>
      <c r="U917" s="240">
        <v>40000</v>
      </c>
    </row>
    <row r="918" spans="2:21" ht="24" customHeight="1">
      <c r="B918" s="1" t="s">
        <v>490</v>
      </c>
      <c r="C918" s="95"/>
      <c r="D918" s="95"/>
      <c r="E918" s="1" t="s">
        <v>8</v>
      </c>
      <c r="F918" s="95"/>
      <c r="G918" s="95"/>
      <c r="H918" s="95"/>
      <c r="I918" s="95"/>
      <c r="J918" s="95"/>
      <c r="K918" s="95"/>
      <c r="L918" s="95"/>
      <c r="M918" s="228">
        <v>35840</v>
      </c>
      <c r="N918" s="228">
        <v>41742</v>
      </c>
      <c r="O918" s="165">
        <v>45446</v>
      </c>
      <c r="P918" s="165">
        <v>40000</v>
      </c>
      <c r="Q918" s="228">
        <v>43860</v>
      </c>
      <c r="R918" s="240">
        <v>37330</v>
      </c>
      <c r="S918" s="240">
        <v>39613</v>
      </c>
      <c r="T918" s="240">
        <v>41999</v>
      </c>
      <c r="U918" s="240">
        <v>44581</v>
      </c>
    </row>
    <row r="919" spans="2:21" ht="24" customHeight="1">
      <c r="B919" s="1" t="s">
        <v>491</v>
      </c>
      <c r="C919" s="89"/>
      <c r="D919" s="89"/>
      <c r="E919" s="1" t="s">
        <v>9</v>
      </c>
      <c r="F919" s="89"/>
      <c r="G919" s="89"/>
      <c r="H919" s="89"/>
      <c r="I919" s="89"/>
      <c r="J919" s="89"/>
      <c r="K919" s="89"/>
      <c r="L919" s="89"/>
      <c r="M919" s="228">
        <v>33656</v>
      </c>
      <c r="N919" s="228">
        <v>30377</v>
      </c>
      <c r="O919" s="165">
        <v>37238</v>
      </c>
      <c r="P919" s="165">
        <v>33000</v>
      </c>
      <c r="Q919" s="228">
        <v>41339</v>
      </c>
      <c r="R919" s="228">
        <v>38957</v>
      </c>
      <c r="S919" s="228">
        <v>40126</v>
      </c>
      <c r="T919" s="228">
        <v>41330</v>
      </c>
      <c r="U919" s="228">
        <v>42570</v>
      </c>
    </row>
    <row r="920" spans="2:21" ht="24" customHeight="1">
      <c r="B920" s="1" t="s">
        <v>492</v>
      </c>
      <c r="C920" s="89"/>
      <c r="D920" s="89"/>
      <c r="E920" s="1" t="s">
        <v>13</v>
      </c>
      <c r="F920" s="89"/>
      <c r="G920" s="89"/>
      <c r="H920" s="89"/>
      <c r="I920" s="89"/>
      <c r="J920" s="89"/>
      <c r="K920" s="89"/>
      <c r="L920" s="89"/>
      <c r="M920" s="228">
        <v>96861</v>
      </c>
      <c r="N920" s="228">
        <v>76908</v>
      </c>
      <c r="O920" s="165">
        <v>107479</v>
      </c>
      <c r="P920" s="165">
        <v>74143</v>
      </c>
      <c r="Q920" s="228">
        <v>116325</v>
      </c>
      <c r="R920" s="228">
        <v>125631</v>
      </c>
      <c r="S920" s="228">
        <v>135681</v>
      </c>
      <c r="T920" s="228">
        <v>146535</v>
      </c>
      <c r="U920" s="228">
        <v>158258</v>
      </c>
    </row>
    <row r="921" spans="2:21" ht="24" customHeight="1">
      <c r="B921" s="1" t="s">
        <v>493</v>
      </c>
      <c r="C921" s="89"/>
      <c r="D921" s="89"/>
      <c r="E921" s="1" t="s">
        <v>161</v>
      </c>
      <c r="F921" s="89"/>
      <c r="G921" s="89"/>
      <c r="H921" s="89"/>
      <c r="I921" s="89"/>
      <c r="J921" s="89"/>
      <c r="K921" s="89"/>
      <c r="L921" s="89"/>
      <c r="M921" s="228">
        <v>449</v>
      </c>
      <c r="N921" s="228">
        <v>411</v>
      </c>
      <c r="O921" s="165">
        <v>748</v>
      </c>
      <c r="P921" s="165">
        <v>630</v>
      </c>
      <c r="Q921" s="228">
        <v>728</v>
      </c>
      <c r="R921" s="240">
        <v>735</v>
      </c>
      <c r="S921" s="240">
        <v>742</v>
      </c>
      <c r="T921" s="240">
        <v>749</v>
      </c>
      <c r="U921" s="240">
        <v>756</v>
      </c>
    </row>
    <row r="922" spans="2:21" ht="24" customHeight="1">
      <c r="B922" s="1" t="s">
        <v>494</v>
      </c>
      <c r="C922" s="89"/>
      <c r="D922" s="89"/>
      <c r="E922" s="1" t="s">
        <v>461</v>
      </c>
      <c r="F922" s="89"/>
      <c r="G922" s="89"/>
      <c r="H922" s="89"/>
      <c r="I922" s="89"/>
      <c r="J922" s="89"/>
      <c r="K922" s="89"/>
      <c r="L922" s="89"/>
      <c r="M922" s="228">
        <v>6763</v>
      </c>
      <c r="N922" s="228">
        <v>6142</v>
      </c>
      <c r="O922" s="165">
        <v>7685</v>
      </c>
      <c r="P922" s="165">
        <v>5158</v>
      </c>
      <c r="Q922" s="228">
        <v>6590</v>
      </c>
      <c r="R922" s="240">
        <v>6920</v>
      </c>
      <c r="S922" s="240">
        <v>7266</v>
      </c>
      <c r="T922" s="240">
        <v>7629</v>
      </c>
      <c r="U922" s="240">
        <v>8010</v>
      </c>
    </row>
    <row r="923" spans="2:21" ht="24" customHeight="1">
      <c r="B923" s="1" t="s">
        <v>495</v>
      </c>
      <c r="C923" s="89"/>
      <c r="D923" s="89"/>
      <c r="E923" s="1" t="s">
        <v>463</v>
      </c>
      <c r="F923" s="89"/>
      <c r="G923" s="89"/>
      <c r="H923" s="89"/>
      <c r="I923" s="89"/>
      <c r="J923" s="89"/>
      <c r="K923" s="89"/>
      <c r="L923" s="89"/>
      <c r="M923" s="228">
        <v>984</v>
      </c>
      <c r="N923" s="228">
        <v>1020</v>
      </c>
      <c r="O923" s="164">
        <v>1156</v>
      </c>
      <c r="P923" s="165">
        <v>810</v>
      </c>
      <c r="Q923" s="240">
        <v>1008</v>
      </c>
      <c r="R923" s="240">
        <v>1038</v>
      </c>
      <c r="S923" s="240">
        <v>1069</v>
      </c>
      <c r="T923" s="240">
        <v>1101</v>
      </c>
      <c r="U923" s="240">
        <v>1134</v>
      </c>
    </row>
    <row r="924" spans="2:21" ht="24" customHeight="1">
      <c r="B924" s="1" t="s">
        <v>496</v>
      </c>
      <c r="C924" s="95"/>
      <c r="D924" s="95"/>
      <c r="E924" s="1" t="s">
        <v>86</v>
      </c>
      <c r="F924" s="95"/>
      <c r="G924" s="95"/>
      <c r="H924" s="95"/>
      <c r="I924" s="95"/>
      <c r="J924" s="95"/>
      <c r="K924" s="95"/>
      <c r="L924" s="95"/>
      <c r="M924" s="240">
        <v>3753</v>
      </c>
      <c r="N924" s="240">
        <v>204</v>
      </c>
      <c r="O924" s="164">
        <v>5000</v>
      </c>
      <c r="P924" s="164">
        <v>6000</v>
      </c>
      <c r="Q924" s="240">
        <v>5000</v>
      </c>
      <c r="R924" s="240">
        <v>5000</v>
      </c>
      <c r="S924" s="240">
        <v>5000</v>
      </c>
      <c r="T924" s="240">
        <v>5000</v>
      </c>
      <c r="U924" s="240">
        <v>5000</v>
      </c>
    </row>
    <row r="925" spans="2:21" ht="24" customHeight="1">
      <c r="B925" s="1" t="s">
        <v>497</v>
      </c>
      <c r="C925" s="95"/>
      <c r="D925" s="95"/>
      <c r="E925" s="1" t="s">
        <v>828</v>
      </c>
      <c r="F925" s="95"/>
      <c r="G925" s="95"/>
      <c r="H925" s="95"/>
      <c r="I925" s="95"/>
      <c r="J925" s="95"/>
      <c r="K925" s="95"/>
      <c r="L925" s="95"/>
      <c r="M925" s="240">
        <v>847</v>
      </c>
      <c r="N925" s="240">
        <v>0</v>
      </c>
      <c r="O925" s="164">
        <v>3000</v>
      </c>
      <c r="P925" s="164">
        <v>0</v>
      </c>
      <c r="Q925" s="240">
        <v>3000</v>
      </c>
      <c r="R925" s="240">
        <v>3000</v>
      </c>
      <c r="S925" s="240">
        <v>3000</v>
      </c>
      <c r="T925" s="240">
        <v>3000</v>
      </c>
      <c r="U925" s="240">
        <v>3000</v>
      </c>
    </row>
    <row r="926" spans="2:21" ht="24" customHeight="1">
      <c r="B926" s="1" t="s">
        <v>1053</v>
      </c>
      <c r="C926" s="89"/>
      <c r="D926" s="89"/>
      <c r="E926" s="316" t="s">
        <v>1045</v>
      </c>
      <c r="F926" s="89"/>
      <c r="G926" s="89"/>
      <c r="H926" s="89"/>
      <c r="I926" s="89"/>
      <c r="J926" s="89"/>
      <c r="K926" s="89"/>
      <c r="L926" s="89"/>
      <c r="M926" s="228">
        <v>5847</v>
      </c>
      <c r="N926" s="228">
        <v>438</v>
      </c>
      <c r="O926" s="165">
        <v>1770</v>
      </c>
      <c r="P926" s="165">
        <v>1770</v>
      </c>
      <c r="Q926" s="228">
        <v>8290</v>
      </c>
      <c r="R926" s="228">
        <v>2877</v>
      </c>
      <c r="S926" s="228">
        <v>1976</v>
      </c>
      <c r="T926" s="228">
        <v>7024</v>
      </c>
      <c r="U926" s="228">
        <v>4192</v>
      </c>
    </row>
    <row r="927" spans="2:21" ht="24" customHeight="1">
      <c r="B927" s="1" t="s">
        <v>498</v>
      </c>
      <c r="C927" s="95"/>
      <c r="D927" s="95"/>
      <c r="E927" s="1" t="s">
        <v>85</v>
      </c>
      <c r="F927" s="95"/>
      <c r="G927" s="95"/>
      <c r="H927" s="95"/>
      <c r="I927" s="95"/>
      <c r="J927" s="95"/>
      <c r="K927" s="95"/>
      <c r="L927" s="95"/>
      <c r="M927" s="240">
        <v>34208</v>
      </c>
      <c r="N927" s="240">
        <v>4655</v>
      </c>
      <c r="O927" s="164">
        <v>55000</v>
      </c>
      <c r="P927" s="164">
        <v>20000</v>
      </c>
      <c r="Q927" s="240">
        <v>55000</v>
      </c>
      <c r="R927" s="240">
        <v>55000</v>
      </c>
      <c r="S927" s="240">
        <v>55000</v>
      </c>
      <c r="T927" s="240">
        <v>55000</v>
      </c>
      <c r="U927" s="240">
        <v>55000</v>
      </c>
    </row>
    <row r="928" spans="2:21" ht="24" customHeight="1">
      <c r="B928" s="1" t="s">
        <v>499</v>
      </c>
      <c r="C928" s="89"/>
      <c r="D928" s="89"/>
      <c r="E928" s="1" t="s">
        <v>209</v>
      </c>
      <c r="F928" s="89"/>
      <c r="G928" s="89"/>
      <c r="H928" s="89"/>
      <c r="I928" s="89"/>
      <c r="J928" s="89"/>
      <c r="K928" s="89"/>
      <c r="L928" s="89"/>
      <c r="M928" s="240">
        <v>10319</v>
      </c>
      <c r="N928" s="240">
        <v>11641</v>
      </c>
      <c r="O928" s="164">
        <v>8750</v>
      </c>
      <c r="P928" s="164">
        <v>8750</v>
      </c>
      <c r="Q928" s="240">
        <v>8750</v>
      </c>
      <c r="R928" s="240">
        <v>8750</v>
      </c>
      <c r="S928" s="240">
        <v>8750</v>
      </c>
      <c r="T928" s="240">
        <v>8750</v>
      </c>
      <c r="U928" s="240">
        <v>8750</v>
      </c>
    </row>
    <row r="929" spans="1:21" ht="24" customHeight="1">
      <c r="B929" s="1" t="s">
        <v>500</v>
      </c>
      <c r="C929" s="89"/>
      <c r="D929" s="89"/>
      <c r="E929" s="1" t="s">
        <v>373</v>
      </c>
      <c r="F929" s="89"/>
      <c r="G929" s="89"/>
      <c r="H929" s="89"/>
      <c r="I929" s="89"/>
      <c r="J929" s="89"/>
      <c r="K929" s="89"/>
      <c r="L929" s="89"/>
      <c r="M929" s="240">
        <v>0</v>
      </c>
      <c r="N929" s="240">
        <v>0</v>
      </c>
      <c r="O929" s="164">
        <v>2500</v>
      </c>
      <c r="P929" s="164">
        <v>2500</v>
      </c>
      <c r="Q929" s="240">
        <v>2500</v>
      </c>
      <c r="R929" s="240">
        <v>2500</v>
      </c>
      <c r="S929" s="240">
        <v>2500</v>
      </c>
      <c r="T929" s="240">
        <v>2500</v>
      </c>
      <c r="U929" s="240">
        <v>2500</v>
      </c>
    </row>
    <row r="930" spans="1:21" ht="24" customHeight="1">
      <c r="B930" s="1" t="s">
        <v>501</v>
      </c>
      <c r="C930" s="95"/>
      <c r="D930" s="95"/>
      <c r="E930" s="1" t="s">
        <v>84</v>
      </c>
      <c r="F930" s="95"/>
      <c r="G930" s="95"/>
      <c r="H930" s="95"/>
      <c r="I930" s="95"/>
      <c r="J930" s="95"/>
      <c r="K930" s="95"/>
      <c r="L930" s="95"/>
      <c r="M930" s="240">
        <v>3353</v>
      </c>
      <c r="N930" s="240">
        <v>1562</v>
      </c>
      <c r="O930" s="164">
        <v>3500</v>
      </c>
      <c r="P930" s="164">
        <v>3500</v>
      </c>
      <c r="Q930" s="240">
        <v>3500</v>
      </c>
      <c r="R930" s="240">
        <v>3500</v>
      </c>
      <c r="S930" s="240">
        <v>3500</v>
      </c>
      <c r="T930" s="240">
        <v>3500</v>
      </c>
      <c r="U930" s="240">
        <v>3500</v>
      </c>
    </row>
    <row r="931" spans="1:21" ht="24" customHeight="1">
      <c r="B931" s="1" t="s">
        <v>812</v>
      </c>
      <c r="C931" s="89"/>
      <c r="D931" s="89"/>
      <c r="E931" s="1" t="s">
        <v>830</v>
      </c>
      <c r="F931" s="89"/>
      <c r="G931" s="89"/>
      <c r="H931" s="89"/>
      <c r="I931" s="89"/>
      <c r="J931" s="89"/>
      <c r="K931" s="89"/>
      <c r="L931" s="89"/>
      <c r="M931" s="325">
        <v>2737</v>
      </c>
      <c r="N931" s="325">
        <v>2803</v>
      </c>
      <c r="O931" s="164">
        <v>3000</v>
      </c>
      <c r="P931" s="164">
        <v>3000</v>
      </c>
      <c r="Q931" s="240">
        <v>3000</v>
      </c>
      <c r="R931" s="240">
        <v>3000</v>
      </c>
      <c r="S931" s="240">
        <v>3000</v>
      </c>
      <c r="T931" s="240">
        <v>3000</v>
      </c>
      <c r="U931" s="240">
        <v>3000</v>
      </c>
    </row>
    <row r="932" spans="1:21" ht="24" customHeight="1">
      <c r="B932" s="1" t="s">
        <v>502</v>
      </c>
      <c r="C932" s="89"/>
      <c r="D932" s="89"/>
      <c r="E932" s="1" t="s">
        <v>10</v>
      </c>
      <c r="F932" s="89"/>
      <c r="G932" s="89"/>
      <c r="H932" s="89"/>
      <c r="I932" s="89"/>
      <c r="J932" s="89"/>
      <c r="K932" s="89"/>
      <c r="L932" s="89"/>
      <c r="M932" s="240">
        <v>120436</v>
      </c>
      <c r="N932" s="240">
        <v>51882</v>
      </c>
      <c r="O932" s="164">
        <v>140000</v>
      </c>
      <c r="P932" s="164">
        <v>110000</v>
      </c>
      <c r="Q932" s="240">
        <v>140000</v>
      </c>
      <c r="R932" s="240">
        <v>140000</v>
      </c>
      <c r="S932" s="240">
        <v>140000</v>
      </c>
      <c r="T932" s="240">
        <v>140000</v>
      </c>
      <c r="U932" s="240">
        <v>140000</v>
      </c>
    </row>
    <row r="933" spans="1:21" ht="24" customHeight="1">
      <c r="B933" s="1" t="s">
        <v>503</v>
      </c>
      <c r="C933" s="95"/>
      <c r="D933" s="95"/>
      <c r="E933" s="1" t="s">
        <v>17</v>
      </c>
      <c r="F933" s="95"/>
      <c r="G933" s="95"/>
      <c r="H933" s="95"/>
      <c r="I933" s="95"/>
      <c r="J933" s="95"/>
      <c r="K933" s="95"/>
      <c r="L933" s="95"/>
      <c r="M933" s="240">
        <v>12524</v>
      </c>
      <c r="N933" s="240">
        <v>5337</v>
      </c>
      <c r="O933" s="164">
        <v>14072</v>
      </c>
      <c r="P933" s="164">
        <v>10000</v>
      </c>
      <c r="Q933" s="240">
        <v>10600</v>
      </c>
      <c r="R933" s="240">
        <v>11236</v>
      </c>
      <c r="S933" s="240">
        <v>11910</v>
      </c>
      <c r="T933" s="240">
        <v>12625</v>
      </c>
      <c r="U933" s="240">
        <v>13383</v>
      </c>
    </row>
    <row r="934" spans="1:21" ht="24" customHeight="1">
      <c r="B934" s="1" t="s">
        <v>504</v>
      </c>
      <c r="C934" s="95"/>
      <c r="D934" s="95"/>
      <c r="E934" s="1" t="s">
        <v>81</v>
      </c>
      <c r="F934" s="95"/>
      <c r="G934" s="95"/>
      <c r="H934" s="95"/>
      <c r="I934" s="95"/>
      <c r="J934" s="95"/>
      <c r="K934" s="95"/>
      <c r="L934" s="95"/>
      <c r="M934" s="240">
        <v>1376</v>
      </c>
      <c r="N934" s="240">
        <v>1416</v>
      </c>
      <c r="O934" s="164">
        <v>3000</v>
      </c>
      <c r="P934" s="164">
        <v>2000</v>
      </c>
      <c r="Q934" s="240">
        <v>6000</v>
      </c>
      <c r="R934" s="240">
        <v>6000</v>
      </c>
      <c r="S934" s="240">
        <v>6000</v>
      </c>
      <c r="T934" s="240">
        <v>6000</v>
      </c>
      <c r="U934" s="240">
        <v>6000</v>
      </c>
    </row>
    <row r="935" spans="1:21" ht="24" customHeight="1">
      <c r="B935" s="1" t="s">
        <v>991</v>
      </c>
      <c r="C935" s="89"/>
      <c r="D935" s="89"/>
      <c r="E935" s="155" t="s">
        <v>82</v>
      </c>
      <c r="F935" s="89"/>
      <c r="G935" s="89"/>
      <c r="H935" s="89"/>
      <c r="I935" s="89"/>
      <c r="J935" s="89"/>
      <c r="K935" s="89"/>
      <c r="L935" s="89"/>
      <c r="M935" s="228">
        <v>6318</v>
      </c>
      <c r="N935" s="228">
        <v>7560</v>
      </c>
      <c r="O935" s="165">
        <v>7938</v>
      </c>
      <c r="P935" s="165">
        <v>7564</v>
      </c>
      <c r="Q935" s="228">
        <v>15128</v>
      </c>
      <c r="R935" s="228">
        <v>15582</v>
      </c>
      <c r="S935" s="228">
        <v>16049</v>
      </c>
      <c r="T935" s="228">
        <v>16530</v>
      </c>
      <c r="U935" s="228">
        <v>17026</v>
      </c>
    </row>
    <row r="936" spans="1:21" ht="24" customHeight="1">
      <c r="B936" s="1" t="s">
        <v>505</v>
      </c>
      <c r="C936" s="95"/>
      <c r="D936" s="95"/>
      <c r="E936" s="1" t="s">
        <v>832</v>
      </c>
      <c r="F936" s="95"/>
      <c r="G936" s="95"/>
      <c r="H936" s="95"/>
      <c r="I936" s="95"/>
      <c r="J936" s="95"/>
      <c r="K936" s="95"/>
      <c r="L936" s="95"/>
      <c r="M936" s="352">
        <v>1849</v>
      </c>
      <c r="N936" s="352">
        <v>2173</v>
      </c>
      <c r="O936" s="176">
        <v>3000</v>
      </c>
      <c r="P936" s="176">
        <v>3000</v>
      </c>
      <c r="Q936" s="352">
        <v>78000</v>
      </c>
      <c r="R936" s="352">
        <v>3000</v>
      </c>
      <c r="S936" s="352">
        <v>3000</v>
      </c>
      <c r="T936" s="352">
        <v>3000</v>
      </c>
      <c r="U936" s="352">
        <v>3000</v>
      </c>
    </row>
    <row r="937" spans="1:21" ht="24" customHeight="1">
      <c r="B937" s="1" t="s">
        <v>506</v>
      </c>
      <c r="C937" s="95"/>
      <c r="D937" s="95"/>
      <c r="E937" s="1" t="s">
        <v>374</v>
      </c>
      <c r="F937" s="95"/>
      <c r="G937" s="95"/>
      <c r="H937" s="95"/>
      <c r="I937" s="95"/>
      <c r="J937" s="95"/>
      <c r="K937" s="95"/>
      <c r="L937" s="95"/>
      <c r="M937" s="240">
        <v>124197</v>
      </c>
      <c r="N937" s="240">
        <v>700</v>
      </c>
      <c r="O937" s="164">
        <v>120000</v>
      </c>
      <c r="P937" s="164">
        <v>127875</v>
      </c>
      <c r="Q937" s="240">
        <v>120000</v>
      </c>
      <c r="R937" s="240">
        <v>120000</v>
      </c>
      <c r="S937" s="240">
        <v>120000</v>
      </c>
      <c r="T937" s="240">
        <v>120000</v>
      </c>
      <c r="U937" s="240">
        <v>120000</v>
      </c>
    </row>
    <row r="938" spans="1:21" ht="24" customHeight="1">
      <c r="B938" s="1" t="s">
        <v>507</v>
      </c>
      <c r="C938" s="95"/>
      <c r="D938" s="95"/>
      <c r="E938" s="1" t="s">
        <v>375</v>
      </c>
      <c r="F938" s="95"/>
      <c r="G938" s="95"/>
      <c r="H938" s="95"/>
      <c r="I938" s="95"/>
      <c r="J938" s="95"/>
      <c r="K938" s="95"/>
      <c r="L938" s="95"/>
      <c r="M938" s="240">
        <v>141280</v>
      </c>
      <c r="N938" s="240">
        <v>118617</v>
      </c>
      <c r="O938" s="164">
        <v>285000</v>
      </c>
      <c r="P938" s="164">
        <v>210000</v>
      </c>
      <c r="Q938" s="240">
        <v>240000</v>
      </c>
      <c r="R938" s="240">
        <v>240000</v>
      </c>
      <c r="S938" s="240">
        <v>240000</v>
      </c>
      <c r="T938" s="240">
        <v>240000</v>
      </c>
      <c r="U938" s="240">
        <v>240000</v>
      </c>
    </row>
    <row r="939" spans="1:21" ht="24" customHeight="1">
      <c r="B939" s="1" t="s">
        <v>508</v>
      </c>
      <c r="C939" s="95"/>
      <c r="D939" s="95"/>
      <c r="E939" s="1" t="s">
        <v>376</v>
      </c>
      <c r="F939" s="95"/>
      <c r="G939" s="95"/>
      <c r="H939" s="95"/>
      <c r="I939" s="95"/>
      <c r="J939" s="95"/>
      <c r="K939" s="95"/>
      <c r="L939" s="95"/>
      <c r="M939" s="240">
        <v>15346</v>
      </c>
      <c r="N939" s="240">
        <v>4852</v>
      </c>
      <c r="O939" s="164">
        <v>18000</v>
      </c>
      <c r="P939" s="164">
        <v>15500</v>
      </c>
      <c r="Q939" s="208">
        <v>18000</v>
      </c>
      <c r="R939" s="208">
        <v>18000</v>
      </c>
      <c r="S939" s="208">
        <v>18000</v>
      </c>
      <c r="T939" s="208">
        <v>18000</v>
      </c>
      <c r="U939" s="208">
        <v>18000</v>
      </c>
    </row>
    <row r="940" spans="1:21" ht="24" customHeight="1">
      <c r="B940" s="1" t="s">
        <v>509</v>
      </c>
      <c r="C940" s="95"/>
      <c r="D940" s="95"/>
      <c r="E940" s="1" t="s">
        <v>11</v>
      </c>
      <c r="F940" s="95"/>
      <c r="G940" s="95"/>
      <c r="H940" s="95"/>
      <c r="I940" s="95"/>
      <c r="J940" s="95"/>
      <c r="K940" s="95"/>
      <c r="L940" s="95"/>
      <c r="M940" s="240">
        <v>1849</v>
      </c>
      <c r="N940" s="240">
        <v>2038</v>
      </c>
      <c r="O940" s="164">
        <v>3000</v>
      </c>
      <c r="P940" s="164">
        <v>3000</v>
      </c>
      <c r="Q940" s="208">
        <v>3000</v>
      </c>
      <c r="R940" s="208">
        <v>3000</v>
      </c>
      <c r="S940" s="208">
        <v>3000</v>
      </c>
      <c r="T940" s="208">
        <v>3000</v>
      </c>
      <c r="U940" s="208">
        <v>3000</v>
      </c>
    </row>
    <row r="941" spans="1:21" ht="24" customHeight="1">
      <c r="B941" s="1" t="s">
        <v>510</v>
      </c>
      <c r="C941" s="95"/>
      <c r="D941" s="95"/>
      <c r="E941" s="1" t="s">
        <v>12</v>
      </c>
      <c r="F941" s="95"/>
      <c r="G941" s="95"/>
      <c r="H941" s="95"/>
      <c r="I941" s="95"/>
      <c r="J941" s="95"/>
      <c r="K941" s="95"/>
      <c r="L941" s="95"/>
      <c r="M941" s="240">
        <v>13458</v>
      </c>
      <c r="N941" s="240">
        <v>65858</v>
      </c>
      <c r="O941" s="164">
        <v>15000</v>
      </c>
      <c r="P941" s="164">
        <v>25000</v>
      </c>
      <c r="Q941" s="208">
        <v>25000</v>
      </c>
      <c r="R941" s="208">
        <v>25000</v>
      </c>
      <c r="S941" s="208">
        <v>25000</v>
      </c>
      <c r="T941" s="208">
        <v>25000</v>
      </c>
      <c r="U941" s="208">
        <v>25000</v>
      </c>
    </row>
    <row r="942" spans="1:21" ht="24" customHeight="1">
      <c r="B942" s="1" t="s">
        <v>511</v>
      </c>
      <c r="C942" s="95"/>
      <c r="D942" s="95"/>
      <c r="E942" s="1" t="s">
        <v>831</v>
      </c>
      <c r="F942" s="95"/>
      <c r="G942" s="95"/>
      <c r="H942" s="95"/>
      <c r="I942" s="95"/>
      <c r="J942" s="95"/>
      <c r="K942" s="95"/>
      <c r="L942" s="95"/>
      <c r="M942" s="261">
        <v>1026</v>
      </c>
      <c r="N942" s="261">
        <v>1140</v>
      </c>
      <c r="O942" s="167">
        <v>2000</v>
      </c>
      <c r="P942" s="167">
        <v>2000</v>
      </c>
      <c r="Q942" s="225">
        <v>2000</v>
      </c>
      <c r="R942" s="225">
        <v>2000</v>
      </c>
      <c r="S942" s="225">
        <v>2000</v>
      </c>
      <c r="T942" s="225">
        <v>2000</v>
      </c>
      <c r="U942" s="225">
        <v>2000</v>
      </c>
    </row>
    <row r="943" spans="1:21" s="89" customFormat="1" ht="24" customHeight="1">
      <c r="A943" s="576"/>
      <c r="B943" s="689" t="s">
        <v>1237</v>
      </c>
      <c r="C943" s="689"/>
      <c r="D943" s="689"/>
      <c r="E943" s="689"/>
      <c r="F943" s="689"/>
      <c r="G943" s="689"/>
      <c r="H943" s="689"/>
      <c r="I943" s="689"/>
      <c r="J943" s="689"/>
      <c r="K943" s="689"/>
      <c r="L943" s="689"/>
      <c r="M943" s="410">
        <f t="shared" ref="M943:U943" si="120">SUM(M913:M942)</f>
        <v>1126705</v>
      </c>
      <c r="N943" s="406">
        <f t="shared" si="120"/>
        <v>846550</v>
      </c>
      <c r="O943" s="407">
        <f t="shared" si="120"/>
        <v>1398535</v>
      </c>
      <c r="P943" s="407">
        <f t="shared" si="120"/>
        <v>1179200</v>
      </c>
      <c r="Q943" s="410">
        <f t="shared" si="120"/>
        <v>1515796</v>
      </c>
      <c r="R943" s="410">
        <f t="shared" si="120"/>
        <v>1424693</v>
      </c>
      <c r="S943" s="410">
        <f t="shared" si="120"/>
        <v>1451913</v>
      </c>
      <c r="T943" s="410">
        <f t="shared" si="120"/>
        <v>1486460</v>
      </c>
      <c r="U943" s="410">
        <f t="shared" si="120"/>
        <v>1514679</v>
      </c>
    </row>
    <row r="944" spans="1:21" s="89" customFormat="1" ht="15" customHeight="1">
      <c r="A944" s="576"/>
      <c r="B944" s="416"/>
      <c r="C944" s="417"/>
      <c r="D944" s="417"/>
      <c r="E944" s="416"/>
      <c r="F944" s="417"/>
      <c r="G944" s="417"/>
      <c r="H944" s="417"/>
      <c r="I944" s="417"/>
      <c r="J944" s="417"/>
      <c r="K944" s="417"/>
      <c r="L944" s="417"/>
      <c r="M944" s="498"/>
      <c r="N944" s="498"/>
      <c r="O944" s="500"/>
      <c r="P944" s="500"/>
      <c r="Q944" s="498"/>
      <c r="R944" s="498"/>
      <c r="S944" s="498"/>
      <c r="T944" s="498"/>
      <c r="U944" s="498"/>
    </row>
    <row r="945" spans="1:21" s="470" customFormat="1" ht="24" customHeight="1">
      <c r="A945" s="576"/>
      <c r="B945" s="691" t="s">
        <v>1238</v>
      </c>
      <c r="C945" s="691"/>
      <c r="D945" s="691"/>
      <c r="E945" s="691"/>
      <c r="F945" s="691"/>
      <c r="G945" s="691"/>
      <c r="H945" s="691"/>
      <c r="I945" s="691"/>
      <c r="J945" s="691"/>
      <c r="K945" s="691"/>
      <c r="L945" s="691"/>
      <c r="M945" s="407">
        <f t="shared" ref="M945:U945" si="121">M910+M943</f>
        <v>2219270</v>
      </c>
      <c r="N945" s="407">
        <f t="shared" si="121"/>
        <v>2242984</v>
      </c>
      <c r="O945" s="407">
        <f t="shared" si="121"/>
        <v>2801058</v>
      </c>
      <c r="P945" s="407">
        <f t="shared" si="121"/>
        <v>2557308</v>
      </c>
      <c r="Q945" s="407">
        <f t="shared" si="121"/>
        <v>3055472</v>
      </c>
      <c r="R945" s="407">
        <f t="shared" si="121"/>
        <v>3114428</v>
      </c>
      <c r="S945" s="407">
        <f t="shared" si="121"/>
        <v>3248602</v>
      </c>
      <c r="T945" s="407">
        <f t="shared" si="121"/>
        <v>3329170</v>
      </c>
      <c r="U945" s="407">
        <f t="shared" si="121"/>
        <v>3398413</v>
      </c>
    </row>
    <row r="946" spans="1:21" s="470" customFormat="1" ht="15" customHeight="1">
      <c r="A946" s="576"/>
      <c r="B946" s="501"/>
      <c r="C946" s="502"/>
      <c r="D946" s="502"/>
      <c r="E946" s="501"/>
      <c r="F946" s="502"/>
      <c r="G946" s="502"/>
      <c r="H946" s="502"/>
      <c r="I946" s="502"/>
      <c r="J946" s="502"/>
      <c r="K946" s="502"/>
      <c r="L946" s="502"/>
      <c r="M946" s="407"/>
      <c r="N946" s="407"/>
      <c r="O946" s="407"/>
      <c r="P946" s="407"/>
      <c r="Q946" s="407"/>
      <c r="R946" s="407"/>
      <c r="S946" s="407"/>
      <c r="T946" s="407"/>
      <c r="U946" s="407"/>
    </row>
    <row r="947" spans="1:21" s="470" customFormat="1" ht="24" customHeight="1">
      <c r="A947" s="576"/>
      <c r="B947" s="420"/>
      <c r="C947" s="692" t="s">
        <v>838</v>
      </c>
      <c r="D947" s="692"/>
      <c r="E947" s="692"/>
      <c r="F947" s="692"/>
      <c r="G947" s="692"/>
      <c r="H947" s="692"/>
      <c r="I947" s="692"/>
      <c r="J947" s="692"/>
      <c r="K947" s="692"/>
      <c r="L947" s="692"/>
      <c r="M947" s="462">
        <f t="shared" ref="M947:U947" si="122">M880</f>
        <v>1410988</v>
      </c>
      <c r="N947" s="462">
        <f t="shared" si="122"/>
        <v>1473433</v>
      </c>
      <c r="O947" s="462">
        <f t="shared" si="122"/>
        <v>1434849</v>
      </c>
      <c r="P947" s="462">
        <f t="shared" si="122"/>
        <v>1755955</v>
      </c>
      <c r="Q947" s="462">
        <f t="shared" si="122"/>
        <v>2179541</v>
      </c>
      <c r="R947" s="462">
        <f t="shared" si="122"/>
        <v>2236242</v>
      </c>
      <c r="S947" s="462">
        <f t="shared" si="122"/>
        <v>2367924</v>
      </c>
      <c r="T947" s="462">
        <f t="shared" si="122"/>
        <v>2445661</v>
      </c>
      <c r="U947" s="462">
        <f t="shared" si="122"/>
        <v>2512504</v>
      </c>
    </row>
    <row r="948" spans="1:21" s="470" customFormat="1" ht="24" customHeight="1">
      <c r="A948" s="576"/>
      <c r="B948" s="421"/>
      <c r="C948" s="693" t="s">
        <v>1204</v>
      </c>
      <c r="D948" s="693"/>
      <c r="E948" s="693"/>
      <c r="F948" s="693"/>
      <c r="G948" s="693"/>
      <c r="H948" s="693"/>
      <c r="I948" s="693"/>
      <c r="J948" s="693"/>
      <c r="K948" s="693"/>
      <c r="L948" s="693"/>
      <c r="M948" s="503">
        <v>0</v>
      </c>
      <c r="N948" s="503">
        <v>0</v>
      </c>
      <c r="O948" s="503">
        <v>0</v>
      </c>
      <c r="P948" s="503">
        <v>0</v>
      </c>
      <c r="Q948" s="503">
        <v>0</v>
      </c>
      <c r="R948" s="503">
        <v>0</v>
      </c>
      <c r="S948" s="503">
        <v>0</v>
      </c>
      <c r="T948" s="503">
        <v>0</v>
      </c>
      <c r="U948" s="503">
        <v>0</v>
      </c>
    </row>
    <row r="949" spans="1:21" s="470" customFormat="1" ht="24" customHeight="1">
      <c r="A949" s="576"/>
      <c r="B949" s="360"/>
      <c r="C949" s="691" t="s">
        <v>1259</v>
      </c>
      <c r="D949" s="691"/>
      <c r="E949" s="691"/>
      <c r="F949" s="691"/>
      <c r="G949" s="691"/>
      <c r="H949" s="691"/>
      <c r="I949" s="691"/>
      <c r="J949" s="691"/>
      <c r="K949" s="691"/>
      <c r="L949" s="691"/>
      <c r="M949" s="407">
        <f t="shared" ref="M949:U949" si="123">SUM(M947:M948)</f>
        <v>1410988</v>
      </c>
      <c r="N949" s="407">
        <f t="shared" si="123"/>
        <v>1473433</v>
      </c>
      <c r="O949" s="407">
        <f t="shared" si="123"/>
        <v>1434849</v>
      </c>
      <c r="P949" s="407">
        <f t="shared" si="123"/>
        <v>1755955</v>
      </c>
      <c r="Q949" s="407">
        <f t="shared" si="123"/>
        <v>2179541</v>
      </c>
      <c r="R949" s="407">
        <f t="shared" si="123"/>
        <v>2236242</v>
      </c>
      <c r="S949" s="407">
        <f t="shared" si="123"/>
        <v>2367924</v>
      </c>
      <c r="T949" s="407">
        <f t="shared" si="123"/>
        <v>2445661</v>
      </c>
      <c r="U949" s="407">
        <f t="shared" si="123"/>
        <v>2512504</v>
      </c>
    </row>
    <row r="950" spans="1:21" s="470" customFormat="1" ht="15" customHeight="1">
      <c r="A950" s="576"/>
      <c r="B950" s="501"/>
      <c r="C950" s="502"/>
      <c r="D950" s="502"/>
      <c r="E950" s="501"/>
      <c r="F950" s="502"/>
      <c r="G950" s="502"/>
      <c r="H950" s="502"/>
      <c r="I950" s="502"/>
      <c r="J950" s="502"/>
      <c r="K950" s="502"/>
      <c r="L950" s="502"/>
      <c r="M950" s="407"/>
      <c r="N950" s="407"/>
      <c r="O950" s="407"/>
      <c r="P950" s="407"/>
      <c r="Q950" s="407"/>
      <c r="R950" s="407"/>
      <c r="S950" s="407"/>
      <c r="T950" s="407"/>
      <c r="U950" s="407"/>
    </row>
    <row r="951" spans="1:21" s="89" customFormat="1" ht="24" customHeight="1">
      <c r="A951" s="576"/>
      <c r="B951" s="145"/>
      <c r="C951" s="145"/>
      <c r="D951" s="145"/>
      <c r="E951" s="145"/>
      <c r="F951" s="145"/>
      <c r="G951" s="145"/>
      <c r="H951" s="145"/>
      <c r="I951" s="145"/>
      <c r="J951" s="145"/>
      <c r="K951" s="145"/>
      <c r="L951" s="360" t="s">
        <v>425</v>
      </c>
      <c r="M951" s="280">
        <f t="shared" ref="M951:U951" si="124">M877-M945+M949</f>
        <v>-41431</v>
      </c>
      <c r="N951" s="280">
        <f t="shared" si="124"/>
        <v>-338483</v>
      </c>
      <c r="O951" s="280">
        <f t="shared" si="124"/>
        <v>-158000</v>
      </c>
      <c r="P951" s="280">
        <f t="shared" si="124"/>
        <v>-73000</v>
      </c>
      <c r="Q951" s="280">
        <f t="shared" si="124"/>
        <v>0</v>
      </c>
      <c r="R951" s="280">
        <f t="shared" si="124"/>
        <v>0</v>
      </c>
      <c r="S951" s="280">
        <f t="shared" si="124"/>
        <v>0</v>
      </c>
      <c r="T951" s="280">
        <f t="shared" si="124"/>
        <v>0</v>
      </c>
      <c r="U951" s="280">
        <f t="shared" si="124"/>
        <v>0</v>
      </c>
    </row>
    <row r="952" spans="1:21" s="89" customFormat="1" ht="15" customHeight="1">
      <c r="A952" s="576"/>
      <c r="B952" s="145"/>
      <c r="C952" s="145"/>
      <c r="D952" s="145"/>
      <c r="E952" s="145"/>
      <c r="F952" s="145"/>
      <c r="G952" s="145"/>
      <c r="H952" s="145"/>
      <c r="I952" s="145"/>
      <c r="J952" s="145"/>
      <c r="K952" s="145"/>
      <c r="L952" s="145"/>
      <c r="M952" s="409"/>
      <c r="N952" s="409"/>
      <c r="O952" s="409"/>
      <c r="P952" s="409"/>
      <c r="Q952" s="409"/>
      <c r="R952" s="409"/>
      <c r="S952" s="409"/>
      <c r="T952" s="409"/>
      <c r="U952" s="409"/>
    </row>
    <row r="953" spans="1:21" s="89" customFormat="1" ht="24" customHeight="1">
      <c r="A953" s="576"/>
      <c r="B953" s="145"/>
      <c r="C953" s="145"/>
      <c r="D953" s="145"/>
      <c r="E953" s="145"/>
      <c r="F953" s="145"/>
      <c r="G953" s="145"/>
      <c r="H953" s="145"/>
      <c r="I953" s="145"/>
      <c r="J953" s="145"/>
      <c r="K953" s="145"/>
      <c r="L953" s="423" t="s">
        <v>427</v>
      </c>
      <c r="M953" s="409">
        <v>411485</v>
      </c>
      <c r="N953" s="409">
        <v>73000</v>
      </c>
      <c r="O953" s="409">
        <v>0</v>
      </c>
      <c r="P953" s="409">
        <f>N953+P951</f>
        <v>0</v>
      </c>
      <c r="Q953" s="409">
        <f>P953+Q951</f>
        <v>0</v>
      </c>
      <c r="R953" s="409">
        <f>Q953+R951</f>
        <v>0</v>
      </c>
      <c r="S953" s="409">
        <f>R953+S951</f>
        <v>0</v>
      </c>
      <c r="T953" s="409">
        <f>S953+T951</f>
        <v>0</v>
      </c>
      <c r="U953" s="409">
        <f>T953+U951</f>
        <v>0</v>
      </c>
    </row>
    <row r="954" spans="1:21" s="104" customFormat="1" ht="24" customHeight="1">
      <c r="A954" s="584"/>
      <c r="B954" s="497"/>
      <c r="C954" s="497"/>
      <c r="D954" s="497"/>
      <c r="E954" s="497"/>
      <c r="F954" s="497"/>
      <c r="G954" s="497"/>
      <c r="H954" s="497"/>
      <c r="I954" s="497"/>
      <c r="J954" s="497"/>
      <c r="K954" s="497"/>
      <c r="L954" s="424"/>
      <c r="M954" s="179">
        <f t="shared" ref="M954:U954" si="125">M953/M945</f>
        <v>0.18541457326057667</v>
      </c>
      <c r="N954" s="179">
        <f t="shared" si="125"/>
        <v>3.2545929886258665E-2</v>
      </c>
      <c r="O954" s="179">
        <f t="shared" si="125"/>
        <v>0</v>
      </c>
      <c r="P954" s="179">
        <f t="shared" si="125"/>
        <v>0</v>
      </c>
      <c r="Q954" s="179">
        <f t="shared" si="125"/>
        <v>0</v>
      </c>
      <c r="R954" s="179">
        <f t="shared" si="125"/>
        <v>0</v>
      </c>
      <c r="S954" s="179">
        <f t="shared" si="125"/>
        <v>0</v>
      </c>
      <c r="T954" s="179">
        <f t="shared" si="125"/>
        <v>0</v>
      </c>
      <c r="U954" s="179">
        <f t="shared" si="125"/>
        <v>0</v>
      </c>
    </row>
    <row r="955" spans="1:21" s="129" customFormat="1" ht="15" customHeight="1">
      <c r="A955" s="587"/>
      <c r="B955" s="118"/>
      <c r="C955" s="118"/>
      <c r="D955" s="118"/>
      <c r="E955" s="118"/>
      <c r="F955" s="118"/>
      <c r="G955" s="118"/>
      <c r="H955" s="118"/>
      <c r="I955" s="118"/>
      <c r="J955" s="118"/>
      <c r="K955" s="118"/>
      <c r="L955" s="118"/>
      <c r="M955" s="248"/>
      <c r="N955" s="358"/>
      <c r="O955" s="181"/>
      <c r="P955" s="181"/>
      <c r="Q955" s="358"/>
      <c r="R955" s="247"/>
      <c r="S955" s="247"/>
      <c r="T955" s="247"/>
      <c r="U955" s="247"/>
    </row>
    <row r="956" spans="1:21" ht="24" customHeight="1">
      <c r="B956" s="102" t="s">
        <v>1295</v>
      </c>
      <c r="C956" s="89"/>
      <c r="D956" s="89"/>
      <c r="E956" s="89"/>
      <c r="F956" s="89"/>
      <c r="G956" s="89"/>
      <c r="H956" s="89"/>
      <c r="I956" s="89"/>
      <c r="J956" s="89"/>
      <c r="K956" s="89"/>
      <c r="L956" s="89"/>
      <c r="M956" s="263"/>
      <c r="N956" s="263"/>
      <c r="O956" s="196"/>
      <c r="P956" s="196"/>
      <c r="Q956" s="264"/>
      <c r="R956" s="264"/>
      <c r="S956" s="264"/>
      <c r="T956" s="264"/>
      <c r="U956" s="264"/>
    </row>
    <row r="957" spans="1:21" ht="15" customHeight="1">
      <c r="B957" s="89"/>
      <c r="C957" s="89"/>
      <c r="D957" s="89"/>
      <c r="E957" s="89"/>
      <c r="F957" s="89"/>
      <c r="G957" s="89"/>
      <c r="H957" s="89"/>
      <c r="I957" s="89"/>
      <c r="J957" s="89"/>
      <c r="K957" s="89"/>
      <c r="L957" s="89"/>
      <c r="M957" s="263"/>
      <c r="N957" s="373"/>
      <c r="O957" s="196"/>
      <c r="P957" s="196"/>
      <c r="Q957" s="264"/>
      <c r="R957" s="264"/>
      <c r="S957" s="264"/>
      <c r="T957" s="264"/>
      <c r="U957" s="264"/>
    </row>
    <row r="958" spans="1:21" ht="24" customHeight="1">
      <c r="B958" s="89" t="s">
        <v>861</v>
      </c>
      <c r="C958" s="89"/>
      <c r="D958" s="89"/>
      <c r="E958" s="89" t="s">
        <v>1022</v>
      </c>
      <c r="F958" s="89"/>
      <c r="G958" s="89"/>
      <c r="H958" s="89"/>
      <c r="I958" s="89"/>
      <c r="J958" s="89"/>
      <c r="K958" s="89"/>
      <c r="L958" s="89"/>
      <c r="M958" s="404">
        <v>702716</v>
      </c>
      <c r="N958" s="404">
        <v>736883</v>
      </c>
      <c r="O958" s="405">
        <v>776734</v>
      </c>
      <c r="P958" s="405">
        <v>774248</v>
      </c>
      <c r="Q958" s="404">
        <v>822463</v>
      </c>
      <c r="R958" s="404">
        <v>863586</v>
      </c>
      <c r="S958" s="404">
        <v>889494</v>
      </c>
      <c r="T958" s="404">
        <v>916179</v>
      </c>
      <c r="U958" s="404">
        <v>943664</v>
      </c>
    </row>
    <row r="959" spans="1:21" ht="24" customHeight="1">
      <c r="B959" s="89" t="s">
        <v>1075</v>
      </c>
      <c r="C959" s="89"/>
      <c r="D959" s="89"/>
      <c r="E959" s="89" t="s">
        <v>1023</v>
      </c>
      <c r="F959" s="89"/>
      <c r="G959" s="89"/>
      <c r="H959" s="89"/>
      <c r="I959" s="89"/>
      <c r="J959" s="89"/>
      <c r="K959" s="89"/>
      <c r="L959" s="89"/>
      <c r="M959" s="240">
        <v>794715</v>
      </c>
      <c r="N959" s="240">
        <v>824640</v>
      </c>
      <c r="O959" s="164">
        <v>836024</v>
      </c>
      <c r="P959" s="164">
        <v>837560</v>
      </c>
      <c r="Q959" s="208">
        <v>844771</v>
      </c>
      <c r="R959" s="208">
        <v>864150</v>
      </c>
      <c r="S959" s="208">
        <v>861408</v>
      </c>
      <c r="T959" s="208">
        <v>0</v>
      </c>
      <c r="U959" s="208">
        <v>0</v>
      </c>
    </row>
    <row r="960" spans="1:21" ht="24" customHeight="1">
      <c r="B960" s="1" t="s">
        <v>377</v>
      </c>
      <c r="C960" s="89"/>
      <c r="D960" s="89"/>
      <c r="E960" s="1" t="s">
        <v>44</v>
      </c>
      <c r="F960" s="89"/>
      <c r="G960" s="89"/>
      <c r="H960" s="89"/>
      <c r="I960" s="89"/>
      <c r="J960" s="89"/>
      <c r="K960" s="89"/>
      <c r="L960" s="89"/>
      <c r="M960" s="240">
        <v>5860</v>
      </c>
      <c r="N960" s="240">
        <v>7432</v>
      </c>
      <c r="O960" s="164">
        <v>5250</v>
      </c>
      <c r="P960" s="164">
        <v>10000</v>
      </c>
      <c r="Q960" s="208">
        <v>8000</v>
      </c>
      <c r="R960" s="208">
        <v>8000</v>
      </c>
      <c r="S960" s="208">
        <v>8000</v>
      </c>
      <c r="T960" s="208">
        <v>8000</v>
      </c>
      <c r="U960" s="208">
        <v>8000</v>
      </c>
    </row>
    <row r="961" spans="1:21" ht="24" customHeight="1">
      <c r="B961" s="394" t="s">
        <v>1188</v>
      </c>
      <c r="C961" s="393"/>
      <c r="D961" s="393"/>
      <c r="E961" s="394" t="s">
        <v>5</v>
      </c>
      <c r="F961" s="393"/>
      <c r="G961" s="393"/>
      <c r="H961" s="393"/>
      <c r="I961" s="393"/>
      <c r="J961" s="393"/>
      <c r="K961" s="393"/>
      <c r="L961" s="393"/>
      <c r="M961" s="240">
        <v>0</v>
      </c>
      <c r="N961" s="240">
        <v>500</v>
      </c>
      <c r="O961" s="164">
        <v>0</v>
      </c>
      <c r="P961" s="164">
        <v>7588</v>
      </c>
      <c r="Q961" s="208">
        <v>0</v>
      </c>
      <c r="R961" s="208">
        <v>0</v>
      </c>
      <c r="S961" s="208">
        <v>0</v>
      </c>
      <c r="T961" s="208">
        <v>0</v>
      </c>
      <c r="U961" s="208">
        <v>0</v>
      </c>
    </row>
    <row r="962" spans="1:21" ht="24" customHeight="1">
      <c r="B962" s="1" t="s">
        <v>378</v>
      </c>
      <c r="C962" s="89"/>
      <c r="D962" s="89"/>
      <c r="E962" s="4" t="s">
        <v>43</v>
      </c>
      <c r="F962" s="89"/>
      <c r="G962" s="89"/>
      <c r="H962" s="89"/>
      <c r="I962" s="89"/>
      <c r="J962" s="89"/>
      <c r="K962" s="89"/>
      <c r="L962" s="89"/>
      <c r="M962" s="240">
        <v>21151</v>
      </c>
      <c r="N962" s="240">
        <v>21151</v>
      </c>
      <c r="O962" s="164">
        <v>21151</v>
      </c>
      <c r="P962" s="164">
        <v>24958</v>
      </c>
      <c r="Q962" s="208">
        <v>21151</v>
      </c>
      <c r="R962" s="208">
        <v>21151</v>
      </c>
      <c r="S962" s="208">
        <v>21151</v>
      </c>
      <c r="T962" s="208">
        <v>21151</v>
      </c>
      <c r="U962" s="208">
        <v>21151</v>
      </c>
    </row>
    <row r="963" spans="1:21" ht="24" customHeight="1">
      <c r="B963" s="1" t="s">
        <v>379</v>
      </c>
      <c r="C963" s="95"/>
      <c r="D963" s="95"/>
      <c r="E963" s="1" t="s">
        <v>380</v>
      </c>
      <c r="F963" s="95"/>
      <c r="G963" s="95"/>
      <c r="H963" s="95"/>
      <c r="I963" s="95"/>
      <c r="J963" s="95"/>
      <c r="K963" s="95"/>
      <c r="L963" s="95"/>
      <c r="M963" s="240">
        <v>7552</v>
      </c>
      <c r="N963" s="240">
        <v>3249</v>
      </c>
      <c r="O963" s="164">
        <v>8500</v>
      </c>
      <c r="P963" s="164">
        <v>6700</v>
      </c>
      <c r="Q963" s="208">
        <v>1000</v>
      </c>
      <c r="R963" s="208">
        <v>1000</v>
      </c>
      <c r="S963" s="208">
        <v>1000</v>
      </c>
      <c r="T963" s="208">
        <v>1000</v>
      </c>
      <c r="U963" s="208">
        <v>1000</v>
      </c>
    </row>
    <row r="964" spans="1:21" ht="24" customHeight="1">
      <c r="B964" s="1" t="s">
        <v>381</v>
      </c>
      <c r="C964" s="95"/>
      <c r="D964" s="95"/>
      <c r="E964" s="1" t="s">
        <v>382</v>
      </c>
      <c r="F964" s="95"/>
      <c r="G964" s="95"/>
      <c r="H964" s="95"/>
      <c r="I964" s="95"/>
      <c r="J964" s="95"/>
      <c r="K964" s="95"/>
      <c r="L964" s="95"/>
      <c r="M964" s="240">
        <v>7558</v>
      </c>
      <c r="N964" s="240">
        <v>4653</v>
      </c>
      <c r="O964" s="164">
        <v>8500</v>
      </c>
      <c r="P964" s="164">
        <v>8500</v>
      </c>
      <c r="Q964" s="208">
        <v>8500</v>
      </c>
      <c r="R964" s="208">
        <v>8500</v>
      </c>
      <c r="S964" s="208">
        <v>8500</v>
      </c>
      <c r="T964" s="208">
        <v>8500</v>
      </c>
      <c r="U964" s="208">
        <v>8500</v>
      </c>
    </row>
    <row r="965" spans="1:21" ht="24" customHeight="1">
      <c r="B965" s="1" t="s">
        <v>383</v>
      </c>
      <c r="C965" s="89"/>
      <c r="D965" s="89"/>
      <c r="E965" s="1" t="s">
        <v>384</v>
      </c>
      <c r="F965" s="89"/>
      <c r="G965" s="89"/>
      <c r="H965" s="89"/>
      <c r="I965" s="89"/>
      <c r="J965" s="89"/>
      <c r="K965" s="89"/>
      <c r="L965" s="89"/>
      <c r="M965" s="240">
        <v>3582</v>
      </c>
      <c r="N965" s="240">
        <v>1426</v>
      </c>
      <c r="O965" s="164">
        <v>3800</v>
      </c>
      <c r="P965" s="164">
        <v>2750</v>
      </c>
      <c r="Q965" s="208">
        <v>3000</v>
      </c>
      <c r="R965" s="208">
        <v>3500</v>
      </c>
      <c r="S965" s="208">
        <v>3500</v>
      </c>
      <c r="T965" s="208">
        <v>3500</v>
      </c>
      <c r="U965" s="208">
        <v>3500</v>
      </c>
    </row>
    <row r="966" spans="1:21" ht="24" customHeight="1">
      <c r="B966" s="1" t="s">
        <v>909</v>
      </c>
      <c r="C966" s="89"/>
      <c r="D966" s="89"/>
      <c r="E966" s="1" t="s">
        <v>346</v>
      </c>
      <c r="F966" s="89"/>
      <c r="G966" s="89"/>
      <c r="H966" s="89"/>
      <c r="I966" s="89"/>
      <c r="J966" s="89"/>
      <c r="K966" s="89"/>
      <c r="L966" s="89"/>
      <c r="M966" s="240">
        <v>64</v>
      </c>
      <c r="N966" s="240">
        <v>2</v>
      </c>
      <c r="O966" s="165">
        <v>0</v>
      </c>
      <c r="P966" s="165">
        <v>26</v>
      </c>
      <c r="Q966" s="223">
        <v>0</v>
      </c>
      <c r="R966" s="223">
        <v>0</v>
      </c>
      <c r="S966" s="223">
        <v>0</v>
      </c>
      <c r="T966" s="223">
        <v>0</v>
      </c>
      <c r="U966" s="223">
        <v>0</v>
      </c>
    </row>
    <row r="967" spans="1:21" ht="24" customHeight="1">
      <c r="B967" s="1" t="s">
        <v>385</v>
      </c>
      <c r="C967" s="95"/>
      <c r="D967" s="95"/>
      <c r="E967" s="688" t="s">
        <v>6</v>
      </c>
      <c r="F967" s="688"/>
      <c r="G967" s="688"/>
      <c r="H967" s="688"/>
      <c r="I967" s="688"/>
      <c r="J967" s="688"/>
      <c r="K967" s="688"/>
      <c r="L967" s="688"/>
      <c r="M967" s="240">
        <v>12589</v>
      </c>
      <c r="N967" s="240">
        <v>1268</v>
      </c>
      <c r="O967" s="164">
        <v>2000</v>
      </c>
      <c r="P967" s="164">
        <v>750</v>
      </c>
      <c r="Q967" s="240">
        <v>1000</v>
      </c>
      <c r="R967" s="240">
        <v>1500</v>
      </c>
      <c r="S967" s="240">
        <v>2000</v>
      </c>
      <c r="T967" s="240">
        <v>2500</v>
      </c>
      <c r="U967" s="240">
        <v>3000</v>
      </c>
    </row>
    <row r="968" spans="1:21" ht="24" customHeight="1">
      <c r="B968" s="1" t="s">
        <v>1095</v>
      </c>
      <c r="C968" s="95"/>
      <c r="D968" s="95"/>
      <c r="E968" s="4" t="s">
        <v>1086</v>
      </c>
      <c r="F968" s="95"/>
      <c r="G968" s="95"/>
      <c r="H968" s="95"/>
      <c r="I968" s="95"/>
      <c r="J968" s="95"/>
      <c r="K968" s="95"/>
      <c r="L968" s="95"/>
      <c r="M968" s="240">
        <v>3882</v>
      </c>
      <c r="N968" s="240">
        <v>0</v>
      </c>
      <c r="O968" s="164">
        <v>0</v>
      </c>
      <c r="P968" s="164">
        <v>355</v>
      </c>
      <c r="Q968" s="240">
        <v>0</v>
      </c>
      <c r="R968" s="240">
        <v>0</v>
      </c>
      <c r="S968" s="240">
        <v>0</v>
      </c>
      <c r="T968" s="240">
        <v>0</v>
      </c>
      <c r="U968" s="240">
        <v>0</v>
      </c>
    </row>
    <row r="969" spans="1:21" ht="24" customHeight="1">
      <c r="B969" s="1" t="s">
        <v>386</v>
      </c>
      <c r="C969" s="89"/>
      <c r="D969" s="89"/>
      <c r="E969" s="1" t="s">
        <v>208</v>
      </c>
      <c r="F969" s="89"/>
      <c r="G969" s="89"/>
      <c r="H969" s="89"/>
      <c r="I969" s="89"/>
      <c r="J969" s="89"/>
      <c r="K969" s="89"/>
      <c r="L969" s="89"/>
      <c r="M969" s="228">
        <v>1400</v>
      </c>
      <c r="N969" s="228">
        <v>0</v>
      </c>
      <c r="O969" s="165">
        <v>1750</v>
      </c>
      <c r="P969" s="165">
        <v>100</v>
      </c>
      <c r="Q969" s="228">
        <v>500</v>
      </c>
      <c r="R969" s="228">
        <v>1000</v>
      </c>
      <c r="S969" s="228">
        <v>1500</v>
      </c>
      <c r="T969" s="228">
        <v>1500</v>
      </c>
      <c r="U969" s="228">
        <v>1500</v>
      </c>
    </row>
    <row r="970" spans="1:21" ht="24" customHeight="1">
      <c r="B970" s="1" t="s">
        <v>387</v>
      </c>
      <c r="C970" s="89"/>
      <c r="D970" s="89"/>
      <c r="E970" s="1" t="s">
        <v>7</v>
      </c>
      <c r="F970" s="89"/>
      <c r="G970" s="89"/>
      <c r="H970" s="89"/>
      <c r="I970" s="89"/>
      <c r="J970" s="89"/>
      <c r="K970" s="89"/>
      <c r="L970" s="89"/>
      <c r="M970" s="261">
        <v>2974</v>
      </c>
      <c r="N970" s="261">
        <v>1204</v>
      </c>
      <c r="O970" s="167">
        <v>2000</v>
      </c>
      <c r="P970" s="167">
        <v>2500</v>
      </c>
      <c r="Q970" s="261">
        <v>2750</v>
      </c>
      <c r="R970" s="261">
        <v>3000</v>
      </c>
      <c r="S970" s="261">
        <v>3000</v>
      </c>
      <c r="T970" s="261">
        <v>3000</v>
      </c>
      <c r="U970" s="261">
        <v>3000</v>
      </c>
    </row>
    <row r="971" spans="1:21" ht="24" customHeight="1">
      <c r="B971" s="689" t="s">
        <v>1268</v>
      </c>
      <c r="C971" s="689"/>
      <c r="D971" s="689"/>
      <c r="E971" s="689"/>
      <c r="F971" s="689"/>
      <c r="G971" s="689"/>
      <c r="H971" s="689"/>
      <c r="I971" s="689"/>
      <c r="J971" s="689"/>
      <c r="K971" s="689"/>
      <c r="L971" s="689"/>
      <c r="M971" s="410">
        <f t="shared" ref="M971:U971" si="126">SUM(M958:M970)</f>
        <v>1564043</v>
      </c>
      <c r="N971" s="410">
        <f t="shared" si="126"/>
        <v>1602408</v>
      </c>
      <c r="O971" s="472">
        <f t="shared" si="126"/>
        <v>1665709</v>
      </c>
      <c r="P971" s="472">
        <f t="shared" si="126"/>
        <v>1676035</v>
      </c>
      <c r="Q971" s="410">
        <f t="shared" si="126"/>
        <v>1713135</v>
      </c>
      <c r="R971" s="410">
        <f t="shared" si="126"/>
        <v>1775387</v>
      </c>
      <c r="S971" s="410">
        <f t="shared" si="126"/>
        <v>1799553</v>
      </c>
      <c r="T971" s="410">
        <f t="shared" si="126"/>
        <v>965330</v>
      </c>
      <c r="U971" s="410">
        <f t="shared" si="126"/>
        <v>993315</v>
      </c>
    </row>
    <row r="972" spans="1:21" ht="6.9" customHeight="1">
      <c r="B972" s="522"/>
      <c r="C972" s="520"/>
      <c r="D972" s="520"/>
      <c r="E972" s="522"/>
      <c r="F972" s="520"/>
      <c r="G972" s="520"/>
      <c r="H972" s="520"/>
      <c r="I972" s="520"/>
      <c r="J972" s="520"/>
      <c r="K972" s="520"/>
      <c r="L972" s="520"/>
      <c r="M972" s="220"/>
      <c r="N972" s="240"/>
      <c r="O972" s="164"/>
      <c r="P972" s="164"/>
      <c r="Q972" s="240"/>
      <c r="R972" s="240"/>
      <c r="S972" s="240"/>
      <c r="T972" s="240"/>
      <c r="U972" s="240"/>
    </row>
    <row r="973" spans="1:21" ht="24" customHeight="1">
      <c r="B973" s="1" t="s">
        <v>430</v>
      </c>
      <c r="C973" s="89"/>
      <c r="D973" s="89"/>
      <c r="E973" s="89" t="s">
        <v>238</v>
      </c>
      <c r="F973" s="89"/>
      <c r="G973" s="89"/>
      <c r="H973" s="89"/>
      <c r="I973" s="89"/>
      <c r="J973" s="89"/>
      <c r="K973" s="89"/>
      <c r="L973" s="89"/>
      <c r="M973" s="268">
        <v>24388</v>
      </c>
      <c r="N973" s="261">
        <v>25885</v>
      </c>
      <c r="O973" s="167">
        <v>26993</v>
      </c>
      <c r="P973" s="167">
        <f t="shared" ref="P973:U973" si="127">P988+P987</f>
        <v>21580</v>
      </c>
      <c r="Q973" s="261">
        <f t="shared" si="127"/>
        <v>23638</v>
      </c>
      <c r="R973" s="261">
        <f t="shared" si="127"/>
        <v>24996</v>
      </c>
      <c r="S973" s="261">
        <f t="shared" si="127"/>
        <v>26436</v>
      </c>
      <c r="T973" s="261">
        <f t="shared" si="127"/>
        <v>27962</v>
      </c>
      <c r="U973" s="261">
        <f t="shared" si="127"/>
        <v>29580</v>
      </c>
    </row>
    <row r="974" spans="1:21" ht="24" customHeight="1">
      <c r="B974" s="689" t="s">
        <v>592</v>
      </c>
      <c r="C974" s="689"/>
      <c r="D974" s="689"/>
      <c r="E974" s="689"/>
      <c r="F974" s="689"/>
      <c r="G974" s="689"/>
      <c r="H974" s="689"/>
      <c r="I974" s="689"/>
      <c r="J974" s="689"/>
      <c r="K974" s="689"/>
      <c r="L974" s="689"/>
      <c r="M974" s="408">
        <f t="shared" ref="M974:U974" si="128">M973</f>
        <v>24388</v>
      </c>
      <c r="N974" s="408">
        <f t="shared" si="128"/>
        <v>25885</v>
      </c>
      <c r="O974" s="409">
        <f t="shared" si="128"/>
        <v>26993</v>
      </c>
      <c r="P974" s="409">
        <f t="shared" si="128"/>
        <v>21580</v>
      </c>
      <c r="Q974" s="408">
        <f t="shared" si="128"/>
        <v>23638</v>
      </c>
      <c r="R974" s="408">
        <f t="shared" si="128"/>
        <v>24996</v>
      </c>
      <c r="S974" s="408">
        <f t="shared" si="128"/>
        <v>26436</v>
      </c>
      <c r="T974" s="408">
        <f t="shared" si="128"/>
        <v>27962</v>
      </c>
      <c r="U974" s="408">
        <f t="shared" si="128"/>
        <v>29580</v>
      </c>
    </row>
    <row r="975" spans="1:21" ht="15" customHeight="1">
      <c r="B975" s="89"/>
      <c r="C975" s="89"/>
      <c r="D975" s="89"/>
      <c r="E975" s="89"/>
      <c r="F975" s="89"/>
      <c r="G975" s="89"/>
      <c r="H975" s="89"/>
      <c r="I975" s="89"/>
      <c r="J975" s="89"/>
      <c r="K975" s="89"/>
      <c r="L975" s="89"/>
      <c r="M975" s="226"/>
      <c r="N975" s="226"/>
      <c r="O975" s="168"/>
      <c r="P975" s="168"/>
      <c r="Q975" s="267"/>
      <c r="R975" s="267"/>
      <c r="S975" s="267"/>
      <c r="T975" s="267"/>
      <c r="U975" s="267"/>
    </row>
    <row r="976" spans="1:21" s="89" customFormat="1" ht="24" customHeight="1">
      <c r="A976" s="576"/>
      <c r="B976" s="689" t="s">
        <v>1269</v>
      </c>
      <c r="C976" s="689"/>
      <c r="D976" s="689"/>
      <c r="E976" s="689"/>
      <c r="F976" s="689"/>
      <c r="G976" s="689"/>
      <c r="H976" s="689"/>
      <c r="I976" s="689"/>
      <c r="J976" s="689"/>
      <c r="K976" s="689"/>
      <c r="L976" s="689"/>
      <c r="M976" s="408">
        <f t="shared" ref="M976:U976" si="129">M971+M974</f>
        <v>1588431</v>
      </c>
      <c r="N976" s="408">
        <f t="shared" si="129"/>
        <v>1628293</v>
      </c>
      <c r="O976" s="409">
        <f t="shared" si="129"/>
        <v>1692702</v>
      </c>
      <c r="P976" s="409">
        <f t="shared" si="129"/>
        <v>1697615</v>
      </c>
      <c r="Q976" s="408">
        <f t="shared" si="129"/>
        <v>1736773</v>
      </c>
      <c r="R976" s="408">
        <f t="shared" si="129"/>
        <v>1800383</v>
      </c>
      <c r="S976" s="408">
        <f t="shared" si="129"/>
        <v>1825989</v>
      </c>
      <c r="T976" s="408">
        <f t="shared" si="129"/>
        <v>993292</v>
      </c>
      <c r="U976" s="408">
        <f t="shared" si="129"/>
        <v>1022895</v>
      </c>
    </row>
    <row r="977" spans="2:21" ht="15" customHeight="1">
      <c r="B977" s="89"/>
      <c r="C977" s="89"/>
      <c r="D977" s="89"/>
      <c r="E977" s="89"/>
      <c r="F977" s="89"/>
      <c r="G977" s="89"/>
      <c r="H977" s="89"/>
      <c r="I977" s="89"/>
      <c r="J977" s="89"/>
      <c r="K977" s="89"/>
      <c r="L977" s="89"/>
      <c r="M977" s="439"/>
      <c r="N977" s="439"/>
      <c r="O977" s="455"/>
      <c r="P977" s="455"/>
      <c r="Q977" s="441"/>
      <c r="R977" s="441"/>
      <c r="S977" s="441"/>
      <c r="T977" s="441"/>
      <c r="U977" s="441"/>
    </row>
    <row r="978" spans="2:21" ht="24" customHeight="1">
      <c r="B978" s="98" t="s">
        <v>1296</v>
      </c>
      <c r="C978" s="520"/>
      <c r="D978" s="520"/>
      <c r="E978" s="520"/>
      <c r="F978" s="520"/>
      <c r="G978" s="520"/>
      <c r="H978" s="520"/>
      <c r="I978" s="520"/>
      <c r="J978" s="520"/>
      <c r="K978" s="520"/>
      <c r="L978" s="520"/>
      <c r="M978" s="439"/>
      <c r="N978" s="439"/>
      <c r="O978" s="455"/>
      <c r="P978" s="455"/>
      <c r="Q978" s="441"/>
      <c r="R978" s="441"/>
      <c r="S978" s="441"/>
      <c r="T978" s="441"/>
      <c r="U978" s="441"/>
    </row>
    <row r="979" spans="2:21" ht="24" customHeight="1">
      <c r="B979" s="1" t="s">
        <v>388</v>
      </c>
      <c r="C979" s="95"/>
      <c r="D979" s="95"/>
      <c r="E979" s="1" t="s">
        <v>722</v>
      </c>
      <c r="F979" s="95"/>
      <c r="G979" s="95"/>
      <c r="H979" s="95"/>
      <c r="I979" s="95"/>
      <c r="J979" s="95"/>
      <c r="K979" s="95"/>
      <c r="L979" s="95"/>
      <c r="M979" s="404">
        <v>275622</v>
      </c>
      <c r="N979" s="404">
        <v>274146</v>
      </c>
      <c r="O979" s="405">
        <v>286470</v>
      </c>
      <c r="P979" s="405">
        <v>276000</v>
      </c>
      <c r="Q979" s="404">
        <v>291111</v>
      </c>
      <c r="R979" s="404">
        <v>299844</v>
      </c>
      <c r="S979" s="404">
        <v>308839</v>
      </c>
      <c r="T979" s="404">
        <v>318104</v>
      </c>
      <c r="U979" s="404">
        <v>327647</v>
      </c>
    </row>
    <row r="980" spans="2:21" ht="24" customHeight="1">
      <c r="B980" s="1" t="s">
        <v>389</v>
      </c>
      <c r="C980" s="95"/>
      <c r="D980" s="95"/>
      <c r="E980" s="1" t="s">
        <v>66</v>
      </c>
      <c r="F980" s="95"/>
      <c r="G980" s="95"/>
      <c r="H980" s="95"/>
      <c r="I980" s="95"/>
      <c r="J980" s="95"/>
      <c r="K980" s="95"/>
      <c r="L980" s="95"/>
      <c r="M980" s="228">
        <v>166497</v>
      </c>
      <c r="N980" s="228">
        <v>151629</v>
      </c>
      <c r="O980" s="165">
        <v>195544</v>
      </c>
      <c r="P980" s="165">
        <v>171000</v>
      </c>
      <c r="Q980" s="228">
        <v>213000</v>
      </c>
      <c r="R980" s="228">
        <v>223000</v>
      </c>
      <c r="S980" s="228">
        <v>234000</v>
      </c>
      <c r="T980" s="228">
        <v>244000</v>
      </c>
      <c r="U980" s="228">
        <v>251000</v>
      </c>
    </row>
    <row r="981" spans="2:21" ht="24" customHeight="1">
      <c r="B981" s="1" t="s">
        <v>390</v>
      </c>
      <c r="C981" s="95"/>
      <c r="D981" s="95"/>
      <c r="E981" s="1" t="s">
        <v>8</v>
      </c>
      <c r="F981" s="95"/>
      <c r="G981" s="95"/>
      <c r="H981" s="95"/>
      <c r="I981" s="95"/>
      <c r="J981" s="95"/>
      <c r="K981" s="95"/>
      <c r="L981" s="95"/>
      <c r="M981" s="228">
        <v>27240</v>
      </c>
      <c r="N981" s="228">
        <v>30711</v>
      </c>
      <c r="O981" s="165">
        <v>32180</v>
      </c>
      <c r="P981" s="165">
        <v>28500</v>
      </c>
      <c r="Q981" s="228">
        <v>26240</v>
      </c>
      <c r="R981" s="240">
        <v>30341</v>
      </c>
      <c r="S981" s="240">
        <v>32196</v>
      </c>
      <c r="T981" s="240">
        <v>34135</v>
      </c>
      <c r="U981" s="240">
        <v>36233</v>
      </c>
    </row>
    <row r="982" spans="2:21" ht="24" customHeight="1">
      <c r="B982" s="1" t="s">
        <v>391</v>
      </c>
      <c r="C982" s="89"/>
      <c r="D982" s="89"/>
      <c r="E982" s="1" t="s">
        <v>9</v>
      </c>
      <c r="F982" s="89"/>
      <c r="G982" s="89"/>
      <c r="H982" s="89"/>
      <c r="I982" s="89"/>
      <c r="J982" s="89"/>
      <c r="K982" s="89"/>
      <c r="L982" s="89"/>
      <c r="M982" s="228">
        <v>33137</v>
      </c>
      <c r="N982" s="228">
        <v>31869</v>
      </c>
      <c r="O982" s="165">
        <v>35685</v>
      </c>
      <c r="P982" s="165">
        <v>33000</v>
      </c>
      <c r="Q982" s="228">
        <v>37585</v>
      </c>
      <c r="R982" s="228">
        <v>39998</v>
      </c>
      <c r="S982" s="228">
        <v>41527</v>
      </c>
      <c r="T982" s="228">
        <v>43001</v>
      </c>
      <c r="U982" s="228">
        <v>44266</v>
      </c>
    </row>
    <row r="983" spans="2:21" ht="24" customHeight="1">
      <c r="B983" s="1" t="s">
        <v>392</v>
      </c>
      <c r="C983" s="95"/>
      <c r="D983" s="95"/>
      <c r="E983" s="1" t="s">
        <v>13</v>
      </c>
      <c r="F983" s="95"/>
      <c r="G983" s="95"/>
      <c r="H983" s="95"/>
      <c r="I983" s="95"/>
      <c r="J983" s="95"/>
      <c r="K983" s="95"/>
      <c r="L983" s="95"/>
      <c r="M983" s="228">
        <v>71184</v>
      </c>
      <c r="N983" s="228">
        <v>73940</v>
      </c>
      <c r="O983" s="165">
        <v>105501</v>
      </c>
      <c r="P983" s="165">
        <v>94924</v>
      </c>
      <c r="Q983" s="228">
        <v>102663</v>
      </c>
      <c r="R983" s="240">
        <v>117593</v>
      </c>
      <c r="S983" s="240">
        <v>127000</v>
      </c>
      <c r="T983" s="240">
        <v>137160</v>
      </c>
      <c r="U983" s="240">
        <v>148133</v>
      </c>
    </row>
    <row r="984" spans="2:21" ht="24" customHeight="1">
      <c r="B984" s="1" t="s">
        <v>393</v>
      </c>
      <c r="C984" s="89"/>
      <c r="D984" s="89"/>
      <c r="E984" s="1" t="s">
        <v>161</v>
      </c>
      <c r="F984" s="89"/>
      <c r="G984" s="89"/>
      <c r="H984" s="89"/>
      <c r="I984" s="89"/>
      <c r="J984" s="89"/>
      <c r="K984" s="89"/>
      <c r="L984" s="89"/>
      <c r="M984" s="228">
        <v>362</v>
      </c>
      <c r="N984" s="228">
        <v>328</v>
      </c>
      <c r="O984" s="165">
        <v>377</v>
      </c>
      <c r="P984" s="165">
        <v>532</v>
      </c>
      <c r="Q984" s="228">
        <v>586</v>
      </c>
      <c r="R984" s="240">
        <v>395</v>
      </c>
      <c r="S984" s="240">
        <v>399</v>
      </c>
      <c r="T984" s="240">
        <v>403</v>
      </c>
      <c r="U984" s="240">
        <v>407</v>
      </c>
    </row>
    <row r="985" spans="2:21" ht="24" customHeight="1">
      <c r="B985" s="1" t="s">
        <v>394</v>
      </c>
      <c r="C985" s="89"/>
      <c r="D985" s="89"/>
      <c r="E985" s="1" t="s">
        <v>461</v>
      </c>
      <c r="F985" s="89"/>
      <c r="G985" s="89"/>
      <c r="H985" s="89"/>
      <c r="I985" s="89"/>
      <c r="J985" s="89"/>
      <c r="K985" s="89"/>
      <c r="L985" s="89"/>
      <c r="M985" s="228">
        <v>6987</v>
      </c>
      <c r="N985" s="228">
        <v>5977</v>
      </c>
      <c r="O985" s="165">
        <v>7079</v>
      </c>
      <c r="P985" s="165">
        <v>6485</v>
      </c>
      <c r="Q985" s="228">
        <v>7135</v>
      </c>
      <c r="R985" s="240">
        <v>7715</v>
      </c>
      <c r="S985" s="240">
        <v>8101</v>
      </c>
      <c r="T985" s="240">
        <v>8506</v>
      </c>
      <c r="U985" s="240">
        <v>8931</v>
      </c>
    </row>
    <row r="986" spans="2:21" ht="24" customHeight="1">
      <c r="B986" s="1" t="s">
        <v>471</v>
      </c>
      <c r="C986" s="89"/>
      <c r="D986" s="89"/>
      <c r="E986" s="1" t="s">
        <v>463</v>
      </c>
      <c r="F986" s="89"/>
      <c r="G986" s="89"/>
      <c r="H986" s="89"/>
      <c r="I986" s="89"/>
      <c r="J986" s="89"/>
      <c r="K986" s="89"/>
      <c r="L986" s="89"/>
      <c r="M986" s="228">
        <v>1012</v>
      </c>
      <c r="N986" s="228">
        <v>999</v>
      </c>
      <c r="O986" s="164">
        <v>1088</v>
      </c>
      <c r="P986" s="165">
        <v>882</v>
      </c>
      <c r="Q986" s="240">
        <v>1051</v>
      </c>
      <c r="R986" s="240">
        <v>1162</v>
      </c>
      <c r="S986" s="240">
        <v>1197</v>
      </c>
      <c r="T986" s="240">
        <v>1233</v>
      </c>
      <c r="U986" s="240">
        <v>1270</v>
      </c>
    </row>
    <row r="987" spans="2:21" ht="24" customHeight="1">
      <c r="B987" s="1" t="s">
        <v>542</v>
      </c>
      <c r="C987" s="89"/>
      <c r="D987" s="89"/>
      <c r="E987" s="1" t="s">
        <v>160</v>
      </c>
      <c r="F987" s="89"/>
      <c r="G987" s="89"/>
      <c r="H987" s="89"/>
      <c r="I987" s="89"/>
      <c r="J987" s="89"/>
      <c r="K987" s="89"/>
      <c r="L987" s="89"/>
      <c r="M987" s="240">
        <v>849</v>
      </c>
      <c r="N987" s="240">
        <v>1363</v>
      </c>
      <c r="O987" s="164">
        <v>1000</v>
      </c>
      <c r="P987" s="164">
        <v>1000</v>
      </c>
      <c r="Q987" s="240">
        <v>1000</v>
      </c>
      <c r="R987" s="240">
        <v>1000</v>
      </c>
      <c r="S987" s="240">
        <v>1000</v>
      </c>
      <c r="T987" s="240">
        <v>1000</v>
      </c>
      <c r="U987" s="240">
        <v>1000</v>
      </c>
    </row>
    <row r="988" spans="2:21" ht="24" customHeight="1">
      <c r="B988" s="1" t="s">
        <v>528</v>
      </c>
      <c r="C988" s="89"/>
      <c r="D988" s="89"/>
      <c r="E988" s="1" t="s">
        <v>214</v>
      </c>
      <c r="F988" s="89"/>
      <c r="G988" s="89"/>
      <c r="H988" s="89"/>
      <c r="I988" s="89"/>
      <c r="J988" s="89"/>
      <c r="K988" s="89"/>
      <c r="L988" s="89"/>
      <c r="M988" s="240">
        <v>23539</v>
      </c>
      <c r="N988" s="240">
        <v>24522</v>
      </c>
      <c r="O988" s="164">
        <v>25993</v>
      </c>
      <c r="P988" s="164">
        <v>20580</v>
      </c>
      <c r="Q988" s="240">
        <v>22638</v>
      </c>
      <c r="R988" s="240">
        <v>23996</v>
      </c>
      <c r="S988" s="240">
        <v>25436</v>
      </c>
      <c r="T988" s="240">
        <v>26962</v>
      </c>
      <c r="U988" s="240">
        <v>28580</v>
      </c>
    </row>
    <row r="989" spans="2:21" ht="24" customHeight="1">
      <c r="B989" s="1" t="s">
        <v>395</v>
      </c>
      <c r="C989" s="95"/>
      <c r="D989" s="95"/>
      <c r="E989" s="1" t="s">
        <v>86</v>
      </c>
      <c r="F989" s="95"/>
      <c r="G989" s="95"/>
      <c r="H989" s="95"/>
      <c r="I989" s="95"/>
      <c r="J989" s="95"/>
      <c r="K989" s="95"/>
      <c r="L989" s="95"/>
      <c r="M989" s="240">
        <v>486</v>
      </c>
      <c r="N989" s="240">
        <v>30</v>
      </c>
      <c r="O989" s="164">
        <v>3000</v>
      </c>
      <c r="P989" s="164">
        <v>1500</v>
      </c>
      <c r="Q989" s="240">
        <v>3000</v>
      </c>
      <c r="R989" s="240">
        <v>3000</v>
      </c>
      <c r="S989" s="240">
        <v>3000</v>
      </c>
      <c r="T989" s="240">
        <v>3000</v>
      </c>
      <c r="U989" s="240">
        <v>3000</v>
      </c>
    </row>
    <row r="990" spans="2:21" ht="24" customHeight="1">
      <c r="B990" s="1" t="s">
        <v>396</v>
      </c>
      <c r="C990" s="95"/>
      <c r="D990" s="95"/>
      <c r="E990" s="1" t="s">
        <v>828</v>
      </c>
      <c r="F990" s="95"/>
      <c r="G990" s="95"/>
      <c r="H990" s="95"/>
      <c r="I990" s="95"/>
      <c r="J990" s="95"/>
      <c r="K990" s="95"/>
      <c r="L990" s="95"/>
      <c r="M990" s="240">
        <v>1834</v>
      </c>
      <c r="N990" s="240">
        <v>0</v>
      </c>
      <c r="O990" s="164">
        <v>1500</v>
      </c>
      <c r="P990" s="164">
        <v>750</v>
      </c>
      <c r="Q990" s="240">
        <v>1500</v>
      </c>
      <c r="R990" s="240">
        <v>1500</v>
      </c>
      <c r="S990" s="240">
        <v>1500</v>
      </c>
      <c r="T990" s="240">
        <v>1500</v>
      </c>
      <c r="U990" s="240">
        <v>1500</v>
      </c>
    </row>
    <row r="991" spans="2:21" ht="24" customHeight="1">
      <c r="B991" s="1" t="s">
        <v>397</v>
      </c>
      <c r="C991" s="95"/>
      <c r="D991" s="95"/>
      <c r="E991" s="1" t="s">
        <v>85</v>
      </c>
      <c r="F991" s="95"/>
      <c r="G991" s="95"/>
      <c r="H991" s="95"/>
      <c r="I991" s="95"/>
      <c r="J991" s="95"/>
      <c r="K991" s="95"/>
      <c r="L991" s="95"/>
      <c r="M991" s="240">
        <v>825</v>
      </c>
      <c r="N991" s="240">
        <v>1104</v>
      </c>
      <c r="O991" s="164">
        <v>2500</v>
      </c>
      <c r="P991" s="164">
        <v>2500</v>
      </c>
      <c r="Q991" s="240">
        <v>2500</v>
      </c>
      <c r="R991" s="240">
        <v>2500</v>
      </c>
      <c r="S991" s="240">
        <v>2500</v>
      </c>
      <c r="T991" s="240">
        <v>2500</v>
      </c>
      <c r="U991" s="240">
        <v>2500</v>
      </c>
    </row>
    <row r="992" spans="2:21" ht="24" customHeight="1">
      <c r="B992" s="1" t="s">
        <v>398</v>
      </c>
      <c r="C992" s="89"/>
      <c r="D992" s="89"/>
      <c r="E992" s="1" t="s">
        <v>209</v>
      </c>
      <c r="F992" s="89"/>
      <c r="G992" s="89"/>
      <c r="H992" s="89"/>
      <c r="I992" s="89"/>
      <c r="J992" s="89"/>
      <c r="K992" s="89"/>
      <c r="L992" s="89"/>
      <c r="M992" s="240">
        <v>4524</v>
      </c>
      <c r="N992" s="240">
        <v>4814</v>
      </c>
      <c r="O992" s="164">
        <v>7200</v>
      </c>
      <c r="P992" s="164">
        <v>7200</v>
      </c>
      <c r="Q992" s="240">
        <v>8000</v>
      </c>
      <c r="R992" s="240">
        <v>8000</v>
      </c>
      <c r="S992" s="240">
        <v>8000</v>
      </c>
      <c r="T992" s="240">
        <v>8000</v>
      </c>
      <c r="U992" s="240">
        <v>8000</v>
      </c>
    </row>
    <row r="993" spans="2:21" ht="24" customHeight="1">
      <c r="B993" s="1" t="s">
        <v>399</v>
      </c>
      <c r="C993" s="95"/>
      <c r="D993" s="95"/>
      <c r="E993" s="1" t="s">
        <v>84</v>
      </c>
      <c r="F993" s="95"/>
      <c r="G993" s="95"/>
      <c r="H993" s="95"/>
      <c r="I993" s="95"/>
      <c r="J993" s="95"/>
      <c r="K993" s="95"/>
      <c r="L993" s="95"/>
      <c r="M993" s="240">
        <v>483</v>
      </c>
      <c r="N993" s="240">
        <v>491</v>
      </c>
      <c r="O993" s="164">
        <v>750</v>
      </c>
      <c r="P993" s="164">
        <v>750</v>
      </c>
      <c r="Q993" s="240">
        <v>750</v>
      </c>
      <c r="R993" s="240">
        <v>750</v>
      </c>
      <c r="S993" s="240">
        <v>750</v>
      </c>
      <c r="T993" s="240">
        <v>750</v>
      </c>
      <c r="U993" s="240">
        <v>750</v>
      </c>
    </row>
    <row r="994" spans="2:21" ht="24" customHeight="1">
      <c r="B994" s="638" t="s">
        <v>1443</v>
      </c>
      <c r="C994" s="636"/>
      <c r="D994" s="636"/>
      <c r="E994" s="637" t="s">
        <v>1444</v>
      </c>
      <c r="F994" s="636"/>
      <c r="G994" s="636"/>
      <c r="H994" s="636"/>
      <c r="I994" s="636"/>
      <c r="J994" s="636"/>
      <c r="K994" s="636"/>
      <c r="L994" s="637"/>
      <c r="M994" s="265">
        <v>0</v>
      </c>
      <c r="N994" s="265">
        <v>0</v>
      </c>
      <c r="O994" s="523">
        <v>0</v>
      </c>
      <c r="P994" s="523">
        <v>0</v>
      </c>
      <c r="Q994" s="265">
        <v>6428</v>
      </c>
      <c r="R994" s="265">
        <v>6621</v>
      </c>
      <c r="S994" s="265">
        <v>6820</v>
      </c>
      <c r="T994" s="265">
        <v>7025</v>
      </c>
      <c r="U994" s="265">
        <v>7236</v>
      </c>
    </row>
    <row r="995" spans="2:21" ht="24" customHeight="1">
      <c r="B995" s="1" t="s">
        <v>400</v>
      </c>
      <c r="C995" s="89"/>
      <c r="D995" s="89"/>
      <c r="E995" s="1" t="s">
        <v>830</v>
      </c>
      <c r="F995" s="89"/>
      <c r="G995" s="89"/>
      <c r="H995" s="89"/>
      <c r="I995" s="89"/>
      <c r="J995" s="89"/>
      <c r="K995" s="89"/>
      <c r="L995" s="89"/>
      <c r="M995" s="240">
        <v>9755</v>
      </c>
      <c r="N995" s="240">
        <v>11974</v>
      </c>
      <c r="O995" s="164">
        <v>11000</v>
      </c>
      <c r="P995" s="164">
        <v>11000</v>
      </c>
      <c r="Q995" s="208">
        <v>11000</v>
      </c>
      <c r="R995" s="208">
        <v>11000</v>
      </c>
      <c r="S995" s="208">
        <v>11000</v>
      </c>
      <c r="T995" s="208">
        <v>11000</v>
      </c>
      <c r="U995" s="208">
        <v>11000</v>
      </c>
    </row>
    <row r="996" spans="2:21" ht="24" customHeight="1">
      <c r="B996" s="1" t="s">
        <v>401</v>
      </c>
      <c r="C996" s="89"/>
      <c r="D996" s="89"/>
      <c r="E996" s="1" t="s">
        <v>10</v>
      </c>
      <c r="F996" s="89"/>
      <c r="G996" s="89"/>
      <c r="H996" s="89"/>
      <c r="I996" s="89"/>
      <c r="J996" s="89"/>
      <c r="K996" s="89"/>
      <c r="L996" s="89"/>
      <c r="M996" s="240">
        <v>29445</v>
      </c>
      <c r="N996" s="240">
        <v>41078</v>
      </c>
      <c r="O996" s="164">
        <v>40000</v>
      </c>
      <c r="P996" s="164">
        <v>40000</v>
      </c>
      <c r="Q996" s="208">
        <v>40000</v>
      </c>
      <c r="R996" s="208">
        <v>40000</v>
      </c>
      <c r="S996" s="208">
        <v>40000</v>
      </c>
      <c r="T996" s="208">
        <v>40000</v>
      </c>
      <c r="U996" s="208">
        <v>40000</v>
      </c>
    </row>
    <row r="997" spans="2:21" ht="24" customHeight="1">
      <c r="B997" s="1" t="s">
        <v>402</v>
      </c>
      <c r="C997" s="89"/>
      <c r="D997" s="89"/>
      <c r="E997" s="1" t="s">
        <v>120</v>
      </c>
      <c r="F997" s="89"/>
      <c r="G997" s="89"/>
      <c r="H997" s="95"/>
      <c r="I997" s="95"/>
      <c r="J997" s="95"/>
      <c r="K997" s="95"/>
      <c r="L997" s="95"/>
      <c r="M997" s="240">
        <v>630</v>
      </c>
      <c r="N997" s="240">
        <v>4613</v>
      </c>
      <c r="O997" s="164">
        <v>3000</v>
      </c>
      <c r="P997" s="164">
        <v>3000</v>
      </c>
      <c r="Q997" s="208">
        <v>3000</v>
      </c>
      <c r="R997" s="208">
        <v>3000</v>
      </c>
      <c r="S997" s="208">
        <v>3000</v>
      </c>
      <c r="T997" s="208">
        <v>3000</v>
      </c>
      <c r="U997" s="208">
        <v>3000</v>
      </c>
    </row>
    <row r="998" spans="2:21" ht="24" customHeight="1">
      <c r="B998" s="1" t="s">
        <v>403</v>
      </c>
      <c r="C998" s="89"/>
      <c r="D998" s="89"/>
      <c r="E998" s="1" t="s">
        <v>404</v>
      </c>
      <c r="F998" s="89"/>
      <c r="G998" s="89"/>
      <c r="H998" s="109"/>
      <c r="I998" s="109"/>
      <c r="J998" s="109"/>
      <c r="K998" s="109"/>
      <c r="L998" s="109"/>
      <c r="M998" s="240">
        <v>15603</v>
      </c>
      <c r="N998" s="240">
        <v>16752</v>
      </c>
      <c r="O998" s="164">
        <v>20000</v>
      </c>
      <c r="P998" s="164">
        <v>20000</v>
      </c>
      <c r="Q998" s="240">
        <v>21000</v>
      </c>
      <c r="R998" s="240">
        <v>21000</v>
      </c>
      <c r="S998" s="240">
        <v>21000</v>
      </c>
      <c r="T998" s="240">
        <v>21000</v>
      </c>
      <c r="U998" s="240">
        <v>21000</v>
      </c>
    </row>
    <row r="999" spans="2:21" ht="24" customHeight="1">
      <c r="B999" s="1" t="s">
        <v>405</v>
      </c>
      <c r="C999" s="95"/>
      <c r="D999" s="95"/>
      <c r="E999" s="1" t="s">
        <v>17</v>
      </c>
      <c r="F999" s="95"/>
      <c r="G999" s="95"/>
      <c r="H999" s="95"/>
      <c r="I999" s="95"/>
      <c r="J999" s="95"/>
      <c r="K999" s="95"/>
      <c r="L999" s="95"/>
      <c r="M999" s="240">
        <v>10992</v>
      </c>
      <c r="N999" s="240">
        <v>13213</v>
      </c>
      <c r="O999" s="164">
        <v>12351</v>
      </c>
      <c r="P999" s="164">
        <v>22000</v>
      </c>
      <c r="Q999" s="240">
        <v>23320</v>
      </c>
      <c r="R999" s="240">
        <v>24719</v>
      </c>
      <c r="S999" s="240">
        <v>26202</v>
      </c>
      <c r="T999" s="240">
        <v>27774</v>
      </c>
      <c r="U999" s="240">
        <v>29440</v>
      </c>
    </row>
    <row r="1000" spans="2:21" ht="24" customHeight="1">
      <c r="B1000" s="1" t="s">
        <v>406</v>
      </c>
      <c r="C1000" s="95"/>
      <c r="D1000" s="95"/>
      <c r="E1000" s="1" t="s">
        <v>832</v>
      </c>
      <c r="F1000" s="95"/>
      <c r="G1000" s="95"/>
      <c r="H1000" s="95"/>
      <c r="I1000" s="95"/>
      <c r="J1000" s="95"/>
      <c r="K1000" s="95"/>
      <c r="L1000" s="95"/>
      <c r="M1000" s="352">
        <v>61034</v>
      </c>
      <c r="N1000" s="352">
        <v>31608</v>
      </c>
      <c r="O1000" s="176">
        <v>50000</v>
      </c>
      <c r="P1000" s="176">
        <v>50000</v>
      </c>
      <c r="Q1000" s="207">
        <v>50000</v>
      </c>
      <c r="R1000" s="207">
        <v>50000</v>
      </c>
      <c r="S1000" s="207">
        <v>50000</v>
      </c>
      <c r="T1000" s="207">
        <v>50000</v>
      </c>
      <c r="U1000" s="207">
        <v>50000</v>
      </c>
    </row>
    <row r="1001" spans="2:21" ht="24" customHeight="1">
      <c r="B1001" s="1" t="s">
        <v>552</v>
      </c>
      <c r="C1001" s="95"/>
      <c r="D1001" s="95"/>
      <c r="E1001" s="1" t="s">
        <v>259</v>
      </c>
      <c r="F1001" s="95"/>
      <c r="G1001" s="95"/>
      <c r="H1001" s="95"/>
      <c r="I1001" s="95"/>
      <c r="J1001" s="95"/>
      <c r="K1001" s="95"/>
      <c r="L1001" s="95"/>
      <c r="M1001" s="352">
        <v>1689</v>
      </c>
      <c r="N1001" s="352">
        <v>1689</v>
      </c>
      <c r="O1001" s="176">
        <v>1700</v>
      </c>
      <c r="P1001" s="176">
        <v>1689</v>
      </c>
      <c r="Q1001" s="207">
        <v>1700</v>
      </c>
      <c r="R1001" s="207">
        <v>1700</v>
      </c>
      <c r="S1001" s="207">
        <v>1700</v>
      </c>
      <c r="T1001" s="207">
        <v>0</v>
      </c>
      <c r="U1001" s="207">
        <v>0</v>
      </c>
    </row>
    <row r="1002" spans="2:21" ht="24" customHeight="1">
      <c r="B1002" s="1" t="s">
        <v>407</v>
      </c>
      <c r="C1002" s="95"/>
      <c r="D1002" s="95"/>
      <c r="E1002" s="1" t="s">
        <v>11</v>
      </c>
      <c r="F1002" s="95"/>
      <c r="G1002" s="95"/>
      <c r="H1002" s="95"/>
      <c r="I1002" s="95"/>
      <c r="J1002" s="95"/>
      <c r="K1002" s="95"/>
      <c r="L1002" s="95"/>
      <c r="M1002" s="240">
        <v>8408</v>
      </c>
      <c r="N1002" s="240">
        <v>4773</v>
      </c>
      <c r="O1002" s="164">
        <v>8000</v>
      </c>
      <c r="P1002" s="164">
        <v>8000</v>
      </c>
      <c r="Q1002" s="240">
        <v>8000</v>
      </c>
      <c r="R1002" s="240">
        <v>8000</v>
      </c>
      <c r="S1002" s="240">
        <v>8000</v>
      </c>
      <c r="T1002" s="240">
        <v>8000</v>
      </c>
      <c r="U1002" s="240">
        <v>8000</v>
      </c>
    </row>
    <row r="1003" spans="2:21" ht="24" customHeight="1">
      <c r="B1003" s="1" t="s">
        <v>408</v>
      </c>
      <c r="C1003" s="95"/>
      <c r="D1003" s="95"/>
      <c r="E1003" s="1" t="s">
        <v>1080</v>
      </c>
      <c r="F1003" s="95"/>
      <c r="G1003" s="95"/>
      <c r="H1003" s="95"/>
      <c r="I1003" s="95"/>
      <c r="J1003" s="95"/>
      <c r="K1003" s="95"/>
      <c r="L1003" s="95"/>
      <c r="M1003" s="240">
        <v>3325</v>
      </c>
      <c r="N1003" s="240">
        <v>1559</v>
      </c>
      <c r="O1003" s="164">
        <v>4000</v>
      </c>
      <c r="P1003" s="164">
        <v>4000</v>
      </c>
      <c r="Q1003" s="240">
        <v>4000</v>
      </c>
      <c r="R1003" s="240">
        <v>4000</v>
      </c>
      <c r="S1003" s="240">
        <v>4000</v>
      </c>
      <c r="T1003" s="240">
        <v>4000</v>
      </c>
      <c r="U1003" s="240">
        <v>4000</v>
      </c>
    </row>
    <row r="1004" spans="2:21" ht="24" customHeight="1">
      <c r="B1004" s="1" t="s">
        <v>1078</v>
      </c>
      <c r="C1004" s="95"/>
      <c r="D1004" s="95"/>
      <c r="E1004" s="1" t="s">
        <v>1079</v>
      </c>
      <c r="F1004" s="95"/>
      <c r="G1004" s="95"/>
      <c r="H1004" s="95"/>
      <c r="I1004" s="95"/>
      <c r="J1004" s="95"/>
      <c r="K1004" s="95"/>
      <c r="L1004" s="95"/>
      <c r="M1004" s="240">
        <v>9695</v>
      </c>
      <c r="N1004" s="240">
        <v>11132</v>
      </c>
      <c r="O1004" s="164">
        <v>7000</v>
      </c>
      <c r="P1004" s="164">
        <v>7000</v>
      </c>
      <c r="Q1004" s="240">
        <v>7000</v>
      </c>
      <c r="R1004" s="240">
        <v>7000</v>
      </c>
      <c r="S1004" s="240">
        <v>7000</v>
      </c>
      <c r="T1004" s="240">
        <v>7000</v>
      </c>
      <c r="U1004" s="240">
        <v>7000</v>
      </c>
    </row>
    <row r="1005" spans="2:21" ht="24" customHeight="1">
      <c r="B1005" s="1" t="s">
        <v>1117</v>
      </c>
      <c r="C1005" s="95"/>
      <c r="D1005" s="95"/>
      <c r="E1005" s="1" t="s">
        <v>218</v>
      </c>
      <c r="F1005" s="95"/>
      <c r="G1005" s="95"/>
      <c r="H1005" s="95"/>
      <c r="I1005" s="95"/>
      <c r="J1005" s="95"/>
      <c r="K1005" s="95"/>
      <c r="L1005" s="95"/>
      <c r="M1005" s="240">
        <v>0</v>
      </c>
      <c r="N1005" s="240">
        <v>348</v>
      </c>
      <c r="O1005" s="164">
        <v>2000</v>
      </c>
      <c r="P1005" s="164">
        <v>3000</v>
      </c>
      <c r="Q1005" s="240">
        <v>3000</v>
      </c>
      <c r="R1005" s="240">
        <v>3000</v>
      </c>
      <c r="S1005" s="240">
        <v>3000</v>
      </c>
      <c r="T1005" s="240">
        <v>3000</v>
      </c>
      <c r="U1005" s="240">
        <v>3000</v>
      </c>
    </row>
    <row r="1006" spans="2:21" ht="24" customHeight="1">
      <c r="B1006" s="1" t="s">
        <v>409</v>
      </c>
      <c r="C1006" s="95"/>
      <c r="D1006" s="95"/>
      <c r="E1006" s="1" t="s">
        <v>410</v>
      </c>
      <c r="F1006" s="95"/>
      <c r="G1006" s="95"/>
      <c r="H1006" s="95"/>
      <c r="I1006" s="95"/>
      <c r="J1006" s="95"/>
      <c r="K1006" s="95"/>
      <c r="L1006" s="95"/>
      <c r="M1006" s="240">
        <v>1022</v>
      </c>
      <c r="N1006" s="240">
        <v>679</v>
      </c>
      <c r="O1006" s="164">
        <v>2000</v>
      </c>
      <c r="P1006" s="164">
        <v>2000</v>
      </c>
      <c r="Q1006" s="240">
        <v>2000</v>
      </c>
      <c r="R1006" s="240">
        <v>2000</v>
      </c>
      <c r="S1006" s="240">
        <v>2000</v>
      </c>
      <c r="T1006" s="240">
        <v>2000</v>
      </c>
      <c r="U1006" s="240">
        <v>2000</v>
      </c>
    </row>
    <row r="1007" spans="2:21" ht="24" customHeight="1">
      <c r="B1007" s="1" t="s">
        <v>411</v>
      </c>
      <c r="C1007" s="89"/>
      <c r="D1007" s="89"/>
      <c r="E1007" s="1" t="s">
        <v>412</v>
      </c>
      <c r="F1007" s="89"/>
      <c r="G1007" s="89"/>
      <c r="H1007" s="89"/>
      <c r="I1007" s="89"/>
      <c r="J1007" s="89"/>
      <c r="K1007" s="89"/>
      <c r="L1007" s="89"/>
      <c r="M1007" s="240">
        <v>200</v>
      </c>
      <c r="N1007" s="240">
        <v>45</v>
      </c>
      <c r="O1007" s="164">
        <v>300</v>
      </c>
      <c r="P1007" s="164">
        <v>300</v>
      </c>
      <c r="Q1007" s="240">
        <v>300</v>
      </c>
      <c r="R1007" s="240">
        <v>300</v>
      </c>
      <c r="S1007" s="240">
        <v>300</v>
      </c>
      <c r="T1007" s="240">
        <v>300</v>
      </c>
      <c r="U1007" s="240">
        <v>300</v>
      </c>
    </row>
    <row r="1008" spans="2:21" ht="24" customHeight="1">
      <c r="B1008" s="1" t="s">
        <v>414</v>
      </c>
      <c r="C1008" s="89"/>
      <c r="D1008" s="89"/>
      <c r="E1008" s="1" t="s">
        <v>415</v>
      </c>
      <c r="F1008" s="89"/>
      <c r="G1008" s="89"/>
      <c r="H1008" s="89"/>
      <c r="I1008" s="89"/>
      <c r="J1008" s="89"/>
      <c r="K1008" s="89"/>
      <c r="L1008" s="89"/>
      <c r="M1008" s="240">
        <v>0</v>
      </c>
      <c r="N1008" s="240">
        <v>0</v>
      </c>
      <c r="O1008" s="164">
        <v>500</v>
      </c>
      <c r="P1008" s="164">
        <v>500</v>
      </c>
      <c r="Q1008" s="240">
        <v>500</v>
      </c>
      <c r="R1008" s="240">
        <v>500</v>
      </c>
      <c r="S1008" s="240">
        <v>500</v>
      </c>
      <c r="T1008" s="240">
        <v>500</v>
      </c>
      <c r="U1008" s="240">
        <v>500</v>
      </c>
    </row>
    <row r="1009" spans="1:21" ht="24" customHeight="1">
      <c r="B1009" s="1" t="s">
        <v>969</v>
      </c>
      <c r="C1009" s="89"/>
      <c r="D1009" s="89"/>
      <c r="E1009" s="1" t="s">
        <v>709</v>
      </c>
      <c r="F1009" s="89"/>
      <c r="G1009" s="89"/>
      <c r="H1009" s="89"/>
      <c r="I1009" s="89"/>
      <c r="J1009" s="89"/>
      <c r="K1009" s="89"/>
      <c r="L1009" s="89"/>
      <c r="M1009" s="240">
        <v>704</v>
      </c>
      <c r="N1009" s="240">
        <v>393</v>
      </c>
      <c r="O1009" s="164">
        <v>1500</v>
      </c>
      <c r="P1009" s="164">
        <v>1500</v>
      </c>
      <c r="Q1009" s="208">
        <v>1500</v>
      </c>
      <c r="R1009" s="208">
        <v>1500</v>
      </c>
      <c r="S1009" s="208">
        <v>1500</v>
      </c>
      <c r="T1009" s="208">
        <v>1500</v>
      </c>
      <c r="U1009" s="208">
        <v>1500</v>
      </c>
    </row>
    <row r="1010" spans="1:21" ht="24" customHeight="1">
      <c r="B1010" s="98" t="s">
        <v>416</v>
      </c>
      <c r="C1010" s="98"/>
      <c r="D1010" s="98"/>
      <c r="E1010" s="98"/>
      <c r="F1010" s="98"/>
      <c r="G1010" s="98"/>
      <c r="H1010" s="98"/>
      <c r="I1010" s="98"/>
      <c r="J1010" s="98"/>
      <c r="K1010" s="98"/>
      <c r="L1010" s="98"/>
      <c r="M1010" s="267"/>
      <c r="N1010" s="267"/>
      <c r="O1010" s="168"/>
      <c r="P1010" s="168"/>
      <c r="Q1010" s="219"/>
      <c r="R1010" s="219"/>
      <c r="S1010" s="219"/>
      <c r="T1010" s="219"/>
      <c r="U1010" s="219"/>
    </row>
    <row r="1011" spans="1:21" ht="24" customHeight="1">
      <c r="B1011" s="1" t="s">
        <v>1025</v>
      </c>
      <c r="C1011" s="95"/>
      <c r="D1011" s="95"/>
      <c r="E1011" s="1" t="s">
        <v>798</v>
      </c>
      <c r="F1011" s="95"/>
      <c r="G1011" s="95"/>
      <c r="H1011" s="95"/>
      <c r="I1011" s="95"/>
      <c r="J1011" s="95"/>
      <c r="K1011" s="95"/>
      <c r="L1011" s="95"/>
      <c r="M1011" s="240">
        <v>50000</v>
      </c>
      <c r="N1011" s="240">
        <v>75000</v>
      </c>
      <c r="O1011" s="164">
        <v>75000</v>
      </c>
      <c r="P1011" s="164">
        <v>75000</v>
      </c>
      <c r="Q1011" s="208">
        <v>75000</v>
      </c>
      <c r="R1011" s="208">
        <v>100000</v>
      </c>
      <c r="S1011" s="208">
        <v>100000</v>
      </c>
      <c r="T1011" s="208">
        <v>0</v>
      </c>
      <c r="U1011" s="208">
        <v>0</v>
      </c>
    </row>
    <row r="1012" spans="1:21" ht="24" customHeight="1">
      <c r="B1012" s="1" t="s">
        <v>1026</v>
      </c>
      <c r="C1012" s="95"/>
      <c r="D1012" s="95"/>
      <c r="E1012" s="1" t="s">
        <v>248</v>
      </c>
      <c r="F1012" s="95"/>
      <c r="G1012" s="95"/>
      <c r="H1012" s="95"/>
      <c r="I1012" s="95"/>
      <c r="J1012" s="95"/>
      <c r="K1012" s="95"/>
      <c r="L1012" s="95"/>
      <c r="M1012" s="240">
        <v>22613</v>
      </c>
      <c r="N1012" s="240">
        <v>20238</v>
      </c>
      <c r="O1012" s="164">
        <v>16675</v>
      </c>
      <c r="P1012" s="164">
        <v>16675</v>
      </c>
      <c r="Q1012" s="208">
        <v>13113</v>
      </c>
      <c r="R1012" s="208">
        <v>9550</v>
      </c>
      <c r="S1012" s="208">
        <v>4800</v>
      </c>
      <c r="T1012" s="208">
        <v>0</v>
      </c>
      <c r="U1012" s="208">
        <v>0</v>
      </c>
    </row>
    <row r="1013" spans="1:21" ht="24" customHeight="1">
      <c r="B1013" s="98" t="s">
        <v>803</v>
      </c>
      <c r="C1013" s="98"/>
      <c r="D1013" s="98"/>
      <c r="E1013" s="98"/>
      <c r="F1013" s="98"/>
      <c r="G1013" s="98"/>
      <c r="H1013" s="98"/>
      <c r="I1013" s="98"/>
      <c r="J1013" s="98"/>
      <c r="K1013" s="95"/>
      <c r="L1013" s="95"/>
      <c r="M1013" s="261"/>
      <c r="N1013" s="261"/>
      <c r="O1013" s="167"/>
      <c r="P1013" s="167"/>
      <c r="Q1013" s="225"/>
      <c r="R1013" s="225"/>
      <c r="S1013" s="225"/>
      <c r="T1013" s="225"/>
      <c r="U1013" s="225"/>
    </row>
    <row r="1014" spans="1:21" ht="24" customHeight="1">
      <c r="B1014" s="1" t="s">
        <v>1027</v>
      </c>
      <c r="C1014" s="95"/>
      <c r="D1014" s="95"/>
      <c r="E1014" s="1" t="s">
        <v>798</v>
      </c>
      <c r="F1014" s="95"/>
      <c r="G1014" s="95"/>
      <c r="H1014" s="95"/>
      <c r="I1014" s="95"/>
      <c r="J1014" s="95"/>
      <c r="K1014" s="95"/>
      <c r="L1014" s="95"/>
      <c r="M1014" s="240">
        <v>585000</v>
      </c>
      <c r="N1014" s="240">
        <v>610000</v>
      </c>
      <c r="O1014" s="164">
        <v>645000</v>
      </c>
      <c r="P1014" s="164">
        <v>645000</v>
      </c>
      <c r="Q1014" s="208">
        <v>675000</v>
      </c>
      <c r="R1014" s="208">
        <v>700000</v>
      </c>
      <c r="S1014" s="208">
        <v>730000</v>
      </c>
      <c r="T1014" s="208">
        <v>0</v>
      </c>
      <c r="U1014" s="208">
        <v>0</v>
      </c>
    </row>
    <row r="1015" spans="1:21" ht="24" customHeight="1">
      <c r="B1015" s="1" t="s">
        <v>1028</v>
      </c>
      <c r="C1015" s="95"/>
      <c r="D1015" s="95"/>
      <c r="E1015" s="1" t="s">
        <v>248</v>
      </c>
      <c r="F1015" s="95"/>
      <c r="G1015" s="95"/>
      <c r="H1015" s="95"/>
      <c r="I1015" s="95"/>
      <c r="J1015" s="95"/>
      <c r="K1015" s="95"/>
      <c r="L1015" s="95"/>
      <c r="M1015" s="261">
        <v>139400</v>
      </c>
      <c r="N1015" s="261">
        <v>121850</v>
      </c>
      <c r="O1015" s="167">
        <v>103550</v>
      </c>
      <c r="P1015" s="167">
        <v>103550</v>
      </c>
      <c r="Q1015" s="225">
        <v>84200</v>
      </c>
      <c r="R1015" s="225">
        <v>57200</v>
      </c>
      <c r="S1015" s="225">
        <v>29200</v>
      </c>
      <c r="T1015" s="225">
        <v>0</v>
      </c>
      <c r="U1015" s="225">
        <v>0</v>
      </c>
    </row>
    <row r="1016" spans="1:21" ht="15" customHeight="1">
      <c r="B1016" s="89"/>
      <c r="C1016" s="89"/>
      <c r="D1016" s="89"/>
      <c r="E1016" s="89"/>
      <c r="F1016" s="89"/>
      <c r="G1016" s="89"/>
      <c r="H1016" s="89"/>
      <c r="I1016" s="89"/>
      <c r="J1016" s="89"/>
      <c r="K1016" s="89"/>
      <c r="L1016" s="89"/>
      <c r="M1016" s="226"/>
      <c r="N1016" s="372"/>
      <c r="O1016" s="168"/>
      <c r="P1016" s="168"/>
      <c r="Q1016" s="219"/>
      <c r="R1016" s="219"/>
      <c r="S1016" s="219"/>
      <c r="T1016" s="219"/>
      <c r="U1016" s="219"/>
    </row>
    <row r="1017" spans="1:21" s="89" customFormat="1" ht="24" customHeight="1">
      <c r="A1017" s="576"/>
      <c r="B1017" s="689" t="s">
        <v>1280</v>
      </c>
      <c r="C1017" s="689"/>
      <c r="D1017" s="689"/>
      <c r="E1017" s="689"/>
      <c r="F1017" s="689"/>
      <c r="G1017" s="689"/>
      <c r="H1017" s="689"/>
      <c r="I1017" s="689"/>
      <c r="J1017" s="689"/>
      <c r="K1017" s="689"/>
      <c r="L1017" s="689"/>
      <c r="M1017" s="408">
        <f t="shared" ref="M1017:U1017" si="130">SUM(M979:M1016)</f>
        <v>1564096</v>
      </c>
      <c r="N1017" s="425">
        <f t="shared" si="130"/>
        <v>1568867</v>
      </c>
      <c r="O1017" s="409">
        <f t="shared" si="130"/>
        <v>1709443</v>
      </c>
      <c r="P1017" s="409">
        <f t="shared" si="130"/>
        <v>1659817</v>
      </c>
      <c r="Q1017" s="408">
        <f t="shared" si="130"/>
        <v>1748820</v>
      </c>
      <c r="R1017" s="408">
        <f t="shared" si="130"/>
        <v>1811884</v>
      </c>
      <c r="S1017" s="408">
        <f t="shared" si="130"/>
        <v>1845467</v>
      </c>
      <c r="T1017" s="408">
        <f t="shared" si="130"/>
        <v>1016353</v>
      </c>
      <c r="U1017" s="408">
        <f t="shared" si="130"/>
        <v>1051193</v>
      </c>
    </row>
    <row r="1018" spans="1:21" s="561" customFormat="1" ht="15" customHeight="1">
      <c r="A1018" s="576"/>
      <c r="B1018" s="131"/>
      <c r="C1018" s="562"/>
      <c r="D1018" s="562"/>
      <c r="E1018" s="562"/>
      <c r="F1018" s="562"/>
      <c r="G1018" s="562"/>
      <c r="H1018" s="562"/>
      <c r="I1018" s="562"/>
      <c r="J1018" s="562"/>
      <c r="K1018" s="562"/>
      <c r="L1018" s="562"/>
      <c r="M1018" s="563"/>
      <c r="N1018" s="563"/>
      <c r="O1018" s="565" t="str">
        <f>IF(P1017&gt;O1017,"Over Budget","Under Budget")</f>
        <v>Under Budget</v>
      </c>
      <c r="P1018" s="564">
        <f>P1017-O1017</f>
        <v>-49626</v>
      </c>
      <c r="Q1018" s="563"/>
      <c r="R1018" s="563"/>
      <c r="S1018" s="563"/>
      <c r="T1018" s="563"/>
      <c r="U1018" s="563"/>
    </row>
    <row r="1019" spans="1:21" s="520" customFormat="1" ht="15" customHeight="1">
      <c r="A1019" s="576"/>
      <c r="L1019" s="98"/>
      <c r="M1019" s="408"/>
      <c r="N1019" s="425"/>
      <c r="O1019" s="409"/>
      <c r="P1019" s="409"/>
      <c r="Q1019" s="408"/>
      <c r="R1019" s="408"/>
      <c r="S1019" s="408"/>
      <c r="T1019" s="408"/>
      <c r="U1019" s="408"/>
    </row>
    <row r="1020" spans="1:21" s="89" customFormat="1" ht="24" customHeight="1">
      <c r="A1020" s="576"/>
      <c r="B1020" s="420"/>
      <c r="C1020" s="692" t="s">
        <v>838</v>
      </c>
      <c r="D1020" s="692"/>
      <c r="E1020" s="692"/>
      <c r="F1020" s="692"/>
      <c r="G1020" s="692"/>
      <c r="H1020" s="692"/>
      <c r="I1020" s="692"/>
      <c r="J1020" s="692"/>
      <c r="K1020" s="692"/>
      <c r="L1020" s="692"/>
      <c r="M1020" s="428">
        <f t="shared" ref="M1020:U1020" si="131">M973</f>
        <v>24388</v>
      </c>
      <c r="N1020" s="428">
        <f t="shared" si="131"/>
        <v>25885</v>
      </c>
      <c r="O1020" s="428">
        <f t="shared" si="131"/>
        <v>26993</v>
      </c>
      <c r="P1020" s="428">
        <f t="shared" si="131"/>
        <v>21580</v>
      </c>
      <c r="Q1020" s="428">
        <f t="shared" si="131"/>
        <v>23638</v>
      </c>
      <c r="R1020" s="428">
        <f t="shared" si="131"/>
        <v>24996</v>
      </c>
      <c r="S1020" s="428">
        <f t="shared" si="131"/>
        <v>26436</v>
      </c>
      <c r="T1020" s="428">
        <f t="shared" si="131"/>
        <v>27962</v>
      </c>
      <c r="U1020" s="428">
        <f t="shared" si="131"/>
        <v>29580</v>
      </c>
    </row>
    <row r="1021" spans="1:21" s="520" customFormat="1" ht="24" customHeight="1">
      <c r="A1021" s="576"/>
      <c r="B1021" s="421"/>
      <c r="C1021" s="693" t="s">
        <v>1204</v>
      </c>
      <c r="D1021" s="693"/>
      <c r="E1021" s="693"/>
      <c r="F1021" s="693"/>
      <c r="G1021" s="693"/>
      <c r="H1021" s="693"/>
      <c r="I1021" s="693"/>
      <c r="J1021" s="693"/>
      <c r="K1021" s="693"/>
      <c r="L1021" s="693"/>
      <c r="M1021" s="496">
        <v>0</v>
      </c>
      <c r="N1021" s="496">
        <v>0</v>
      </c>
      <c r="O1021" s="496">
        <v>0</v>
      </c>
      <c r="P1021" s="496">
        <v>0</v>
      </c>
      <c r="Q1021" s="496">
        <v>0</v>
      </c>
      <c r="R1021" s="496">
        <v>0</v>
      </c>
      <c r="S1021" s="496">
        <v>0</v>
      </c>
      <c r="T1021" s="496">
        <v>0</v>
      </c>
      <c r="U1021" s="496">
        <v>0</v>
      </c>
    </row>
    <row r="1022" spans="1:21" s="520" customFormat="1" ht="24" customHeight="1">
      <c r="A1022" s="576"/>
      <c r="B1022" s="360"/>
      <c r="C1022" s="691" t="s">
        <v>1270</v>
      </c>
      <c r="D1022" s="691"/>
      <c r="E1022" s="691"/>
      <c r="F1022" s="691"/>
      <c r="G1022" s="691"/>
      <c r="H1022" s="691"/>
      <c r="I1022" s="691"/>
      <c r="J1022" s="691"/>
      <c r="K1022" s="691"/>
      <c r="L1022" s="691"/>
      <c r="M1022" s="409">
        <f t="shared" ref="M1022:U1022" si="132">M1020-M1021</f>
        <v>24388</v>
      </c>
      <c r="N1022" s="409">
        <f t="shared" si="132"/>
        <v>25885</v>
      </c>
      <c r="O1022" s="409">
        <f t="shared" si="132"/>
        <v>26993</v>
      </c>
      <c r="P1022" s="409">
        <f t="shared" si="132"/>
        <v>21580</v>
      </c>
      <c r="Q1022" s="409">
        <f t="shared" si="132"/>
        <v>23638</v>
      </c>
      <c r="R1022" s="409">
        <f t="shared" si="132"/>
        <v>24996</v>
      </c>
      <c r="S1022" s="409">
        <f t="shared" si="132"/>
        <v>26436</v>
      </c>
      <c r="T1022" s="409">
        <f t="shared" si="132"/>
        <v>27962</v>
      </c>
      <c r="U1022" s="409">
        <f t="shared" si="132"/>
        <v>29580</v>
      </c>
    </row>
    <row r="1023" spans="1:21" s="520" customFormat="1" ht="15" customHeight="1">
      <c r="A1023" s="576"/>
      <c r="B1023" s="360"/>
      <c r="C1023" s="521"/>
      <c r="D1023" s="521"/>
      <c r="E1023" s="521"/>
      <c r="F1023" s="521"/>
      <c r="G1023" s="521"/>
      <c r="H1023" s="521"/>
      <c r="I1023" s="521"/>
      <c r="J1023" s="521"/>
      <c r="K1023" s="521"/>
      <c r="L1023" s="521"/>
      <c r="M1023" s="409"/>
      <c r="N1023" s="409"/>
      <c r="O1023" s="409"/>
      <c r="P1023" s="409"/>
      <c r="Q1023" s="409"/>
      <c r="R1023" s="409"/>
      <c r="S1023" s="409"/>
      <c r="T1023" s="409"/>
      <c r="U1023" s="409"/>
    </row>
    <row r="1024" spans="1:21" s="89" customFormat="1" ht="24" customHeight="1">
      <c r="A1024" s="576"/>
      <c r="B1024" s="145"/>
      <c r="C1024" s="145"/>
      <c r="D1024" s="145"/>
      <c r="E1024" s="145"/>
      <c r="F1024" s="145"/>
      <c r="G1024" s="145"/>
      <c r="H1024" s="145"/>
      <c r="I1024" s="145"/>
      <c r="J1024" s="145"/>
      <c r="K1024" s="145"/>
      <c r="L1024" s="360" t="s">
        <v>425</v>
      </c>
      <c r="M1024" s="409">
        <f t="shared" ref="M1024:U1024" si="133">M971-M1017+M1022</f>
        <v>24335</v>
      </c>
      <c r="N1024" s="409">
        <f t="shared" si="133"/>
        <v>59426</v>
      </c>
      <c r="O1024" s="409">
        <f t="shared" si="133"/>
        <v>-16741</v>
      </c>
      <c r="P1024" s="409">
        <f t="shared" si="133"/>
        <v>37798</v>
      </c>
      <c r="Q1024" s="409">
        <f t="shared" si="133"/>
        <v>-12047</v>
      </c>
      <c r="R1024" s="409">
        <f t="shared" si="133"/>
        <v>-11501</v>
      </c>
      <c r="S1024" s="409">
        <f t="shared" si="133"/>
        <v>-19478</v>
      </c>
      <c r="T1024" s="409">
        <f t="shared" si="133"/>
        <v>-23061</v>
      </c>
      <c r="U1024" s="409">
        <f t="shared" si="133"/>
        <v>-28298</v>
      </c>
    </row>
    <row r="1025" spans="1:21" s="89" customFormat="1" ht="15" customHeight="1">
      <c r="A1025" s="576"/>
      <c r="B1025" s="145"/>
      <c r="C1025" s="145"/>
      <c r="D1025" s="145"/>
      <c r="E1025" s="145"/>
      <c r="F1025" s="145"/>
      <c r="G1025" s="145"/>
      <c r="H1025" s="145"/>
      <c r="I1025" s="145"/>
      <c r="J1025" s="145"/>
      <c r="K1025" s="145"/>
      <c r="L1025" s="145"/>
      <c r="M1025" s="428"/>
      <c r="N1025" s="428"/>
      <c r="O1025" s="428"/>
      <c r="P1025" s="428"/>
      <c r="Q1025" s="428"/>
      <c r="R1025" s="428"/>
      <c r="S1025" s="428"/>
      <c r="T1025" s="428"/>
      <c r="U1025" s="428"/>
    </row>
    <row r="1026" spans="1:21" s="89" customFormat="1" ht="24" customHeight="1">
      <c r="A1026" s="576"/>
      <c r="B1026" s="145"/>
      <c r="C1026" s="145"/>
      <c r="D1026" s="145"/>
      <c r="E1026" s="145"/>
      <c r="F1026" s="145"/>
      <c r="G1026" s="145"/>
      <c r="H1026" s="145"/>
      <c r="I1026" s="145"/>
      <c r="J1026" s="145"/>
      <c r="K1026" s="145"/>
      <c r="L1026" s="423" t="s">
        <v>427</v>
      </c>
      <c r="M1026" s="409">
        <v>578607</v>
      </c>
      <c r="N1026" s="409">
        <v>638033</v>
      </c>
      <c r="O1026" s="409">
        <v>578676</v>
      </c>
      <c r="P1026" s="409">
        <f>N1026+P1024</f>
        <v>675831</v>
      </c>
      <c r="Q1026" s="409">
        <f>P1026+Q1024</f>
        <v>663784</v>
      </c>
      <c r="R1026" s="409">
        <f>Q1026+R1024</f>
        <v>652283</v>
      </c>
      <c r="S1026" s="409">
        <f>R1026+S1024</f>
        <v>632805</v>
      </c>
      <c r="T1026" s="409">
        <f>S1026+T1024</f>
        <v>609744</v>
      </c>
      <c r="U1026" s="409">
        <f>T1026+U1024</f>
        <v>581446</v>
      </c>
    </row>
    <row r="1027" spans="1:21" s="104" customFormat="1" ht="24" customHeight="1">
      <c r="A1027" s="584"/>
      <c r="B1027" s="497"/>
      <c r="C1027" s="497"/>
      <c r="D1027" s="497"/>
      <c r="E1027" s="497"/>
      <c r="F1027" s="497"/>
      <c r="G1027" s="497"/>
      <c r="H1027" s="497"/>
      <c r="I1027" s="497"/>
      <c r="J1027" s="497"/>
      <c r="K1027" s="497"/>
      <c r="L1027" s="497"/>
      <c r="M1027" s="179">
        <f t="shared" ref="M1027:U1027" si="134">M1026/M1017</f>
        <v>0.36993061806947913</v>
      </c>
      <c r="N1027" s="179">
        <f t="shared" si="134"/>
        <v>0.40668393178006801</v>
      </c>
      <c r="O1027" s="179">
        <f t="shared" si="134"/>
        <v>0.33851728311502638</v>
      </c>
      <c r="P1027" s="179">
        <f t="shared" si="134"/>
        <v>0.40717199546697014</v>
      </c>
      <c r="Q1027" s="179">
        <f t="shared" si="134"/>
        <v>0.37956107546802986</v>
      </c>
      <c r="R1027" s="179">
        <f t="shared" si="134"/>
        <v>0.36000262709974812</v>
      </c>
      <c r="S1027" s="179">
        <f t="shared" si="134"/>
        <v>0.3428969469516388</v>
      </c>
      <c r="T1027" s="179">
        <f t="shared" si="134"/>
        <v>0.59993329089401026</v>
      </c>
      <c r="U1027" s="179">
        <f t="shared" si="134"/>
        <v>0.55312963461514675</v>
      </c>
    </row>
    <row r="1028" spans="1:21" s="104" customFormat="1" ht="15" customHeight="1">
      <c r="A1028" s="584"/>
      <c r="B1028" s="497"/>
      <c r="C1028" s="497"/>
      <c r="D1028" s="497"/>
      <c r="E1028" s="497"/>
      <c r="F1028" s="497"/>
      <c r="G1028" s="497"/>
      <c r="H1028" s="497"/>
      <c r="I1028" s="497"/>
      <c r="J1028" s="497"/>
      <c r="K1028" s="497"/>
      <c r="L1028" s="497"/>
      <c r="M1028" s="179"/>
      <c r="N1028" s="179"/>
      <c r="O1028" s="179"/>
      <c r="P1028" s="179"/>
      <c r="Q1028" s="179"/>
      <c r="R1028" s="179"/>
      <c r="S1028" s="179"/>
      <c r="T1028" s="179"/>
      <c r="U1028" s="179"/>
    </row>
    <row r="1029" spans="1:21" s="146" customFormat="1" ht="24" customHeight="1">
      <c r="A1029" s="588"/>
      <c r="B1029" s="147"/>
      <c r="C1029" s="147"/>
      <c r="D1029" s="147"/>
      <c r="E1029" s="147"/>
      <c r="F1029" s="147"/>
      <c r="G1029" s="147"/>
      <c r="H1029" s="147"/>
      <c r="I1029" s="147"/>
      <c r="J1029" s="147"/>
      <c r="K1029" s="147"/>
      <c r="L1029" s="152" t="s">
        <v>1076</v>
      </c>
      <c r="M1029" s="200">
        <f t="shared" ref="M1029:U1029" si="135">M1026/(M1017-M1015-M1014-M1012-M1011)</f>
        <v>0.75429516753728088</v>
      </c>
      <c r="N1029" s="200">
        <f t="shared" si="135"/>
        <v>0.86013893625999116</v>
      </c>
      <c r="O1029" s="200">
        <f t="shared" si="135"/>
        <v>0.66574323127224699</v>
      </c>
      <c r="P1029" s="200">
        <f t="shared" si="135"/>
        <v>0.82459443235170671</v>
      </c>
      <c r="Q1029" s="200">
        <f t="shared" si="135"/>
        <v>0.73630487616846019</v>
      </c>
      <c r="R1029" s="200">
        <f t="shared" si="135"/>
        <v>0.69014869849143079</v>
      </c>
      <c r="S1029" s="200">
        <f t="shared" si="135"/>
        <v>0.64475423014732025</v>
      </c>
      <c r="T1029" s="200">
        <f t="shared" si="135"/>
        <v>0.59993329089401026</v>
      </c>
      <c r="U1029" s="200">
        <f t="shared" si="135"/>
        <v>0.55312963461514675</v>
      </c>
    </row>
    <row r="1030" spans="1:21" ht="15" customHeight="1">
      <c r="B1030" s="89"/>
      <c r="C1030" s="89"/>
      <c r="D1030" s="89"/>
      <c r="E1030" s="89"/>
      <c r="F1030" s="89"/>
      <c r="G1030" s="89"/>
      <c r="H1030" s="89"/>
      <c r="I1030" s="89"/>
      <c r="J1030" s="89"/>
      <c r="K1030" s="89"/>
      <c r="L1030" s="89"/>
      <c r="M1030" s="263"/>
      <c r="N1030" s="263"/>
      <c r="O1030" s="196"/>
      <c r="P1030" s="196"/>
      <c r="Q1030" s="264"/>
      <c r="R1030" s="264"/>
      <c r="S1030" s="264"/>
      <c r="T1030" s="264"/>
      <c r="U1030" s="264"/>
    </row>
    <row r="1031" spans="1:21" ht="24" customHeight="1">
      <c r="B1031" s="102" t="s">
        <v>1297</v>
      </c>
      <c r="C1031" s="89"/>
      <c r="D1031" s="89"/>
      <c r="E1031" s="89"/>
      <c r="F1031" s="89"/>
      <c r="G1031" s="89"/>
      <c r="H1031" s="89"/>
      <c r="I1031" s="89"/>
      <c r="J1031" s="89"/>
      <c r="K1031" s="89"/>
      <c r="L1031" s="89"/>
      <c r="M1031" s="254"/>
      <c r="N1031" s="254"/>
      <c r="O1031" s="185"/>
      <c r="P1031" s="185"/>
      <c r="Q1031" s="255"/>
      <c r="R1031" s="255"/>
      <c r="S1031" s="255"/>
      <c r="T1031" s="255"/>
      <c r="U1031" s="255"/>
    </row>
    <row r="1032" spans="1:21" ht="15" customHeight="1">
      <c r="B1032" s="89"/>
      <c r="C1032" s="89"/>
      <c r="D1032" s="89"/>
      <c r="E1032" s="89"/>
      <c r="F1032" s="89"/>
      <c r="G1032" s="89"/>
      <c r="H1032" s="89"/>
      <c r="I1032" s="89"/>
      <c r="J1032" s="89"/>
      <c r="K1032" s="89"/>
      <c r="L1032" s="89"/>
      <c r="M1032" s="254"/>
      <c r="N1032" s="254"/>
      <c r="O1032" s="185"/>
      <c r="P1032" s="185"/>
      <c r="Q1032" s="255"/>
      <c r="R1032" s="255"/>
      <c r="S1032" s="255"/>
      <c r="T1032" s="255"/>
      <c r="U1032" s="255"/>
    </row>
    <row r="1033" spans="1:21" ht="24" customHeight="1">
      <c r="B1033" s="1" t="s">
        <v>555</v>
      </c>
      <c r="C1033" s="95"/>
      <c r="D1033" s="95"/>
      <c r="E1033" s="1" t="s">
        <v>554</v>
      </c>
      <c r="F1033" s="89"/>
      <c r="G1033" s="89"/>
      <c r="H1033" s="89"/>
      <c r="I1033" s="89"/>
      <c r="J1033" s="89"/>
      <c r="K1033" s="89"/>
      <c r="L1033" s="89"/>
      <c r="M1033" s="440">
        <v>110775</v>
      </c>
      <c r="N1033" s="440">
        <v>104600</v>
      </c>
      <c r="O1033" s="452">
        <v>50000</v>
      </c>
      <c r="P1033" s="452">
        <v>110000</v>
      </c>
      <c r="Q1033" s="440">
        <f>ROUND(((100*500)*(76%))+((100*150)*(24%)),0)+8400</f>
        <v>50000</v>
      </c>
      <c r="R1033" s="440">
        <f>ROUND(((100*500)*(76%))+((100*150)*(24%)),0)+8400</f>
        <v>50000</v>
      </c>
      <c r="S1033" s="440">
        <f>ROUND(((100*500)*(76%))+((100*150)*(24%)),0)+8400</f>
        <v>50000</v>
      </c>
      <c r="T1033" s="440">
        <f>ROUND(((100*500)*(76%))+((100*150)*(24%)),0)+8400</f>
        <v>50000</v>
      </c>
      <c r="U1033" s="440">
        <f>ROUND(((100*500)*(76%))+((100*150)*(24%)),0)+8400</f>
        <v>50000</v>
      </c>
    </row>
    <row r="1034" spans="1:21" ht="24" customHeight="1">
      <c r="B1034" s="1" t="s">
        <v>527</v>
      </c>
      <c r="C1034" s="95"/>
      <c r="D1034" s="95"/>
      <c r="E1034" s="695" t="s">
        <v>6</v>
      </c>
      <c r="F1034" s="695"/>
      <c r="G1034" s="695"/>
      <c r="H1034" s="695"/>
      <c r="I1034" s="695"/>
      <c r="J1034" s="695"/>
      <c r="K1034" s="695"/>
      <c r="L1034" s="695"/>
      <c r="M1034" s="240">
        <v>658</v>
      </c>
      <c r="N1034" s="240">
        <v>182</v>
      </c>
      <c r="O1034" s="164">
        <v>200</v>
      </c>
      <c r="P1034" s="164">
        <v>190</v>
      </c>
      <c r="Q1034" s="240">
        <v>350</v>
      </c>
      <c r="R1034" s="240">
        <v>500</v>
      </c>
      <c r="S1034" s="240">
        <v>750</v>
      </c>
      <c r="T1034" s="240">
        <v>1000</v>
      </c>
      <c r="U1034" s="240">
        <v>1500</v>
      </c>
    </row>
    <row r="1035" spans="1:21" ht="24" customHeight="1">
      <c r="B1035" s="1" t="s">
        <v>957</v>
      </c>
      <c r="C1035" s="95"/>
      <c r="D1035" s="95"/>
      <c r="E1035" s="1" t="s">
        <v>7</v>
      </c>
      <c r="F1035" s="89"/>
      <c r="G1035" s="89"/>
      <c r="H1035" s="89"/>
      <c r="I1035" s="89"/>
      <c r="J1035" s="89"/>
      <c r="K1035" s="89"/>
      <c r="L1035" s="89"/>
      <c r="M1035" s="261">
        <v>-1780</v>
      </c>
      <c r="N1035" s="261">
        <v>31</v>
      </c>
      <c r="O1035" s="167">
        <v>0</v>
      </c>
      <c r="P1035" s="167">
        <v>0</v>
      </c>
      <c r="Q1035" s="261">
        <v>0</v>
      </c>
      <c r="R1035" s="261">
        <v>0</v>
      </c>
      <c r="S1035" s="261">
        <v>0</v>
      </c>
      <c r="T1035" s="261">
        <v>0</v>
      </c>
      <c r="U1035" s="261">
        <v>0</v>
      </c>
    </row>
    <row r="1036" spans="1:21" ht="15" customHeight="1">
      <c r="B1036" s="89"/>
      <c r="C1036" s="89"/>
      <c r="D1036" s="89"/>
      <c r="E1036" s="89"/>
      <c r="F1036" s="89"/>
      <c r="G1036" s="89"/>
      <c r="H1036" s="89"/>
      <c r="I1036" s="89"/>
      <c r="J1036" s="89"/>
      <c r="K1036" s="89"/>
      <c r="L1036" s="89"/>
      <c r="M1036" s="226"/>
      <c r="N1036" s="372"/>
      <c r="O1036" s="168"/>
      <c r="P1036" s="168"/>
      <c r="Q1036" s="267"/>
      <c r="R1036" s="267"/>
      <c r="S1036" s="267"/>
      <c r="T1036" s="267"/>
      <c r="U1036" s="267"/>
    </row>
    <row r="1037" spans="1:21" s="89" customFormat="1" ht="24" customHeight="1">
      <c r="A1037" s="576"/>
      <c r="B1037" s="689" t="s">
        <v>1281</v>
      </c>
      <c r="C1037" s="689"/>
      <c r="D1037" s="689"/>
      <c r="E1037" s="689"/>
      <c r="F1037" s="689"/>
      <c r="G1037" s="689"/>
      <c r="H1037" s="689"/>
      <c r="I1037" s="689"/>
      <c r="J1037" s="689"/>
      <c r="K1037" s="689"/>
      <c r="L1037" s="689"/>
      <c r="M1037" s="408">
        <f t="shared" ref="M1037:U1037" si="136">SUM(M1033:M1035)</f>
        <v>109653</v>
      </c>
      <c r="N1037" s="425">
        <f t="shared" si="136"/>
        <v>104813</v>
      </c>
      <c r="O1037" s="409">
        <f t="shared" si="136"/>
        <v>50200</v>
      </c>
      <c r="P1037" s="409">
        <f t="shared" si="136"/>
        <v>110190</v>
      </c>
      <c r="Q1037" s="425">
        <f t="shared" si="136"/>
        <v>50350</v>
      </c>
      <c r="R1037" s="425">
        <f t="shared" si="136"/>
        <v>50500</v>
      </c>
      <c r="S1037" s="425">
        <f t="shared" si="136"/>
        <v>50750</v>
      </c>
      <c r="T1037" s="425">
        <f t="shared" si="136"/>
        <v>51000</v>
      </c>
      <c r="U1037" s="425">
        <f t="shared" si="136"/>
        <v>51500</v>
      </c>
    </row>
    <row r="1038" spans="1:21" ht="15" customHeight="1">
      <c r="B1038" s="89"/>
      <c r="C1038" s="89"/>
      <c r="D1038" s="89"/>
      <c r="E1038" s="89"/>
      <c r="F1038" s="89"/>
      <c r="G1038" s="89"/>
      <c r="H1038" s="89"/>
      <c r="I1038" s="89"/>
      <c r="J1038" s="89"/>
      <c r="K1038" s="89"/>
      <c r="L1038" s="98"/>
      <c r="M1038" s="227"/>
      <c r="N1038" s="300"/>
      <c r="O1038" s="183"/>
      <c r="P1038" s="183"/>
      <c r="Q1038" s="362"/>
      <c r="R1038" s="362"/>
      <c r="S1038" s="362"/>
      <c r="T1038" s="362"/>
      <c r="U1038" s="362"/>
    </row>
    <row r="1039" spans="1:21" ht="24" customHeight="1">
      <c r="B1039" s="1" t="s">
        <v>758</v>
      </c>
      <c r="C1039" s="89"/>
      <c r="D1039" s="89"/>
      <c r="E1039" s="1" t="s">
        <v>854</v>
      </c>
      <c r="F1039" s="89"/>
      <c r="G1039" s="89"/>
      <c r="H1039" s="89"/>
      <c r="I1039" s="89"/>
      <c r="J1039" s="89"/>
      <c r="K1039" s="89"/>
      <c r="L1039" s="98"/>
      <c r="M1039" s="441">
        <v>3000</v>
      </c>
      <c r="N1039" s="441">
        <v>3347</v>
      </c>
      <c r="O1039" s="455">
        <v>3500</v>
      </c>
      <c r="P1039" s="455">
        <v>3500</v>
      </c>
      <c r="Q1039" s="441">
        <v>3500</v>
      </c>
      <c r="R1039" s="441">
        <v>3500</v>
      </c>
      <c r="S1039" s="441">
        <v>3500</v>
      </c>
      <c r="T1039" s="441">
        <v>3500</v>
      </c>
      <c r="U1039" s="441">
        <v>3500</v>
      </c>
    </row>
    <row r="1040" spans="1:21" ht="24" customHeight="1">
      <c r="B1040" s="1" t="s">
        <v>708</v>
      </c>
      <c r="C1040" s="95"/>
      <c r="D1040" s="95"/>
      <c r="E1040" s="1" t="s">
        <v>218</v>
      </c>
      <c r="F1040" s="95"/>
      <c r="G1040" s="95"/>
      <c r="H1040" s="95"/>
      <c r="I1040" s="95"/>
      <c r="J1040" s="95"/>
      <c r="K1040" s="89"/>
      <c r="L1040" s="98"/>
      <c r="M1040" s="325">
        <v>5392</v>
      </c>
      <c r="N1040" s="325">
        <v>8387</v>
      </c>
      <c r="O1040" s="175">
        <v>15000</v>
      </c>
      <c r="P1040" s="175">
        <v>19100</v>
      </c>
      <c r="Q1040" s="325">
        <v>25000</v>
      </c>
      <c r="R1040" s="325">
        <v>25000</v>
      </c>
      <c r="S1040" s="325">
        <v>25000</v>
      </c>
      <c r="T1040" s="325">
        <v>25000</v>
      </c>
      <c r="U1040" s="325">
        <v>25000</v>
      </c>
    </row>
    <row r="1041" spans="1:21" ht="24" customHeight="1">
      <c r="B1041" s="1" t="s">
        <v>705</v>
      </c>
      <c r="C1041" s="89"/>
      <c r="D1041" s="89"/>
      <c r="E1041" s="1" t="s">
        <v>413</v>
      </c>
      <c r="F1041" s="89"/>
      <c r="G1041" s="89"/>
      <c r="H1041" s="89"/>
      <c r="I1041" s="89"/>
      <c r="J1041" s="89"/>
      <c r="K1041" s="89"/>
      <c r="L1041" s="89"/>
      <c r="M1041" s="325">
        <v>3550</v>
      </c>
      <c r="N1041" s="325">
        <v>2351</v>
      </c>
      <c r="O1041" s="175">
        <v>3500</v>
      </c>
      <c r="P1041" s="175">
        <v>3500</v>
      </c>
      <c r="Q1041" s="325">
        <v>3500</v>
      </c>
      <c r="R1041" s="325">
        <v>3500</v>
      </c>
      <c r="S1041" s="325">
        <v>3500</v>
      </c>
      <c r="T1041" s="325">
        <v>3500</v>
      </c>
      <c r="U1041" s="325">
        <v>3500</v>
      </c>
    </row>
    <row r="1042" spans="1:21" ht="24" customHeight="1">
      <c r="B1042" s="1" t="s">
        <v>706</v>
      </c>
      <c r="C1042" s="89"/>
      <c r="D1042" s="89"/>
      <c r="E1042" s="1" t="s">
        <v>836</v>
      </c>
      <c r="F1042" s="89"/>
      <c r="G1042" s="89"/>
      <c r="H1042" s="89"/>
      <c r="I1042" s="89"/>
      <c r="J1042" s="89"/>
      <c r="K1042" s="89"/>
      <c r="L1042" s="89"/>
      <c r="M1042" s="325">
        <v>769</v>
      </c>
      <c r="N1042" s="325">
        <v>283</v>
      </c>
      <c r="O1042" s="175">
        <v>500</v>
      </c>
      <c r="P1042" s="175">
        <v>500</v>
      </c>
      <c r="Q1042" s="237">
        <v>500</v>
      </c>
      <c r="R1042" s="237">
        <v>500</v>
      </c>
      <c r="S1042" s="237">
        <v>500</v>
      </c>
      <c r="T1042" s="237">
        <v>500</v>
      </c>
      <c r="U1042" s="237">
        <v>500</v>
      </c>
    </row>
    <row r="1043" spans="1:21" ht="24" customHeight="1">
      <c r="B1043" s="1" t="s">
        <v>707</v>
      </c>
      <c r="C1043" s="89"/>
      <c r="D1043" s="89"/>
      <c r="E1043" s="1" t="s">
        <v>415</v>
      </c>
      <c r="F1043" s="89"/>
      <c r="G1043" s="89"/>
      <c r="H1043" s="89"/>
      <c r="I1043" s="89"/>
      <c r="J1043" s="89"/>
      <c r="K1043" s="89"/>
      <c r="L1043" s="89"/>
      <c r="M1043" s="325">
        <v>2585</v>
      </c>
      <c r="N1043" s="325">
        <v>2307</v>
      </c>
      <c r="O1043" s="175">
        <v>3000</v>
      </c>
      <c r="P1043" s="175">
        <v>3000</v>
      </c>
      <c r="Q1043" s="237">
        <v>3000</v>
      </c>
      <c r="R1043" s="237">
        <v>3000</v>
      </c>
      <c r="S1043" s="237">
        <v>3000</v>
      </c>
      <c r="T1043" s="237">
        <v>3000</v>
      </c>
      <c r="U1043" s="237">
        <v>3000</v>
      </c>
    </row>
    <row r="1044" spans="1:21" ht="24" customHeight="1">
      <c r="B1044" s="1" t="s">
        <v>710</v>
      </c>
      <c r="C1044" s="89"/>
      <c r="D1044" s="89"/>
      <c r="E1044" s="1" t="s">
        <v>709</v>
      </c>
      <c r="F1044" s="89"/>
      <c r="G1044" s="89"/>
      <c r="H1044" s="89"/>
      <c r="I1044" s="89"/>
      <c r="J1044" s="89"/>
      <c r="K1044" s="89"/>
      <c r="L1044" s="89"/>
      <c r="M1044" s="325">
        <v>54034</v>
      </c>
      <c r="N1044" s="325">
        <v>42534</v>
      </c>
      <c r="O1044" s="175">
        <v>50000</v>
      </c>
      <c r="P1044" s="175">
        <v>50000</v>
      </c>
      <c r="Q1044" s="237">
        <v>50000</v>
      </c>
      <c r="R1044" s="237">
        <v>50000</v>
      </c>
      <c r="S1044" s="237">
        <v>50000</v>
      </c>
      <c r="T1044" s="237">
        <v>50000</v>
      </c>
      <c r="U1044" s="237">
        <v>25910</v>
      </c>
    </row>
    <row r="1045" spans="1:21" ht="24" customHeight="1">
      <c r="B1045" s="567" t="s">
        <v>1368</v>
      </c>
      <c r="C1045" s="568"/>
      <c r="D1045" s="568"/>
      <c r="E1045" s="567" t="s">
        <v>1369</v>
      </c>
      <c r="F1045" s="568"/>
      <c r="G1045" s="568"/>
      <c r="H1045" s="568"/>
      <c r="I1045" s="568"/>
      <c r="J1045" s="568"/>
      <c r="K1045" s="568"/>
      <c r="L1045" s="568"/>
      <c r="M1045" s="386">
        <v>0</v>
      </c>
      <c r="N1045" s="386">
        <v>0</v>
      </c>
      <c r="O1045" s="201">
        <v>20000</v>
      </c>
      <c r="P1045" s="201">
        <v>18916</v>
      </c>
      <c r="Q1045" s="386">
        <v>0</v>
      </c>
      <c r="R1045" s="269">
        <v>0</v>
      </c>
      <c r="S1045" s="269">
        <v>0</v>
      </c>
      <c r="T1045" s="269">
        <v>0</v>
      </c>
      <c r="U1045" s="269">
        <v>0</v>
      </c>
    </row>
    <row r="1046" spans="1:21" ht="15" customHeight="1">
      <c r="B1046" s="1"/>
      <c r="C1046" s="89"/>
      <c r="D1046" s="89"/>
      <c r="E1046" s="89"/>
      <c r="F1046" s="89"/>
      <c r="G1046" s="89"/>
      <c r="H1046" s="89"/>
      <c r="I1046" s="89"/>
      <c r="J1046" s="89"/>
      <c r="K1046" s="89"/>
      <c r="L1046" s="89"/>
      <c r="M1046" s="226"/>
      <c r="N1046" s="226"/>
      <c r="O1046" s="168"/>
      <c r="P1046" s="168"/>
      <c r="Q1046" s="219"/>
      <c r="R1046" s="219"/>
      <c r="S1046" s="219"/>
      <c r="T1046" s="219"/>
      <c r="U1046" s="219"/>
    </row>
    <row r="1047" spans="1:21" s="89" customFormat="1" ht="24" customHeight="1">
      <c r="A1047" s="576"/>
      <c r="B1047" s="689" t="s">
        <v>1282</v>
      </c>
      <c r="C1047" s="689"/>
      <c r="D1047" s="689"/>
      <c r="E1047" s="689"/>
      <c r="F1047" s="689"/>
      <c r="G1047" s="689"/>
      <c r="H1047" s="689"/>
      <c r="I1047" s="689"/>
      <c r="J1047" s="689"/>
      <c r="K1047" s="689"/>
      <c r="L1047" s="689"/>
      <c r="M1047" s="408">
        <f t="shared" ref="M1047:U1047" si="137">SUM(M1039:M1046)</f>
        <v>69330</v>
      </c>
      <c r="N1047" s="408">
        <f t="shared" si="137"/>
        <v>59209</v>
      </c>
      <c r="O1047" s="409">
        <f t="shared" si="137"/>
        <v>95500</v>
      </c>
      <c r="P1047" s="409">
        <f t="shared" si="137"/>
        <v>98516</v>
      </c>
      <c r="Q1047" s="408">
        <f t="shared" si="137"/>
        <v>85500</v>
      </c>
      <c r="R1047" s="408">
        <f t="shared" si="137"/>
        <v>85500</v>
      </c>
      <c r="S1047" s="408">
        <f t="shared" si="137"/>
        <v>85500</v>
      </c>
      <c r="T1047" s="408">
        <f t="shared" si="137"/>
        <v>85500</v>
      </c>
      <c r="U1047" s="408">
        <f t="shared" si="137"/>
        <v>61410</v>
      </c>
    </row>
    <row r="1048" spans="1:21" s="89" customFormat="1" ht="15" customHeight="1">
      <c r="A1048" s="576"/>
      <c r="B1048" s="1"/>
      <c r="M1048" s="439"/>
      <c r="N1048" s="439"/>
      <c r="O1048" s="428"/>
      <c r="P1048" s="428"/>
      <c r="Q1048" s="439"/>
      <c r="R1048" s="439"/>
      <c r="S1048" s="439"/>
      <c r="T1048" s="439"/>
      <c r="U1048" s="439"/>
    </row>
    <row r="1049" spans="1:21" s="89" customFormat="1" ht="24" customHeight="1">
      <c r="A1049" s="576"/>
      <c r="L1049" s="98" t="s">
        <v>425</v>
      </c>
      <c r="M1049" s="241">
        <f t="shared" ref="M1049:U1049" si="138">M1037-M1047</f>
        <v>40323</v>
      </c>
      <c r="N1049" s="241">
        <f t="shared" si="138"/>
        <v>45604</v>
      </c>
      <c r="O1049" s="280">
        <f t="shared" si="138"/>
        <v>-45300</v>
      </c>
      <c r="P1049" s="280">
        <f t="shared" si="138"/>
        <v>11674</v>
      </c>
      <c r="Q1049" s="241">
        <f t="shared" si="138"/>
        <v>-35150</v>
      </c>
      <c r="R1049" s="241">
        <f t="shared" si="138"/>
        <v>-35000</v>
      </c>
      <c r="S1049" s="241">
        <f t="shared" si="138"/>
        <v>-34750</v>
      </c>
      <c r="T1049" s="241">
        <f t="shared" si="138"/>
        <v>-34500</v>
      </c>
      <c r="U1049" s="241">
        <f t="shared" si="138"/>
        <v>-9910</v>
      </c>
    </row>
    <row r="1050" spans="1:21" s="89" customFormat="1" ht="15" customHeight="1">
      <c r="A1050" s="576"/>
      <c r="M1050" s="439"/>
      <c r="N1050" s="439"/>
      <c r="O1050" s="428"/>
      <c r="P1050" s="428"/>
      <c r="Q1050" s="439"/>
      <c r="R1050" s="439"/>
      <c r="S1050" s="439"/>
      <c r="T1050" s="439"/>
      <c r="U1050" s="439"/>
    </row>
    <row r="1051" spans="1:21" s="89" customFormat="1" ht="24" customHeight="1">
      <c r="A1051" s="576"/>
      <c r="L1051" s="100" t="s">
        <v>427</v>
      </c>
      <c r="M1051" s="425">
        <v>123583</v>
      </c>
      <c r="N1051" s="425">
        <v>169188</v>
      </c>
      <c r="O1051" s="409">
        <v>107933</v>
      </c>
      <c r="P1051" s="409">
        <f>N1051+P1049</f>
        <v>180862</v>
      </c>
      <c r="Q1051" s="408">
        <f>P1051+Q1049</f>
        <v>145712</v>
      </c>
      <c r="R1051" s="408">
        <f>Q1051+R1049</f>
        <v>110712</v>
      </c>
      <c r="S1051" s="408">
        <f>R1051+S1049</f>
        <v>75962</v>
      </c>
      <c r="T1051" s="408">
        <f>S1051+T1049</f>
        <v>41462</v>
      </c>
      <c r="U1051" s="408">
        <f>T1051+U1049</f>
        <v>31552</v>
      </c>
    </row>
    <row r="1052" spans="1:21" ht="15" customHeight="1">
      <c r="B1052" s="89"/>
      <c r="C1052" s="89"/>
      <c r="D1052" s="89"/>
      <c r="E1052" s="89"/>
      <c r="F1052" s="89"/>
      <c r="G1052" s="89"/>
      <c r="H1052" s="89"/>
      <c r="I1052" s="89"/>
      <c r="J1052" s="89"/>
      <c r="K1052" s="89"/>
      <c r="L1052" s="89"/>
      <c r="M1052" s="254"/>
      <c r="N1052" s="254"/>
      <c r="O1052" s="185"/>
      <c r="P1052" s="185"/>
      <c r="Q1052" s="255"/>
      <c r="R1052" s="255"/>
      <c r="S1052" s="255"/>
      <c r="T1052" s="255"/>
      <c r="U1052" s="255"/>
    </row>
    <row r="1053" spans="1:21" ht="24" customHeight="1">
      <c r="B1053" s="102" t="s">
        <v>1298</v>
      </c>
      <c r="C1053" s="89"/>
      <c r="D1053" s="89"/>
      <c r="E1053" s="89"/>
      <c r="F1053" s="89"/>
      <c r="G1053" s="89"/>
      <c r="H1053" s="89"/>
      <c r="I1053" s="89"/>
      <c r="J1053" s="89"/>
      <c r="K1053" s="89"/>
      <c r="L1053" s="89"/>
      <c r="M1053" s="254"/>
      <c r="N1053" s="254"/>
      <c r="O1053" s="185"/>
      <c r="P1053" s="185"/>
      <c r="Q1053" s="255"/>
      <c r="R1053" s="255"/>
      <c r="S1053" s="255"/>
      <c r="T1053" s="255"/>
      <c r="U1053" s="255"/>
    </row>
    <row r="1054" spans="1:21" ht="15" customHeight="1">
      <c r="B1054" s="89"/>
      <c r="C1054" s="89"/>
      <c r="D1054" s="89"/>
      <c r="E1054" s="89"/>
      <c r="F1054" s="89"/>
      <c r="G1054" s="89"/>
      <c r="H1054" s="89"/>
      <c r="I1054" s="89"/>
      <c r="J1054" s="89"/>
      <c r="K1054" s="89"/>
      <c r="L1054" s="89"/>
      <c r="M1054" s="254"/>
      <c r="N1054" s="254"/>
      <c r="O1054" s="185"/>
      <c r="P1054" s="185"/>
      <c r="Q1054" s="255"/>
      <c r="R1054" s="548"/>
      <c r="S1054" s="548"/>
      <c r="T1054" s="548"/>
      <c r="U1054" s="548"/>
    </row>
    <row r="1055" spans="1:21" ht="24" customHeight="1">
      <c r="B1055" s="89" t="s">
        <v>863</v>
      </c>
      <c r="C1055" s="89"/>
      <c r="D1055" s="89"/>
      <c r="E1055" s="89" t="s">
        <v>862</v>
      </c>
      <c r="F1055" s="89"/>
      <c r="G1055" s="89"/>
      <c r="H1055" s="89"/>
      <c r="I1055" s="89"/>
      <c r="J1055" s="89"/>
      <c r="K1055" s="89"/>
      <c r="L1055" s="89"/>
      <c r="M1055" s="435">
        <v>203884</v>
      </c>
      <c r="N1055" s="436">
        <v>151422</v>
      </c>
      <c r="O1055" s="449">
        <v>260727</v>
      </c>
      <c r="P1055" s="449">
        <v>250366</v>
      </c>
      <c r="Q1055" s="436">
        <v>232133</v>
      </c>
      <c r="R1055" s="436">
        <v>237936</v>
      </c>
      <c r="S1055" s="436">
        <v>243884</v>
      </c>
      <c r="T1055" s="436">
        <v>249981</v>
      </c>
      <c r="U1055" s="436">
        <v>256231</v>
      </c>
    </row>
    <row r="1056" spans="1:21" ht="15" customHeight="1">
      <c r="B1056" s="89"/>
      <c r="C1056" s="89"/>
      <c r="D1056" s="89"/>
      <c r="E1056" s="89"/>
      <c r="F1056" s="89"/>
      <c r="G1056" s="89"/>
      <c r="H1056" s="89"/>
      <c r="I1056" s="89"/>
      <c r="J1056" s="89"/>
      <c r="K1056" s="89"/>
      <c r="L1056" s="89"/>
      <c r="M1056" s="439"/>
      <c r="N1056" s="439"/>
      <c r="O1056" s="455"/>
      <c r="P1056" s="455"/>
      <c r="Q1056" s="456"/>
      <c r="R1056" s="456"/>
      <c r="S1056" s="456"/>
      <c r="T1056" s="456"/>
      <c r="U1056" s="456"/>
    </row>
    <row r="1057" spans="1:21" s="89" customFormat="1" ht="24" customHeight="1">
      <c r="A1057" s="576"/>
      <c r="B1057" s="689" t="s">
        <v>1301</v>
      </c>
      <c r="C1057" s="689"/>
      <c r="D1057" s="689"/>
      <c r="E1057" s="689"/>
      <c r="F1057" s="689"/>
      <c r="G1057" s="689"/>
      <c r="H1057" s="689"/>
      <c r="I1057" s="689"/>
      <c r="J1057" s="689"/>
      <c r="K1057" s="689"/>
      <c r="L1057" s="689"/>
      <c r="M1057" s="408">
        <f>SUM(M1055:M1056)</f>
        <v>203884</v>
      </c>
      <c r="N1057" s="408">
        <f t="shared" ref="N1057:U1057" si="139">SUM(N1055:N1056)</f>
        <v>151422</v>
      </c>
      <c r="O1057" s="409">
        <f t="shared" si="139"/>
        <v>260727</v>
      </c>
      <c r="P1057" s="409">
        <f t="shared" si="139"/>
        <v>250366</v>
      </c>
      <c r="Q1057" s="408">
        <f t="shared" si="139"/>
        <v>232133</v>
      </c>
      <c r="R1057" s="408">
        <f t="shared" si="139"/>
        <v>237936</v>
      </c>
      <c r="S1057" s="408">
        <f t="shared" si="139"/>
        <v>243884</v>
      </c>
      <c r="T1057" s="408">
        <f t="shared" si="139"/>
        <v>249981</v>
      </c>
      <c r="U1057" s="408">
        <f t="shared" si="139"/>
        <v>256231</v>
      </c>
    </row>
    <row r="1058" spans="1:21" ht="15" customHeight="1">
      <c r="B1058" s="89"/>
      <c r="C1058" s="89"/>
      <c r="D1058" s="89"/>
      <c r="E1058" s="89"/>
      <c r="F1058" s="89"/>
      <c r="G1058" s="89"/>
      <c r="H1058" s="89"/>
      <c r="I1058" s="89"/>
      <c r="J1058" s="89"/>
      <c r="K1058" s="89"/>
      <c r="L1058" s="89"/>
      <c r="M1058" s="226"/>
      <c r="N1058" s="226"/>
      <c r="O1058" s="168"/>
      <c r="P1058" s="168"/>
      <c r="Q1058" s="219"/>
      <c r="R1058" s="219"/>
      <c r="S1058" s="219"/>
      <c r="T1058" s="219"/>
      <c r="U1058" s="219"/>
    </row>
    <row r="1059" spans="1:21" ht="24" customHeight="1">
      <c r="B1059" s="1" t="s">
        <v>1016</v>
      </c>
      <c r="C1059" s="95"/>
      <c r="D1059" s="95"/>
      <c r="E1059" s="89" t="s">
        <v>1013</v>
      </c>
      <c r="F1059" s="95"/>
      <c r="G1059" s="95"/>
      <c r="H1059" s="95"/>
      <c r="I1059" s="95"/>
      <c r="J1059" s="95"/>
      <c r="K1059" s="95"/>
      <c r="L1059" s="89"/>
      <c r="M1059" s="404">
        <v>11263</v>
      </c>
      <c r="N1059" s="404">
        <v>11475</v>
      </c>
      <c r="O1059" s="405">
        <v>11381</v>
      </c>
      <c r="P1059" s="405">
        <v>11381</v>
      </c>
      <c r="Q1059" s="404">
        <v>15804</v>
      </c>
      <c r="R1059" s="404">
        <v>16278</v>
      </c>
      <c r="S1059" s="404">
        <v>16766</v>
      </c>
      <c r="T1059" s="404">
        <v>17269</v>
      </c>
      <c r="U1059" s="404">
        <v>17787</v>
      </c>
    </row>
    <row r="1060" spans="1:21" ht="24" customHeight="1">
      <c r="B1060" s="1" t="s">
        <v>1043</v>
      </c>
      <c r="C1060" s="95"/>
      <c r="D1060" s="95"/>
      <c r="E1060" s="1" t="s">
        <v>801</v>
      </c>
      <c r="F1060" s="95"/>
      <c r="G1060" s="95"/>
      <c r="H1060" s="95"/>
      <c r="I1060" s="95"/>
      <c r="J1060" s="95"/>
      <c r="K1060" s="95"/>
      <c r="L1060" s="89"/>
      <c r="M1060" s="240">
        <v>700000</v>
      </c>
      <c r="N1060" s="240">
        <v>0</v>
      </c>
      <c r="O1060" s="164">
        <v>0</v>
      </c>
      <c r="P1060" s="164">
        <v>0</v>
      </c>
      <c r="Q1060" s="208">
        <v>0</v>
      </c>
      <c r="R1060" s="208">
        <v>0</v>
      </c>
      <c r="S1060" s="208">
        <v>0</v>
      </c>
      <c r="T1060" s="208">
        <v>0</v>
      </c>
      <c r="U1060" s="208">
        <v>0</v>
      </c>
    </row>
    <row r="1061" spans="1:21" ht="24" customHeight="1">
      <c r="B1061" s="1" t="s">
        <v>945</v>
      </c>
      <c r="C1061" s="95"/>
      <c r="D1061" s="95"/>
      <c r="E1061" s="1" t="s">
        <v>10</v>
      </c>
      <c r="F1061" s="95"/>
      <c r="G1061" s="95"/>
      <c r="H1061" s="95"/>
      <c r="I1061" s="95"/>
      <c r="J1061" s="95"/>
      <c r="K1061" s="95"/>
      <c r="L1061" s="89"/>
      <c r="M1061" s="240">
        <v>1440</v>
      </c>
      <c r="N1061" s="240">
        <v>414</v>
      </c>
      <c r="O1061" s="164">
        <v>2000</v>
      </c>
      <c r="P1061" s="164">
        <v>500</v>
      </c>
      <c r="Q1061" s="208">
        <v>2000</v>
      </c>
      <c r="R1061" s="208">
        <v>2000</v>
      </c>
      <c r="S1061" s="208">
        <v>2000</v>
      </c>
      <c r="T1061" s="208">
        <v>2000</v>
      </c>
      <c r="U1061" s="208">
        <v>2000</v>
      </c>
    </row>
    <row r="1062" spans="1:21" ht="24" customHeight="1">
      <c r="B1062" s="1" t="s">
        <v>419</v>
      </c>
      <c r="C1062" s="95"/>
      <c r="D1062" s="95"/>
      <c r="E1062" s="1" t="s">
        <v>259</v>
      </c>
      <c r="F1062" s="95"/>
      <c r="G1062" s="95"/>
      <c r="H1062" s="95"/>
      <c r="I1062" s="95"/>
      <c r="J1062" s="95"/>
      <c r="K1062" s="95"/>
      <c r="L1062" s="89"/>
      <c r="M1062" s="240">
        <v>661</v>
      </c>
      <c r="N1062" s="240">
        <v>661</v>
      </c>
      <c r="O1062" s="164">
        <v>700</v>
      </c>
      <c r="P1062" s="164">
        <v>661</v>
      </c>
      <c r="Q1062" s="208">
        <v>700</v>
      </c>
      <c r="R1062" s="208">
        <v>700</v>
      </c>
      <c r="S1062" s="208">
        <v>700</v>
      </c>
      <c r="T1062" s="208">
        <v>700</v>
      </c>
      <c r="U1062" s="208">
        <v>700</v>
      </c>
    </row>
    <row r="1063" spans="1:21" ht="24" customHeight="1">
      <c r="B1063" s="6" t="s">
        <v>955</v>
      </c>
      <c r="C1063" s="95"/>
      <c r="D1063" s="95"/>
      <c r="E1063" s="1"/>
      <c r="F1063" s="95"/>
      <c r="G1063" s="95"/>
      <c r="H1063" s="95"/>
      <c r="I1063" s="95"/>
      <c r="J1063" s="95"/>
      <c r="K1063" s="95"/>
      <c r="L1063" s="95"/>
      <c r="M1063" s="240"/>
      <c r="N1063" s="240"/>
      <c r="O1063" s="164"/>
      <c r="P1063" s="164"/>
      <c r="Q1063" s="208"/>
      <c r="R1063" s="208"/>
      <c r="S1063" s="208"/>
      <c r="T1063" s="208"/>
      <c r="U1063" s="208"/>
    </row>
    <row r="1064" spans="1:21" ht="24" customHeight="1">
      <c r="B1064" s="1" t="s">
        <v>972</v>
      </c>
      <c r="C1064" s="95"/>
      <c r="D1064" s="95"/>
      <c r="E1064" s="1" t="s">
        <v>798</v>
      </c>
      <c r="F1064" s="95"/>
      <c r="G1064" s="95"/>
      <c r="H1064" s="95"/>
      <c r="I1064" s="95"/>
      <c r="J1064" s="95"/>
      <c r="K1064" s="95"/>
      <c r="L1064" s="95"/>
      <c r="M1064" s="240">
        <v>104517</v>
      </c>
      <c r="N1064" s="240">
        <v>107163</v>
      </c>
      <c r="O1064" s="164">
        <v>112455</v>
      </c>
      <c r="P1064" s="164">
        <f>ROUND(425000*0.2646,0)</f>
        <v>112455</v>
      </c>
      <c r="Q1064" s="208">
        <f>ROUND(440000*0.2646,0)</f>
        <v>116424</v>
      </c>
      <c r="R1064" s="208">
        <f>ROUND(460000*0.2646,0)</f>
        <v>121716</v>
      </c>
      <c r="S1064" s="240">
        <f>ROUND(475000*0.2646,0)</f>
        <v>125685</v>
      </c>
      <c r="T1064" s="240">
        <f>ROUND(215000*0.2646,0)</f>
        <v>56889</v>
      </c>
      <c r="U1064" s="240">
        <f>ROUND(220000*0.2646,0)</f>
        <v>58212</v>
      </c>
    </row>
    <row r="1065" spans="1:21" ht="24" customHeight="1">
      <c r="B1065" s="1" t="s">
        <v>973</v>
      </c>
      <c r="C1065" s="95"/>
      <c r="D1065" s="95"/>
      <c r="E1065" s="1" t="s">
        <v>248</v>
      </c>
      <c r="F1065" s="95"/>
      <c r="G1065" s="95"/>
      <c r="H1065" s="95"/>
      <c r="I1065" s="95"/>
      <c r="J1065" s="95"/>
      <c r="K1065" s="95"/>
      <c r="L1065" s="95"/>
      <c r="M1065" s="240">
        <v>54613</v>
      </c>
      <c r="N1065" s="240">
        <v>50433</v>
      </c>
      <c r="O1065" s="164">
        <v>46146</v>
      </c>
      <c r="P1065" s="164">
        <f>ROUND((174400)*0.2646,0)</f>
        <v>46146</v>
      </c>
      <c r="Q1065" s="208">
        <f>ROUND((157400)*0.2646,0)</f>
        <v>41648</v>
      </c>
      <c r="R1065" s="208">
        <f>ROUND((69900*2)*0.2646,0)</f>
        <v>36991</v>
      </c>
      <c r="S1065" s="240">
        <f>ROUND((60700*2)*0.2646,0)</f>
        <v>32122</v>
      </c>
      <c r="T1065" s="240">
        <f>ROUND((51200*2)*0.2646,0)</f>
        <v>27095</v>
      </c>
      <c r="U1065" s="240">
        <f>ROUND((46900*2)*0.2646,0)</f>
        <v>24819</v>
      </c>
    </row>
    <row r="1066" spans="1:21" ht="24" customHeight="1">
      <c r="B1066" s="98" t="s">
        <v>918</v>
      </c>
      <c r="C1066" s="98"/>
      <c r="D1066" s="98"/>
      <c r="E1066" s="98"/>
      <c r="F1066" s="98"/>
      <c r="G1066" s="98"/>
      <c r="H1066" s="98"/>
      <c r="I1066" s="98"/>
      <c r="J1066" s="98"/>
      <c r="K1066" s="98"/>
      <c r="L1066" s="89"/>
      <c r="M1066" s="267"/>
      <c r="N1066" s="267"/>
      <c r="O1066" s="168"/>
      <c r="P1066" s="168"/>
      <c r="Q1066" s="219"/>
      <c r="R1066" s="219"/>
      <c r="S1066" s="219"/>
      <c r="T1066" s="219"/>
      <c r="U1066" s="219"/>
    </row>
    <row r="1067" spans="1:21" ht="24" customHeight="1">
      <c r="B1067" s="1" t="s">
        <v>804</v>
      </c>
      <c r="C1067" s="95"/>
      <c r="D1067" s="95"/>
      <c r="E1067" s="1" t="s">
        <v>798</v>
      </c>
      <c r="F1067" s="95"/>
      <c r="G1067" s="95"/>
      <c r="H1067" s="95"/>
      <c r="I1067" s="95"/>
      <c r="J1067" s="95"/>
      <c r="K1067" s="95"/>
      <c r="L1067" s="89"/>
      <c r="M1067" s="240">
        <v>0</v>
      </c>
      <c r="N1067" s="240">
        <v>0</v>
      </c>
      <c r="O1067" s="164">
        <v>0</v>
      </c>
      <c r="P1067" s="164">
        <v>0</v>
      </c>
      <c r="Q1067" s="208">
        <v>0</v>
      </c>
      <c r="R1067" s="208">
        <v>0</v>
      </c>
      <c r="S1067" s="208">
        <v>0</v>
      </c>
      <c r="T1067" s="208">
        <v>230000</v>
      </c>
      <c r="U1067" s="208">
        <v>235000</v>
      </c>
    </row>
    <row r="1068" spans="1:21" ht="24" customHeight="1">
      <c r="B1068" s="1" t="s">
        <v>805</v>
      </c>
      <c r="C1068" s="95"/>
      <c r="D1068" s="95"/>
      <c r="E1068" s="1" t="s">
        <v>248</v>
      </c>
      <c r="F1068" s="95"/>
      <c r="G1068" s="95"/>
      <c r="H1068" s="95"/>
      <c r="I1068" s="95"/>
      <c r="J1068" s="95"/>
      <c r="K1068" s="95"/>
      <c r="L1068" s="89"/>
      <c r="M1068" s="261">
        <v>50715</v>
      </c>
      <c r="N1068" s="261">
        <v>50715</v>
      </c>
      <c r="O1068" s="167">
        <v>50715</v>
      </c>
      <c r="P1068" s="167">
        <v>50715</v>
      </c>
      <c r="Q1068" s="225">
        <v>50715</v>
      </c>
      <c r="R1068" s="225">
        <v>50715</v>
      </c>
      <c r="S1068" s="225">
        <v>50715</v>
      </c>
      <c r="T1068" s="225">
        <v>50715</v>
      </c>
      <c r="U1068" s="225">
        <v>41515</v>
      </c>
    </row>
    <row r="1069" spans="1:21" ht="15" customHeight="1">
      <c r="B1069" s="89"/>
      <c r="C1069" s="89"/>
      <c r="D1069" s="89"/>
      <c r="E1069" s="89"/>
      <c r="F1069" s="89"/>
      <c r="G1069" s="89"/>
      <c r="H1069" s="89"/>
      <c r="I1069" s="89"/>
      <c r="J1069" s="89"/>
      <c r="K1069" s="89"/>
      <c r="L1069" s="89"/>
      <c r="M1069" s="226"/>
      <c r="N1069" s="226"/>
      <c r="O1069" s="168"/>
      <c r="P1069" s="168"/>
      <c r="Q1069" s="219"/>
      <c r="R1069" s="219"/>
      <c r="S1069" s="219"/>
      <c r="T1069" s="219"/>
      <c r="U1069" s="219"/>
    </row>
    <row r="1070" spans="1:21" s="89" customFormat="1" ht="24" customHeight="1">
      <c r="A1070" s="576"/>
      <c r="B1070" s="689" t="s">
        <v>1260</v>
      </c>
      <c r="C1070" s="689"/>
      <c r="D1070" s="689"/>
      <c r="E1070" s="689"/>
      <c r="F1070" s="689"/>
      <c r="G1070" s="689"/>
      <c r="H1070" s="689"/>
      <c r="I1070" s="689"/>
      <c r="J1070" s="689"/>
      <c r="K1070" s="689"/>
      <c r="L1070" s="689"/>
      <c r="M1070" s="408">
        <f>SUM(M1059:M1069)</f>
        <v>923209</v>
      </c>
      <c r="N1070" s="408">
        <f t="shared" ref="N1070:U1070" si="140">SUM(N1059:N1069)</f>
        <v>220861</v>
      </c>
      <c r="O1070" s="409">
        <f t="shared" si="140"/>
        <v>223397</v>
      </c>
      <c r="P1070" s="409">
        <f t="shared" si="140"/>
        <v>221858</v>
      </c>
      <c r="Q1070" s="408">
        <f t="shared" si="140"/>
        <v>227291</v>
      </c>
      <c r="R1070" s="408">
        <f t="shared" si="140"/>
        <v>228400</v>
      </c>
      <c r="S1070" s="408">
        <f t="shared" si="140"/>
        <v>227988</v>
      </c>
      <c r="T1070" s="408">
        <f t="shared" si="140"/>
        <v>384668</v>
      </c>
      <c r="U1070" s="408">
        <f t="shared" si="140"/>
        <v>380033</v>
      </c>
    </row>
    <row r="1071" spans="1:21" s="89" customFormat="1" ht="15" customHeight="1">
      <c r="A1071" s="576"/>
      <c r="M1071" s="439"/>
      <c r="N1071" s="439"/>
      <c r="O1071" s="428"/>
      <c r="P1071" s="428"/>
      <c r="Q1071" s="439"/>
      <c r="R1071" s="439"/>
      <c r="S1071" s="439"/>
      <c r="T1071" s="439"/>
      <c r="U1071" s="439"/>
    </row>
    <row r="1072" spans="1:21" s="89" customFormat="1" ht="24" customHeight="1">
      <c r="A1072" s="576"/>
      <c r="L1072" s="98" t="s">
        <v>425</v>
      </c>
      <c r="M1072" s="241">
        <f t="shared" ref="M1072:U1072" si="141">M1057-M1070</f>
        <v>-719325</v>
      </c>
      <c r="N1072" s="241">
        <f t="shared" si="141"/>
        <v>-69439</v>
      </c>
      <c r="O1072" s="280">
        <f t="shared" si="141"/>
        <v>37330</v>
      </c>
      <c r="P1072" s="280">
        <f t="shared" si="141"/>
        <v>28508</v>
      </c>
      <c r="Q1072" s="241">
        <f t="shared" si="141"/>
        <v>4842</v>
      </c>
      <c r="R1072" s="241">
        <f t="shared" si="141"/>
        <v>9536</v>
      </c>
      <c r="S1072" s="241">
        <f t="shared" si="141"/>
        <v>15896</v>
      </c>
      <c r="T1072" s="241">
        <f t="shared" si="141"/>
        <v>-134687</v>
      </c>
      <c r="U1072" s="241">
        <f t="shared" si="141"/>
        <v>-123802</v>
      </c>
    </row>
    <row r="1073" spans="1:21" s="89" customFormat="1" ht="15" customHeight="1">
      <c r="A1073" s="576"/>
      <c r="M1073" s="439"/>
      <c r="N1073" s="439"/>
      <c r="O1073" s="428"/>
      <c r="P1073" s="428"/>
      <c r="Q1073" s="439"/>
      <c r="R1073" s="439"/>
      <c r="S1073" s="439"/>
      <c r="T1073" s="439"/>
      <c r="U1073" s="439"/>
    </row>
    <row r="1074" spans="1:21" s="89" customFormat="1" ht="24" customHeight="1">
      <c r="A1074" s="576"/>
      <c r="L1074" s="100" t="s">
        <v>427</v>
      </c>
      <c r="M1074" s="408">
        <v>-1141784</v>
      </c>
      <c r="N1074" s="408">
        <v>-1211222</v>
      </c>
      <c r="O1074" s="409">
        <v>-1175479</v>
      </c>
      <c r="P1074" s="409">
        <f>N1074+P1072</f>
        <v>-1182714</v>
      </c>
      <c r="Q1074" s="408">
        <f>P1074+Q1072</f>
        <v>-1177872</v>
      </c>
      <c r="R1074" s="408">
        <f>Q1074+R1072</f>
        <v>-1168336</v>
      </c>
      <c r="S1074" s="408">
        <f>R1074+S1072</f>
        <v>-1152440</v>
      </c>
      <c r="T1074" s="408">
        <f>S1074+T1072</f>
        <v>-1287127</v>
      </c>
      <c r="U1074" s="408">
        <f>T1074+U1072</f>
        <v>-1410929</v>
      </c>
    </row>
    <row r="1075" spans="1:21" ht="15" customHeight="1">
      <c r="B1075" s="89"/>
      <c r="C1075" s="89"/>
      <c r="D1075" s="89"/>
      <c r="E1075" s="89"/>
      <c r="F1075" s="89"/>
      <c r="G1075" s="89"/>
      <c r="H1075" s="89"/>
      <c r="I1075" s="89"/>
      <c r="J1075" s="89"/>
      <c r="K1075" s="89"/>
      <c r="L1075" s="89"/>
      <c r="M1075" s="263"/>
      <c r="N1075" s="263"/>
      <c r="O1075" s="196"/>
      <c r="P1075" s="196"/>
      <c r="Q1075" s="264"/>
      <c r="R1075" s="264"/>
      <c r="S1075" s="264"/>
      <c r="T1075" s="264"/>
      <c r="U1075" s="264"/>
    </row>
    <row r="1076" spans="1:21" ht="24" customHeight="1">
      <c r="B1076" s="163" t="s">
        <v>1299</v>
      </c>
      <c r="C1076" s="89"/>
      <c r="D1076" s="89"/>
      <c r="E1076" s="89"/>
      <c r="F1076" s="89"/>
      <c r="G1076" s="89"/>
      <c r="H1076" s="89"/>
      <c r="I1076" s="89"/>
      <c r="J1076" s="89"/>
      <c r="K1076" s="89"/>
      <c r="L1076" s="89"/>
      <c r="M1076" s="263"/>
      <c r="N1076" s="263"/>
      <c r="O1076" s="196"/>
      <c r="P1076" s="196"/>
      <c r="Q1076" s="264"/>
      <c r="R1076" s="264"/>
      <c r="S1076" s="264"/>
      <c r="T1076" s="264"/>
      <c r="U1076" s="264"/>
    </row>
    <row r="1077" spans="1:21" ht="15" customHeight="1">
      <c r="B1077" s="89"/>
      <c r="C1077" s="89"/>
      <c r="D1077" s="89"/>
      <c r="E1077" s="89"/>
      <c r="F1077" s="89"/>
      <c r="G1077" s="89"/>
      <c r="H1077" s="89"/>
      <c r="I1077" s="89"/>
      <c r="J1077" s="89"/>
      <c r="K1077" s="89"/>
      <c r="L1077" s="89"/>
      <c r="M1077" s="254"/>
      <c r="N1077" s="254"/>
      <c r="O1077" s="185"/>
      <c r="P1077" s="185"/>
      <c r="Q1077" s="255"/>
      <c r="R1077" s="255"/>
      <c r="S1077" s="255"/>
      <c r="T1077" s="255"/>
      <c r="U1077" s="255"/>
    </row>
    <row r="1078" spans="1:21" ht="24" customHeight="1">
      <c r="B1078" s="89" t="s">
        <v>864</v>
      </c>
      <c r="C1078" s="89"/>
      <c r="D1078" s="89"/>
      <c r="E1078" s="89" t="s">
        <v>858</v>
      </c>
      <c r="F1078" s="89"/>
      <c r="G1078" s="89"/>
      <c r="H1078" s="89"/>
      <c r="I1078" s="89"/>
      <c r="J1078" s="89"/>
      <c r="K1078" s="89"/>
      <c r="L1078" s="89"/>
      <c r="M1078" s="435">
        <v>75759</v>
      </c>
      <c r="N1078" s="436">
        <v>70677</v>
      </c>
      <c r="O1078" s="449">
        <v>70000</v>
      </c>
      <c r="P1078" s="449">
        <v>96795</v>
      </c>
      <c r="Q1078" s="436">
        <v>96000</v>
      </c>
      <c r="R1078" s="436">
        <f>ROUND(Q1078*1.025,0)</f>
        <v>98400</v>
      </c>
      <c r="S1078" s="436">
        <f>ROUND(R1078*1.025,0)</f>
        <v>100860</v>
      </c>
      <c r="T1078" s="436">
        <f t="shared" ref="T1078:U1078" si="142">ROUND(S1078*1.025,0)</f>
        <v>103382</v>
      </c>
      <c r="U1078" s="436">
        <f t="shared" si="142"/>
        <v>105967</v>
      </c>
    </row>
    <row r="1079" spans="1:21" ht="15" customHeight="1">
      <c r="B1079" s="89"/>
      <c r="C1079" s="89"/>
      <c r="D1079" s="89"/>
      <c r="E1079" s="89"/>
      <c r="F1079" s="89"/>
      <c r="G1079" s="89"/>
      <c r="H1079" s="89"/>
      <c r="I1079" s="89"/>
      <c r="J1079" s="89"/>
      <c r="K1079" s="89"/>
      <c r="L1079" s="89"/>
      <c r="M1079" s="226"/>
      <c r="N1079" s="226"/>
      <c r="O1079" s="168"/>
      <c r="P1079" s="168"/>
      <c r="Q1079" s="219"/>
      <c r="R1079" s="219"/>
      <c r="S1079" s="219"/>
      <c r="T1079" s="219"/>
      <c r="U1079" s="219"/>
    </row>
    <row r="1080" spans="1:21" s="89" customFormat="1" ht="24" customHeight="1">
      <c r="A1080" s="576"/>
      <c r="B1080" s="689" t="s">
        <v>1300</v>
      </c>
      <c r="C1080" s="689"/>
      <c r="D1080" s="689"/>
      <c r="E1080" s="689"/>
      <c r="F1080" s="689"/>
      <c r="G1080" s="689"/>
      <c r="H1080" s="689"/>
      <c r="I1080" s="689"/>
      <c r="J1080" s="689"/>
      <c r="K1080" s="689"/>
      <c r="L1080" s="689"/>
      <c r="M1080" s="408">
        <f t="shared" ref="M1080:U1080" si="143">SUM(M1078:M1079)</f>
        <v>75759</v>
      </c>
      <c r="N1080" s="408">
        <f t="shared" si="143"/>
        <v>70677</v>
      </c>
      <c r="O1080" s="409">
        <f t="shared" si="143"/>
        <v>70000</v>
      </c>
      <c r="P1080" s="409">
        <f t="shared" si="143"/>
        <v>96795</v>
      </c>
      <c r="Q1080" s="408">
        <f t="shared" si="143"/>
        <v>96000</v>
      </c>
      <c r="R1080" s="408">
        <f t="shared" si="143"/>
        <v>98400</v>
      </c>
      <c r="S1080" s="408">
        <f t="shared" si="143"/>
        <v>100860</v>
      </c>
      <c r="T1080" s="408">
        <f t="shared" si="143"/>
        <v>103382</v>
      </c>
      <c r="U1080" s="408">
        <f t="shared" si="143"/>
        <v>105967</v>
      </c>
    </row>
    <row r="1081" spans="1:21" ht="15" customHeight="1">
      <c r="B1081" s="89"/>
      <c r="C1081" s="89"/>
      <c r="D1081" s="89"/>
      <c r="E1081" s="89"/>
      <c r="F1081" s="89"/>
      <c r="G1081" s="89"/>
      <c r="H1081" s="89"/>
      <c r="I1081" s="89"/>
      <c r="J1081" s="89"/>
      <c r="K1081" s="89"/>
      <c r="L1081" s="89"/>
      <c r="M1081" s="226"/>
      <c r="N1081" s="226"/>
      <c r="O1081" s="168"/>
      <c r="P1081" s="168"/>
      <c r="Q1081" s="219"/>
      <c r="R1081" s="219"/>
      <c r="S1081" s="219"/>
      <c r="T1081" s="219"/>
      <c r="U1081" s="219"/>
    </row>
    <row r="1082" spans="1:21" ht="24" customHeight="1">
      <c r="B1082" s="1" t="s">
        <v>1017</v>
      </c>
      <c r="C1082" s="95"/>
      <c r="D1082" s="95"/>
      <c r="E1082" s="89" t="s">
        <v>1013</v>
      </c>
      <c r="F1082" s="95"/>
      <c r="G1082" s="95"/>
      <c r="H1082" s="95"/>
      <c r="I1082" s="95"/>
      <c r="J1082" s="95"/>
      <c r="K1082" s="95"/>
      <c r="L1082" s="89"/>
      <c r="M1082" s="404">
        <v>32246</v>
      </c>
      <c r="N1082" s="404">
        <v>33487</v>
      </c>
      <c r="O1082" s="405">
        <v>35020</v>
      </c>
      <c r="P1082" s="405">
        <v>35020</v>
      </c>
      <c r="Q1082" s="404">
        <v>31102</v>
      </c>
      <c r="R1082" s="404">
        <v>32035</v>
      </c>
      <c r="S1082" s="404">
        <v>32996</v>
      </c>
      <c r="T1082" s="404">
        <v>33986</v>
      </c>
      <c r="U1082" s="404">
        <v>35006</v>
      </c>
    </row>
    <row r="1083" spans="1:21" ht="24" customHeight="1">
      <c r="B1083" s="1" t="s">
        <v>802</v>
      </c>
      <c r="C1083" s="95"/>
      <c r="D1083" s="95"/>
      <c r="E1083" s="1" t="s">
        <v>801</v>
      </c>
      <c r="F1083" s="95"/>
      <c r="G1083" s="95"/>
      <c r="H1083" s="95"/>
      <c r="I1083" s="95"/>
      <c r="J1083" s="95"/>
      <c r="K1083" s="95"/>
      <c r="L1083" s="89"/>
      <c r="M1083" s="240">
        <v>25597</v>
      </c>
      <c r="N1083" s="240">
        <v>27256</v>
      </c>
      <c r="O1083" s="164">
        <v>27820</v>
      </c>
      <c r="P1083" s="164">
        <v>36562</v>
      </c>
      <c r="Q1083" s="240">
        <f>ROUND(P1083*1.05,0)</f>
        <v>38390</v>
      </c>
      <c r="R1083" s="240">
        <f>ROUND(Q1083*1.05,0)</f>
        <v>40310</v>
      </c>
      <c r="S1083" s="240">
        <f>ROUND(R1083*1.05,0)</f>
        <v>42326</v>
      </c>
      <c r="T1083" s="240">
        <f>ROUND(S1083*1.05,0)</f>
        <v>44442</v>
      </c>
      <c r="U1083" s="240">
        <f>ROUND(T1083*1.05,0)</f>
        <v>46664</v>
      </c>
    </row>
    <row r="1084" spans="1:21" ht="24" customHeight="1">
      <c r="B1084" s="1" t="s">
        <v>946</v>
      </c>
      <c r="C1084" s="95"/>
      <c r="D1084" s="95"/>
      <c r="E1084" s="1" t="s">
        <v>10</v>
      </c>
      <c r="F1084" s="95"/>
      <c r="G1084" s="95"/>
      <c r="H1084" s="95"/>
      <c r="I1084" s="95"/>
      <c r="J1084" s="95"/>
      <c r="K1084" s="95"/>
      <c r="L1084" s="95"/>
      <c r="M1084" s="240">
        <f>290+1731</f>
        <v>2021</v>
      </c>
      <c r="N1084" s="240">
        <v>614</v>
      </c>
      <c r="O1084" s="164">
        <v>5000</v>
      </c>
      <c r="P1084" s="164">
        <v>750</v>
      </c>
      <c r="Q1084" s="208">
        <v>5000</v>
      </c>
      <c r="R1084" s="208">
        <v>5000</v>
      </c>
      <c r="S1084" s="208">
        <v>5000</v>
      </c>
      <c r="T1084" s="208">
        <v>5000</v>
      </c>
      <c r="U1084" s="208">
        <v>5000</v>
      </c>
    </row>
    <row r="1085" spans="1:21" ht="24" customHeight="1">
      <c r="B1085" s="1" t="s">
        <v>521</v>
      </c>
      <c r="C1085" s="95"/>
      <c r="D1085" s="95"/>
      <c r="E1085" s="1" t="s">
        <v>522</v>
      </c>
      <c r="F1085" s="95"/>
      <c r="G1085" s="95"/>
      <c r="H1085" s="95"/>
      <c r="I1085" s="95"/>
      <c r="J1085" s="95"/>
      <c r="K1085" s="95"/>
      <c r="L1085" s="95"/>
      <c r="M1085" s="240">
        <v>3189</v>
      </c>
      <c r="N1085" s="240">
        <v>979</v>
      </c>
      <c r="O1085" s="164">
        <v>10000</v>
      </c>
      <c r="P1085" s="164">
        <v>0</v>
      </c>
      <c r="Q1085" s="208">
        <v>10000</v>
      </c>
      <c r="R1085" s="208">
        <v>10000</v>
      </c>
      <c r="S1085" s="208">
        <v>10000</v>
      </c>
      <c r="T1085" s="208">
        <v>10000</v>
      </c>
      <c r="U1085" s="208">
        <v>10000</v>
      </c>
    </row>
    <row r="1086" spans="1:21" ht="24" customHeight="1">
      <c r="B1086" s="1" t="s">
        <v>421</v>
      </c>
      <c r="C1086" s="95"/>
      <c r="D1086" s="95"/>
      <c r="E1086" s="1" t="s">
        <v>243</v>
      </c>
      <c r="F1086" s="97"/>
      <c r="G1086" s="97"/>
      <c r="H1086" s="97"/>
      <c r="I1086" s="97"/>
      <c r="J1086" s="97"/>
      <c r="K1086" s="97"/>
      <c r="L1086" s="106"/>
      <c r="M1086" s="240">
        <v>7488</v>
      </c>
      <c r="N1086" s="240">
        <v>7488</v>
      </c>
      <c r="O1086" s="164">
        <v>7488</v>
      </c>
      <c r="P1086" s="164">
        <f>ROUND(624*12,0)</f>
        <v>7488</v>
      </c>
      <c r="Q1086" s="208">
        <v>3120</v>
      </c>
      <c r="R1086" s="208">
        <v>0</v>
      </c>
      <c r="S1086" s="220">
        <v>0</v>
      </c>
      <c r="T1086" s="220">
        <v>0</v>
      </c>
      <c r="U1086" s="220">
        <v>0</v>
      </c>
    </row>
    <row r="1087" spans="1:21" ht="24" customHeight="1">
      <c r="B1087" s="6" t="s">
        <v>1020</v>
      </c>
      <c r="C1087" s="95"/>
      <c r="D1087" s="95"/>
      <c r="E1087" s="1"/>
      <c r="F1087" s="95"/>
      <c r="G1087" s="95"/>
      <c r="H1087" s="95"/>
      <c r="I1087" s="95"/>
      <c r="J1087" s="95"/>
      <c r="K1087" s="95"/>
      <c r="L1087" s="95"/>
      <c r="M1087" s="240"/>
      <c r="N1087" s="240"/>
      <c r="O1087" s="164"/>
      <c r="P1087" s="164"/>
      <c r="Q1087" s="208"/>
      <c r="R1087" s="208"/>
      <c r="S1087" s="208"/>
      <c r="T1087" s="208"/>
      <c r="U1087" s="208"/>
    </row>
    <row r="1088" spans="1:21" ht="24" customHeight="1">
      <c r="B1088" s="1" t="s">
        <v>999</v>
      </c>
      <c r="C1088" s="95"/>
      <c r="D1088" s="95"/>
      <c r="E1088" s="1" t="s">
        <v>798</v>
      </c>
      <c r="F1088" s="95"/>
      <c r="G1088" s="95"/>
      <c r="H1088" s="95"/>
      <c r="I1088" s="95"/>
      <c r="J1088" s="95"/>
      <c r="K1088" s="95"/>
      <c r="L1088" s="95"/>
      <c r="M1088" s="240">
        <v>200000</v>
      </c>
      <c r="N1088" s="240">
        <v>200000</v>
      </c>
      <c r="O1088" s="164">
        <v>200000</v>
      </c>
      <c r="P1088" s="164">
        <v>200000</v>
      </c>
      <c r="Q1088" s="208">
        <v>0</v>
      </c>
      <c r="R1088" s="208">
        <v>0</v>
      </c>
      <c r="S1088" s="208">
        <v>0</v>
      </c>
      <c r="T1088" s="208">
        <v>0</v>
      </c>
      <c r="U1088" s="208">
        <v>0</v>
      </c>
    </row>
    <row r="1089" spans="1:21" ht="24" customHeight="1">
      <c r="B1089" s="1" t="s">
        <v>1000</v>
      </c>
      <c r="C1089" s="95"/>
      <c r="D1089" s="95"/>
      <c r="E1089" s="1" t="s">
        <v>248</v>
      </c>
      <c r="F1089" s="95"/>
      <c r="G1089" s="95"/>
      <c r="H1089" s="95"/>
      <c r="I1089" s="95"/>
      <c r="J1089" s="95"/>
      <c r="K1089" s="95"/>
      <c r="L1089" s="95"/>
      <c r="M1089" s="261">
        <v>18250</v>
      </c>
      <c r="N1089" s="261">
        <v>12233</v>
      </c>
      <c r="O1089" s="167">
        <v>6084</v>
      </c>
      <c r="P1089" s="167">
        <v>6084</v>
      </c>
      <c r="Q1089" s="225">
        <v>0</v>
      </c>
      <c r="R1089" s="225">
        <v>0</v>
      </c>
      <c r="S1089" s="225">
        <v>0</v>
      </c>
      <c r="T1089" s="225">
        <v>0</v>
      </c>
      <c r="U1089" s="225">
        <v>0</v>
      </c>
    </row>
    <row r="1090" spans="1:21" ht="15" customHeight="1">
      <c r="B1090" s="89"/>
      <c r="C1090" s="89"/>
      <c r="D1090" s="89"/>
      <c r="E1090" s="89"/>
      <c r="F1090" s="89"/>
      <c r="G1090" s="89"/>
      <c r="H1090" s="89"/>
      <c r="I1090" s="89"/>
      <c r="J1090" s="89"/>
      <c r="K1090" s="89"/>
      <c r="L1090" s="89"/>
      <c r="M1090" s="226"/>
      <c r="N1090" s="226"/>
      <c r="O1090" s="168"/>
      <c r="P1090" s="168"/>
      <c r="Q1090" s="219"/>
      <c r="R1090" s="219"/>
      <c r="S1090" s="219"/>
      <c r="T1090" s="219"/>
      <c r="U1090" s="219"/>
    </row>
    <row r="1091" spans="1:21" s="89" customFormat="1" ht="24" customHeight="1">
      <c r="A1091" s="576"/>
      <c r="B1091" s="689" t="s">
        <v>1261</v>
      </c>
      <c r="C1091" s="689"/>
      <c r="D1091" s="689"/>
      <c r="E1091" s="689"/>
      <c r="F1091" s="689"/>
      <c r="G1091" s="689"/>
      <c r="H1091" s="689"/>
      <c r="I1091" s="689"/>
      <c r="J1091" s="689"/>
      <c r="K1091" s="689"/>
      <c r="L1091" s="689"/>
      <c r="M1091" s="408">
        <f t="shared" ref="M1091:U1091" si="144">SUM(M1082:M1090)</f>
        <v>288791</v>
      </c>
      <c r="N1091" s="408">
        <f t="shared" si="144"/>
        <v>282057</v>
      </c>
      <c r="O1091" s="409">
        <f t="shared" si="144"/>
        <v>291412</v>
      </c>
      <c r="P1091" s="409">
        <f t="shared" si="144"/>
        <v>285904</v>
      </c>
      <c r="Q1091" s="408">
        <f t="shared" si="144"/>
        <v>87612</v>
      </c>
      <c r="R1091" s="408">
        <f t="shared" si="144"/>
        <v>87345</v>
      </c>
      <c r="S1091" s="408">
        <f t="shared" si="144"/>
        <v>90322</v>
      </c>
      <c r="T1091" s="408">
        <f t="shared" si="144"/>
        <v>93428</v>
      </c>
      <c r="U1091" s="408">
        <f t="shared" si="144"/>
        <v>96670</v>
      </c>
    </row>
    <row r="1092" spans="1:21" s="89" customFormat="1" ht="15" customHeight="1">
      <c r="A1092" s="576"/>
      <c r="M1092" s="439"/>
      <c r="N1092" s="439"/>
      <c r="O1092" s="428"/>
      <c r="P1092" s="428"/>
      <c r="Q1092" s="439"/>
      <c r="R1092" s="439"/>
      <c r="S1092" s="439"/>
      <c r="T1092" s="439"/>
      <c r="U1092" s="439"/>
    </row>
    <row r="1093" spans="1:21" s="89" customFormat="1" ht="24" customHeight="1">
      <c r="A1093" s="576"/>
      <c r="L1093" s="98" t="s">
        <v>425</v>
      </c>
      <c r="M1093" s="241">
        <f t="shared" ref="M1093:U1093" si="145">M1080-M1091</f>
        <v>-213032</v>
      </c>
      <c r="N1093" s="241">
        <f t="shared" si="145"/>
        <v>-211380</v>
      </c>
      <c r="O1093" s="280">
        <f t="shared" si="145"/>
        <v>-221412</v>
      </c>
      <c r="P1093" s="280">
        <f t="shared" si="145"/>
        <v>-189109</v>
      </c>
      <c r="Q1093" s="241">
        <f t="shared" si="145"/>
        <v>8388</v>
      </c>
      <c r="R1093" s="241">
        <f t="shared" si="145"/>
        <v>11055</v>
      </c>
      <c r="S1093" s="241">
        <f t="shared" si="145"/>
        <v>10538</v>
      </c>
      <c r="T1093" s="241">
        <f t="shared" si="145"/>
        <v>9954</v>
      </c>
      <c r="U1093" s="241">
        <f t="shared" si="145"/>
        <v>9297</v>
      </c>
    </row>
    <row r="1094" spans="1:21" s="89" customFormat="1" ht="15" customHeight="1">
      <c r="A1094" s="576"/>
      <c r="M1094" s="408"/>
      <c r="N1094" s="408"/>
      <c r="O1094" s="409"/>
      <c r="P1094" s="409"/>
      <c r="Q1094" s="408"/>
      <c r="R1094" s="408"/>
      <c r="S1094" s="408"/>
      <c r="T1094" s="408"/>
      <c r="U1094" s="408"/>
    </row>
    <row r="1095" spans="1:21" s="89" customFormat="1" ht="24" customHeight="1">
      <c r="A1095" s="576"/>
      <c r="L1095" s="100" t="s">
        <v>427</v>
      </c>
      <c r="M1095" s="408">
        <v>-1237549</v>
      </c>
      <c r="N1095" s="408">
        <v>-1448929</v>
      </c>
      <c r="O1095" s="409">
        <v>-1682954</v>
      </c>
      <c r="P1095" s="409">
        <f>N1095+P1093</f>
        <v>-1638038</v>
      </c>
      <c r="Q1095" s="408">
        <f>P1095+Q1093</f>
        <v>-1629650</v>
      </c>
      <c r="R1095" s="408">
        <f>Q1095+R1093</f>
        <v>-1618595</v>
      </c>
      <c r="S1095" s="408">
        <f>R1095+S1093</f>
        <v>-1608057</v>
      </c>
      <c r="T1095" s="408">
        <f>S1095+T1093</f>
        <v>-1598103</v>
      </c>
      <c r="U1095" s="408">
        <f>T1095+U1093</f>
        <v>-1588806</v>
      </c>
    </row>
    <row r="1096" spans="1:21" ht="15" customHeight="1">
      <c r="B1096" s="89"/>
      <c r="C1096" s="89"/>
      <c r="D1096" s="89"/>
      <c r="E1096" s="89"/>
      <c r="F1096" s="89"/>
      <c r="G1096" s="89"/>
      <c r="H1096" s="89"/>
      <c r="I1096" s="89"/>
      <c r="J1096" s="89"/>
      <c r="K1096" s="89"/>
      <c r="L1096" s="89"/>
      <c r="M1096" s="263"/>
      <c r="N1096" s="263"/>
      <c r="O1096" s="196"/>
      <c r="P1096" s="196"/>
      <c r="Q1096" s="264"/>
      <c r="R1096" s="264"/>
      <c r="S1096" s="264"/>
      <c r="T1096" s="264"/>
      <c r="U1096" s="264"/>
    </row>
    <row r="1097" spans="1:21" s="89" customFormat="1" ht="24" customHeight="1">
      <c r="A1097" s="576"/>
      <c r="B1097" s="102" t="s">
        <v>1302</v>
      </c>
      <c r="M1097" s="263"/>
      <c r="N1097" s="263"/>
      <c r="O1097" s="196"/>
      <c r="P1097" s="196"/>
      <c r="Q1097" s="264"/>
      <c r="R1097" s="264"/>
      <c r="S1097" s="264"/>
      <c r="T1097" s="264"/>
      <c r="U1097" s="264"/>
    </row>
    <row r="1098" spans="1:21" s="89" customFormat="1" ht="24" customHeight="1">
      <c r="A1098" s="576"/>
      <c r="M1098" s="254"/>
      <c r="N1098" s="254"/>
      <c r="O1098" s="185"/>
      <c r="P1098" s="185"/>
      <c r="Q1098" s="255"/>
      <c r="R1098" s="255"/>
      <c r="S1098" s="255"/>
      <c r="T1098" s="255"/>
      <c r="U1098" s="255"/>
    </row>
    <row r="1099" spans="1:21" s="89" customFormat="1" ht="24" customHeight="1">
      <c r="A1099" s="576"/>
      <c r="B1099" s="89" t="s">
        <v>1032</v>
      </c>
      <c r="E1099" s="89" t="s">
        <v>858</v>
      </c>
      <c r="M1099" s="403">
        <v>24171</v>
      </c>
      <c r="N1099" s="404">
        <v>47342</v>
      </c>
      <c r="O1099" s="405">
        <v>48526</v>
      </c>
      <c r="P1099" s="405">
        <v>78764</v>
      </c>
      <c r="Q1099" s="404">
        <v>99353</v>
      </c>
      <c r="R1099" s="404">
        <v>101837</v>
      </c>
      <c r="S1099" s="404">
        <v>104383</v>
      </c>
      <c r="T1099" s="404">
        <v>106993</v>
      </c>
      <c r="U1099" s="404">
        <v>109668</v>
      </c>
    </row>
    <row r="1100" spans="1:21" s="574" customFormat="1" ht="24" customHeight="1">
      <c r="A1100" s="576"/>
      <c r="B1100" s="574" t="s">
        <v>1381</v>
      </c>
      <c r="E1100" s="574" t="s">
        <v>7</v>
      </c>
      <c r="M1100" s="296">
        <v>0</v>
      </c>
      <c r="N1100" s="549">
        <v>761</v>
      </c>
      <c r="O1100" s="550">
        <v>0</v>
      </c>
      <c r="P1100" s="550">
        <v>0</v>
      </c>
      <c r="Q1100" s="549">
        <v>0</v>
      </c>
      <c r="R1100" s="549">
        <v>0</v>
      </c>
      <c r="S1100" s="549">
        <v>0</v>
      </c>
      <c r="T1100" s="549">
        <v>0</v>
      </c>
      <c r="U1100" s="549">
        <v>0</v>
      </c>
    </row>
    <row r="1101" spans="1:21" s="520" customFormat="1" ht="24" customHeight="1">
      <c r="A1101" s="576"/>
      <c r="B1101" s="689" t="s">
        <v>1274</v>
      </c>
      <c r="C1101" s="689"/>
      <c r="D1101" s="689"/>
      <c r="E1101" s="689"/>
      <c r="F1101" s="689"/>
      <c r="G1101" s="689"/>
      <c r="H1101" s="689"/>
      <c r="I1101" s="689"/>
      <c r="J1101" s="689"/>
      <c r="K1101" s="689"/>
      <c r="L1101" s="689"/>
      <c r="M1101" s="410">
        <f t="shared" ref="M1101:U1101" si="146">SUM(M1099:M1100)</f>
        <v>24171</v>
      </c>
      <c r="N1101" s="410">
        <f t="shared" si="146"/>
        <v>48103</v>
      </c>
      <c r="O1101" s="407">
        <f t="shared" si="146"/>
        <v>48526</v>
      </c>
      <c r="P1101" s="407">
        <f t="shared" si="146"/>
        <v>78764</v>
      </c>
      <c r="Q1101" s="410">
        <f t="shared" si="146"/>
        <v>99353</v>
      </c>
      <c r="R1101" s="410">
        <f t="shared" si="146"/>
        <v>101837</v>
      </c>
      <c r="S1101" s="410">
        <f t="shared" si="146"/>
        <v>104383</v>
      </c>
      <c r="T1101" s="410">
        <f t="shared" si="146"/>
        <v>106993</v>
      </c>
      <c r="U1101" s="410">
        <f t="shared" si="146"/>
        <v>109668</v>
      </c>
    </row>
    <row r="1102" spans="1:21" s="520" customFormat="1" ht="6.9" customHeight="1">
      <c r="A1102" s="576"/>
      <c r="M1102" s="403"/>
      <c r="N1102" s="404"/>
      <c r="O1102" s="405"/>
      <c r="P1102" s="405"/>
      <c r="Q1102" s="404"/>
      <c r="R1102" s="404"/>
      <c r="S1102" s="404"/>
      <c r="T1102" s="404"/>
      <c r="U1102" s="404"/>
    </row>
    <row r="1103" spans="1:21" s="382" customFormat="1" ht="24" customHeight="1">
      <c r="A1103" s="576"/>
      <c r="B1103" s="382" t="s">
        <v>1183</v>
      </c>
      <c r="E1103" s="382" t="s">
        <v>846</v>
      </c>
      <c r="M1103" s="261">
        <v>1000</v>
      </c>
      <c r="N1103" s="261">
        <v>0</v>
      </c>
      <c r="O1103" s="167">
        <v>0</v>
      </c>
      <c r="P1103" s="167">
        <v>0</v>
      </c>
      <c r="Q1103" s="261">
        <v>0</v>
      </c>
      <c r="R1103" s="261">
        <v>0</v>
      </c>
      <c r="S1103" s="261">
        <v>0</v>
      </c>
      <c r="T1103" s="261">
        <v>0</v>
      </c>
      <c r="U1103" s="261">
        <v>0</v>
      </c>
    </row>
    <row r="1104" spans="1:21" s="89" customFormat="1" ht="24" customHeight="1">
      <c r="A1104" s="576"/>
      <c r="B1104" s="689" t="s">
        <v>592</v>
      </c>
      <c r="C1104" s="689"/>
      <c r="D1104" s="689"/>
      <c r="E1104" s="689"/>
      <c r="F1104" s="689"/>
      <c r="G1104" s="689"/>
      <c r="H1104" s="689"/>
      <c r="I1104" s="689"/>
      <c r="J1104" s="689"/>
      <c r="K1104" s="689"/>
      <c r="L1104" s="689"/>
      <c r="M1104" s="408">
        <f t="shared" ref="M1104:U1104" si="147">SUM(M1103)</f>
        <v>1000</v>
      </c>
      <c r="N1104" s="408">
        <f t="shared" si="147"/>
        <v>0</v>
      </c>
      <c r="O1104" s="409">
        <f t="shared" si="147"/>
        <v>0</v>
      </c>
      <c r="P1104" s="409">
        <f t="shared" si="147"/>
        <v>0</v>
      </c>
      <c r="Q1104" s="408">
        <f t="shared" si="147"/>
        <v>0</v>
      </c>
      <c r="R1104" s="408">
        <f t="shared" si="147"/>
        <v>0</v>
      </c>
      <c r="S1104" s="408">
        <f t="shared" si="147"/>
        <v>0</v>
      </c>
      <c r="T1104" s="408">
        <f t="shared" si="147"/>
        <v>0</v>
      </c>
      <c r="U1104" s="408">
        <f t="shared" si="147"/>
        <v>0</v>
      </c>
    </row>
    <row r="1105" spans="1:21" s="520" customFormat="1" ht="15" customHeight="1">
      <c r="A1105" s="576"/>
      <c r="M1105" s="226"/>
      <c r="N1105" s="226"/>
      <c r="O1105" s="168"/>
      <c r="P1105" s="168"/>
      <c r="Q1105" s="267"/>
      <c r="R1105" s="267"/>
      <c r="S1105" s="267"/>
      <c r="T1105" s="267"/>
      <c r="U1105" s="267"/>
    </row>
    <row r="1106" spans="1:21" s="89" customFormat="1" ht="24" customHeight="1">
      <c r="A1106" s="576"/>
      <c r="B1106" s="689" t="s">
        <v>1275</v>
      </c>
      <c r="C1106" s="689"/>
      <c r="D1106" s="689"/>
      <c r="E1106" s="689"/>
      <c r="F1106" s="689"/>
      <c r="G1106" s="689"/>
      <c r="H1106" s="689"/>
      <c r="I1106" s="689"/>
      <c r="J1106" s="689"/>
      <c r="K1106" s="689"/>
      <c r="L1106" s="689"/>
      <c r="M1106" s="408">
        <f t="shared" ref="M1106:U1106" si="148">M1101+M1104</f>
        <v>25171</v>
      </c>
      <c r="N1106" s="408">
        <f t="shared" si="148"/>
        <v>48103</v>
      </c>
      <c r="O1106" s="409">
        <f t="shared" si="148"/>
        <v>48526</v>
      </c>
      <c r="P1106" s="409">
        <f t="shared" si="148"/>
        <v>78764</v>
      </c>
      <c r="Q1106" s="408">
        <f t="shared" si="148"/>
        <v>99353</v>
      </c>
      <c r="R1106" s="408">
        <f t="shared" si="148"/>
        <v>101837</v>
      </c>
      <c r="S1106" s="408">
        <f t="shared" si="148"/>
        <v>104383</v>
      </c>
      <c r="T1106" s="408">
        <f t="shared" si="148"/>
        <v>106993</v>
      </c>
      <c r="U1106" s="408">
        <f t="shared" si="148"/>
        <v>109668</v>
      </c>
    </row>
    <row r="1107" spans="1:21" s="89" customFormat="1" ht="15" customHeight="1">
      <c r="A1107" s="576"/>
      <c r="M1107" s="439"/>
      <c r="N1107" s="439"/>
      <c r="O1107" s="168"/>
      <c r="P1107" s="168"/>
      <c r="Q1107" s="267"/>
      <c r="R1107" s="267"/>
      <c r="S1107" s="267"/>
      <c r="T1107" s="267"/>
      <c r="U1107" s="267"/>
    </row>
    <row r="1108" spans="1:21" s="319" customFormat="1" ht="24" customHeight="1">
      <c r="A1108" s="576"/>
      <c r="B1108" s="318" t="s">
        <v>1133</v>
      </c>
      <c r="C1108" s="317"/>
      <c r="D1108" s="317"/>
      <c r="E1108" s="319" t="s">
        <v>801</v>
      </c>
      <c r="F1108" s="317"/>
      <c r="G1108" s="317"/>
      <c r="H1108" s="317"/>
      <c r="I1108" s="317"/>
      <c r="J1108" s="317"/>
      <c r="K1108" s="317"/>
      <c r="M1108" s="404">
        <v>80000</v>
      </c>
      <c r="N1108" s="404">
        <v>20979</v>
      </c>
      <c r="O1108" s="405">
        <v>25500</v>
      </c>
      <c r="P1108" s="405">
        <v>36805</v>
      </c>
      <c r="Q1108" s="404">
        <v>25500</v>
      </c>
      <c r="R1108" s="404">
        <v>8000</v>
      </c>
      <c r="S1108" s="404">
        <v>14000</v>
      </c>
      <c r="T1108" s="404">
        <v>13104</v>
      </c>
      <c r="U1108" s="404">
        <v>13628</v>
      </c>
    </row>
    <row r="1109" spans="1:21" s="89" customFormat="1" ht="24" customHeight="1">
      <c r="A1109" s="576"/>
      <c r="B1109" s="1" t="s">
        <v>1134</v>
      </c>
      <c r="C1109" s="95"/>
      <c r="D1109" s="95"/>
      <c r="E1109" s="318" t="s">
        <v>10</v>
      </c>
      <c r="F1109" s="95"/>
      <c r="G1109" s="95"/>
      <c r="H1109" s="95"/>
      <c r="I1109" s="95"/>
      <c r="J1109" s="95"/>
      <c r="K1109" s="95"/>
      <c r="L1109" s="95"/>
      <c r="M1109" s="261">
        <v>16235</v>
      </c>
      <c r="N1109" s="261">
        <v>1194</v>
      </c>
      <c r="O1109" s="167">
        <v>5000</v>
      </c>
      <c r="P1109" s="167">
        <v>1000</v>
      </c>
      <c r="Q1109" s="225">
        <v>5000</v>
      </c>
      <c r="R1109" s="225">
        <v>5000</v>
      </c>
      <c r="S1109" s="225">
        <v>5000</v>
      </c>
      <c r="T1109" s="225">
        <v>5000</v>
      </c>
      <c r="U1109" s="225">
        <v>5000</v>
      </c>
    </row>
    <row r="1110" spans="1:21" s="89" customFormat="1" ht="15" customHeight="1">
      <c r="A1110" s="576"/>
      <c r="M1110" s="226"/>
      <c r="N1110" s="226"/>
      <c r="O1110" s="168"/>
      <c r="P1110" s="168"/>
      <c r="Q1110" s="219"/>
      <c r="R1110" s="219"/>
      <c r="S1110" s="219"/>
      <c r="T1110" s="219"/>
      <c r="U1110" s="219"/>
    </row>
    <row r="1111" spans="1:21" s="89" customFormat="1" ht="24" customHeight="1">
      <c r="A1111" s="576"/>
      <c r="B1111" s="689" t="s">
        <v>1262</v>
      </c>
      <c r="C1111" s="689"/>
      <c r="D1111" s="689"/>
      <c r="E1111" s="689"/>
      <c r="F1111" s="689"/>
      <c r="G1111" s="689"/>
      <c r="H1111" s="689"/>
      <c r="I1111" s="689"/>
      <c r="J1111" s="689"/>
      <c r="K1111" s="689"/>
      <c r="L1111" s="689"/>
      <c r="M1111" s="408">
        <f t="shared" ref="M1111:U1111" si="149">SUM(M1108:M1110)</f>
        <v>96235</v>
      </c>
      <c r="N1111" s="408">
        <f t="shared" si="149"/>
        <v>22173</v>
      </c>
      <c r="O1111" s="409">
        <f t="shared" si="149"/>
        <v>30500</v>
      </c>
      <c r="P1111" s="409">
        <f t="shared" si="149"/>
        <v>37805</v>
      </c>
      <c r="Q1111" s="408">
        <f t="shared" si="149"/>
        <v>30500</v>
      </c>
      <c r="R1111" s="408">
        <f t="shared" si="149"/>
        <v>13000</v>
      </c>
      <c r="S1111" s="408">
        <f t="shared" si="149"/>
        <v>19000</v>
      </c>
      <c r="T1111" s="408">
        <f t="shared" si="149"/>
        <v>18104</v>
      </c>
      <c r="U1111" s="408">
        <f t="shared" si="149"/>
        <v>18628</v>
      </c>
    </row>
    <row r="1112" spans="1:21" s="89" customFormat="1" ht="15" customHeight="1">
      <c r="A1112" s="576"/>
      <c r="M1112" s="439"/>
      <c r="N1112" s="439"/>
      <c r="O1112" s="428"/>
      <c r="P1112" s="428"/>
      <c r="Q1112" s="439"/>
      <c r="R1112" s="439"/>
      <c r="S1112" s="439"/>
      <c r="T1112" s="439"/>
      <c r="U1112" s="439"/>
    </row>
    <row r="1113" spans="1:21" s="89" customFormat="1" ht="24" customHeight="1">
      <c r="A1113" s="576"/>
      <c r="L1113" s="98" t="s">
        <v>425</v>
      </c>
      <c r="M1113" s="241">
        <f t="shared" ref="M1113:U1113" si="150">M1106-M1111</f>
        <v>-71064</v>
      </c>
      <c r="N1113" s="241">
        <f t="shared" si="150"/>
        <v>25930</v>
      </c>
      <c r="O1113" s="280">
        <f t="shared" si="150"/>
        <v>18026</v>
      </c>
      <c r="P1113" s="280">
        <f t="shared" si="150"/>
        <v>40959</v>
      </c>
      <c r="Q1113" s="241">
        <f t="shared" si="150"/>
        <v>68853</v>
      </c>
      <c r="R1113" s="241">
        <f t="shared" si="150"/>
        <v>88837</v>
      </c>
      <c r="S1113" s="241">
        <f t="shared" si="150"/>
        <v>85383</v>
      </c>
      <c r="T1113" s="241">
        <f t="shared" si="150"/>
        <v>88889</v>
      </c>
      <c r="U1113" s="241">
        <f t="shared" si="150"/>
        <v>91040</v>
      </c>
    </row>
    <row r="1114" spans="1:21" s="89" customFormat="1" ht="15" customHeight="1">
      <c r="A1114" s="576"/>
      <c r="M1114" s="408"/>
      <c r="N1114" s="408"/>
      <c r="O1114" s="409"/>
      <c r="P1114" s="409"/>
      <c r="Q1114" s="408"/>
      <c r="R1114" s="408"/>
      <c r="S1114" s="408"/>
      <c r="T1114" s="408"/>
      <c r="U1114" s="408"/>
    </row>
    <row r="1115" spans="1:21" s="89" customFormat="1" ht="24" customHeight="1">
      <c r="A1115" s="576"/>
      <c r="L1115" s="100" t="s">
        <v>427</v>
      </c>
      <c r="M1115" s="408">
        <v>-73799</v>
      </c>
      <c r="N1115" s="408">
        <v>-47869</v>
      </c>
      <c r="O1115" s="409">
        <v>-31910</v>
      </c>
      <c r="P1115" s="409">
        <f>N1115+P1113</f>
        <v>-6910</v>
      </c>
      <c r="Q1115" s="408">
        <f>P1115+Q1113</f>
        <v>61943</v>
      </c>
      <c r="R1115" s="408">
        <f>Q1115+R1113</f>
        <v>150780</v>
      </c>
      <c r="S1115" s="408">
        <f>R1115+S1113</f>
        <v>236163</v>
      </c>
      <c r="T1115" s="408">
        <f>S1115+T1113</f>
        <v>325052</v>
      </c>
      <c r="U1115" s="408">
        <f>T1115+U1113</f>
        <v>416092</v>
      </c>
    </row>
    <row r="1116" spans="1:21" ht="15" customHeight="1">
      <c r="B1116" s="89"/>
      <c r="C1116" s="89"/>
      <c r="D1116" s="89"/>
      <c r="E1116" s="89"/>
      <c r="F1116" s="89"/>
      <c r="G1116" s="89"/>
      <c r="H1116" s="89"/>
      <c r="I1116" s="89"/>
      <c r="J1116" s="89"/>
      <c r="K1116" s="89"/>
      <c r="L1116" s="89"/>
      <c r="M1116" s="226"/>
      <c r="N1116" s="226"/>
      <c r="O1116" s="186"/>
      <c r="P1116" s="186"/>
      <c r="Q1116" s="219"/>
      <c r="R1116" s="219"/>
      <c r="S1116" s="219"/>
      <c r="T1116" s="219"/>
      <c r="U1116" s="219"/>
    </row>
    <row r="1117" spans="1:21" s="116" customFormat="1" ht="20.100000000000001" customHeight="1">
      <c r="A1117" s="577"/>
      <c r="B1117" s="703" t="s">
        <v>529</v>
      </c>
      <c r="C1117" s="703"/>
      <c r="D1117" s="703"/>
      <c r="E1117" s="703"/>
      <c r="F1117" s="703"/>
      <c r="G1117" s="703"/>
      <c r="H1117" s="703"/>
      <c r="I1117" s="703"/>
      <c r="J1117" s="703"/>
      <c r="K1117" s="703"/>
      <c r="M1117" s="202"/>
      <c r="N1117" s="202"/>
      <c r="O1117" s="202"/>
      <c r="P1117" s="202"/>
      <c r="Q1117" s="202"/>
      <c r="R1117" s="202"/>
      <c r="S1117" s="202"/>
      <c r="T1117" s="202"/>
      <c r="U1117" s="202"/>
    </row>
    <row r="1118" spans="1:21" s="123" customFormat="1" ht="24" customHeight="1">
      <c r="A1118" s="590"/>
      <c r="L1118" s="124" t="s">
        <v>477</v>
      </c>
      <c r="M1118" s="270"/>
      <c r="N1118" s="270"/>
      <c r="O1118" s="203"/>
      <c r="P1118" s="203"/>
      <c r="Q1118" s="270"/>
      <c r="R1118" s="270"/>
      <c r="S1118" s="270"/>
      <c r="T1118" s="270"/>
      <c r="U1118" s="270"/>
    </row>
    <row r="1119" spans="1:21" s="89" customFormat="1" ht="24" customHeight="1">
      <c r="A1119" s="576"/>
      <c r="K1119" s="711" t="s">
        <v>792</v>
      </c>
      <c r="L1119" s="89" t="s">
        <v>478</v>
      </c>
      <c r="M1119" s="439">
        <f t="shared" ref="M1119:U1119" si="151">M269</f>
        <v>632238</v>
      </c>
      <c r="N1119" s="439">
        <f t="shared" si="151"/>
        <v>1660294</v>
      </c>
      <c r="O1119" s="428">
        <f t="shared" si="151"/>
        <v>0</v>
      </c>
      <c r="P1119" s="428">
        <f t="shared" si="151"/>
        <v>226112.26999999955</v>
      </c>
      <c r="Q1119" s="226">
        <f t="shared" si="151"/>
        <v>0</v>
      </c>
      <c r="R1119" s="439">
        <f t="shared" si="151"/>
        <v>-1093921</v>
      </c>
      <c r="S1119" s="439">
        <f t="shared" si="151"/>
        <v>-623671</v>
      </c>
      <c r="T1119" s="439">
        <f t="shared" si="151"/>
        <v>-901588</v>
      </c>
      <c r="U1119" s="439">
        <f t="shared" si="151"/>
        <v>-634101</v>
      </c>
    </row>
    <row r="1120" spans="1:21" s="89" customFormat="1" ht="24" customHeight="1">
      <c r="A1120" s="576"/>
      <c r="K1120" s="711"/>
      <c r="L1120" s="89" t="s">
        <v>479</v>
      </c>
      <c r="M1120" s="236">
        <f t="shared" ref="M1120:U1120" si="152">M286</f>
        <v>3008</v>
      </c>
      <c r="N1120" s="236">
        <f t="shared" si="152"/>
        <v>-3261</v>
      </c>
      <c r="O1120" s="186">
        <f t="shared" si="152"/>
        <v>-40200</v>
      </c>
      <c r="P1120" s="186">
        <f t="shared" si="152"/>
        <v>4834</v>
      </c>
      <c r="Q1120" s="226">
        <f t="shared" si="152"/>
        <v>-37700</v>
      </c>
      <c r="R1120" s="226">
        <f t="shared" si="152"/>
        <v>10360</v>
      </c>
      <c r="S1120" s="226">
        <f t="shared" si="152"/>
        <v>12860</v>
      </c>
      <c r="T1120" s="226">
        <f t="shared" si="152"/>
        <v>12860</v>
      </c>
      <c r="U1120" s="226">
        <f t="shared" si="152"/>
        <v>11132</v>
      </c>
    </row>
    <row r="1121" spans="1:21" s="89" customFormat="1" ht="24" customHeight="1">
      <c r="A1121" s="576"/>
      <c r="K1121" s="711"/>
      <c r="L1121" s="89" t="s">
        <v>480</v>
      </c>
      <c r="M1121" s="236">
        <f t="shared" ref="M1121:U1121" si="153">M304</f>
        <v>6427</v>
      </c>
      <c r="N1121" s="236">
        <f t="shared" si="153"/>
        <v>7791</v>
      </c>
      <c r="O1121" s="186">
        <f t="shared" si="153"/>
        <v>3800</v>
      </c>
      <c r="P1121" s="186">
        <f t="shared" si="153"/>
        <v>5363</v>
      </c>
      <c r="Q1121" s="226">
        <f t="shared" si="153"/>
        <v>3800</v>
      </c>
      <c r="R1121" s="226">
        <f t="shared" si="153"/>
        <v>3360</v>
      </c>
      <c r="S1121" s="226">
        <f t="shared" si="153"/>
        <v>3360</v>
      </c>
      <c r="T1121" s="226">
        <f t="shared" si="153"/>
        <v>3360</v>
      </c>
      <c r="U1121" s="226">
        <f t="shared" si="153"/>
        <v>1632</v>
      </c>
    </row>
    <row r="1122" spans="1:21" s="89" customFormat="1" ht="24" customHeight="1">
      <c r="A1122" s="576"/>
      <c r="K1122" s="711"/>
      <c r="L1122" s="89" t="s">
        <v>570</v>
      </c>
      <c r="M1122" s="236">
        <f t="shared" ref="M1122:U1122" si="154">M328</f>
        <v>60325</v>
      </c>
      <c r="N1122" s="236">
        <f t="shared" si="154"/>
        <v>548114</v>
      </c>
      <c r="O1122" s="186">
        <f t="shared" si="154"/>
        <v>-1175394</v>
      </c>
      <c r="P1122" s="186">
        <f t="shared" si="154"/>
        <v>-973498</v>
      </c>
      <c r="Q1122" s="226">
        <f t="shared" si="154"/>
        <v>-100485</v>
      </c>
      <c r="R1122" s="226">
        <f t="shared" si="154"/>
        <v>-103633</v>
      </c>
      <c r="S1122" s="226">
        <f t="shared" si="154"/>
        <v>-34535</v>
      </c>
      <c r="T1122" s="226">
        <f t="shared" si="154"/>
        <v>-14075</v>
      </c>
      <c r="U1122" s="226">
        <f t="shared" si="154"/>
        <v>7254</v>
      </c>
    </row>
    <row r="1123" spans="1:21" s="89" customFormat="1" ht="24" customHeight="1">
      <c r="A1123" s="576"/>
      <c r="K1123" s="711"/>
      <c r="L1123" s="89" t="s">
        <v>572</v>
      </c>
      <c r="M1123" s="236">
        <f t="shared" ref="M1123:U1123" si="155">M426</f>
        <v>-41273</v>
      </c>
      <c r="N1123" s="236">
        <f t="shared" si="155"/>
        <v>-468589</v>
      </c>
      <c r="O1123" s="186">
        <f t="shared" si="155"/>
        <v>262787</v>
      </c>
      <c r="P1123" s="186">
        <f t="shared" si="155"/>
        <v>1731500</v>
      </c>
      <c r="Q1123" s="226">
        <f t="shared" si="155"/>
        <v>-1596851</v>
      </c>
      <c r="R1123" s="226">
        <f t="shared" si="155"/>
        <v>-221638</v>
      </c>
      <c r="S1123" s="226">
        <f t="shared" si="155"/>
        <v>0</v>
      </c>
      <c r="T1123" s="226">
        <f t="shared" si="155"/>
        <v>0</v>
      </c>
      <c r="U1123" s="226">
        <f t="shared" si="155"/>
        <v>0</v>
      </c>
    </row>
    <row r="1124" spans="1:21" s="526" customFormat="1" ht="24" customHeight="1">
      <c r="A1124" s="576"/>
      <c r="K1124" s="711"/>
      <c r="L1124" s="526" t="s">
        <v>1328</v>
      </c>
      <c r="M1124" s="236">
        <f t="shared" ref="M1124:U1124" si="156">M491</f>
        <v>0</v>
      </c>
      <c r="N1124" s="236">
        <f t="shared" si="156"/>
        <v>0</v>
      </c>
      <c r="O1124" s="192">
        <f t="shared" si="156"/>
        <v>0</v>
      </c>
      <c r="P1124" s="192">
        <f t="shared" si="156"/>
        <v>10641399</v>
      </c>
      <c r="Q1124" s="533">
        <f t="shared" si="156"/>
        <v>-9864331</v>
      </c>
      <c r="R1124" s="533">
        <f t="shared" si="156"/>
        <v>11264548</v>
      </c>
      <c r="S1124" s="533">
        <f t="shared" si="156"/>
        <v>-11438945</v>
      </c>
      <c r="T1124" s="533">
        <f t="shared" si="156"/>
        <v>-602671</v>
      </c>
      <c r="U1124" s="533">
        <f t="shared" si="156"/>
        <v>0</v>
      </c>
    </row>
    <row r="1125" spans="1:21" s="89" customFormat="1" ht="24" customHeight="1">
      <c r="A1125" s="576"/>
      <c r="K1125" s="711"/>
      <c r="L1125" s="89" t="s">
        <v>745</v>
      </c>
      <c r="M1125" s="236">
        <f t="shared" ref="M1125:U1125" si="157">M580</f>
        <v>15654</v>
      </c>
      <c r="N1125" s="236">
        <f t="shared" si="157"/>
        <v>974099</v>
      </c>
      <c r="O1125" s="192">
        <f t="shared" si="157"/>
        <v>-1330772</v>
      </c>
      <c r="P1125" s="192">
        <f t="shared" si="157"/>
        <v>3205</v>
      </c>
      <c r="Q1125" s="236">
        <f t="shared" si="157"/>
        <v>-1129353</v>
      </c>
      <c r="R1125" s="236">
        <f t="shared" si="157"/>
        <v>-39643</v>
      </c>
      <c r="S1125" s="236">
        <f t="shared" si="157"/>
        <v>0</v>
      </c>
      <c r="T1125" s="236">
        <f t="shared" si="157"/>
        <v>0</v>
      </c>
      <c r="U1125" s="236">
        <f t="shared" si="157"/>
        <v>0</v>
      </c>
    </row>
    <row r="1126" spans="1:21" s="89" customFormat="1" ht="24" customHeight="1">
      <c r="A1126" s="576"/>
      <c r="K1126" s="711"/>
      <c r="L1126" s="89" t="s">
        <v>543</v>
      </c>
      <c r="M1126" s="226">
        <f t="shared" ref="M1126:U1126" si="158">M610</f>
        <v>0</v>
      </c>
      <c r="N1126" s="226">
        <f t="shared" si="158"/>
        <v>0</v>
      </c>
      <c r="O1126" s="186">
        <f t="shared" si="158"/>
        <v>0</v>
      </c>
      <c r="P1126" s="186">
        <f t="shared" si="158"/>
        <v>0</v>
      </c>
      <c r="Q1126" s="226">
        <f t="shared" si="158"/>
        <v>0</v>
      </c>
      <c r="R1126" s="226">
        <f t="shared" si="158"/>
        <v>0</v>
      </c>
      <c r="S1126" s="226">
        <f t="shared" si="158"/>
        <v>0</v>
      </c>
      <c r="T1126" s="226">
        <f t="shared" si="158"/>
        <v>0</v>
      </c>
      <c r="U1126" s="226">
        <f t="shared" si="158"/>
        <v>0</v>
      </c>
    </row>
    <row r="1127" spans="1:21" s="89" customFormat="1" ht="24" customHeight="1">
      <c r="A1127" s="576"/>
      <c r="K1127" s="711"/>
      <c r="L1127" s="89" t="s">
        <v>481</v>
      </c>
      <c r="M1127" s="236">
        <f t="shared" ref="M1127:U1127" si="159">M719</f>
        <v>-264783</v>
      </c>
      <c r="N1127" s="236">
        <f t="shared" si="159"/>
        <v>633113</v>
      </c>
      <c r="O1127" s="186">
        <f t="shared" si="159"/>
        <v>-1020462</v>
      </c>
      <c r="P1127" s="186">
        <f t="shared" si="159"/>
        <v>-106389</v>
      </c>
      <c r="Q1127" s="226">
        <f t="shared" si="159"/>
        <v>-1914100</v>
      </c>
      <c r="R1127" s="226">
        <f t="shared" si="159"/>
        <v>-976894</v>
      </c>
      <c r="S1127" s="226">
        <f t="shared" si="159"/>
        <v>-1251431</v>
      </c>
      <c r="T1127" s="226">
        <f t="shared" si="159"/>
        <v>1074822</v>
      </c>
      <c r="U1127" s="226">
        <f t="shared" si="159"/>
        <v>2059733</v>
      </c>
    </row>
    <row r="1128" spans="1:21" s="89" customFormat="1" ht="24" customHeight="1">
      <c r="A1128" s="576"/>
      <c r="K1128" s="711"/>
      <c r="L1128" s="89" t="s">
        <v>482</v>
      </c>
      <c r="M1128" s="236">
        <f t="shared" ref="M1128:U1128" si="160">M823</f>
        <v>112137</v>
      </c>
      <c r="N1128" s="236">
        <f t="shared" si="160"/>
        <v>-357700</v>
      </c>
      <c r="O1128" s="186">
        <f t="shared" si="160"/>
        <v>-152977</v>
      </c>
      <c r="P1128" s="186">
        <f t="shared" si="160"/>
        <v>88819</v>
      </c>
      <c r="Q1128" s="226">
        <f t="shared" si="160"/>
        <v>609175</v>
      </c>
      <c r="R1128" s="226">
        <f t="shared" si="160"/>
        <v>-57965</v>
      </c>
      <c r="S1128" s="226">
        <f t="shared" si="160"/>
        <v>-713197</v>
      </c>
      <c r="T1128" s="226">
        <f t="shared" si="160"/>
        <v>-217330</v>
      </c>
      <c r="U1128" s="226">
        <f t="shared" si="160"/>
        <v>357747</v>
      </c>
    </row>
    <row r="1129" spans="1:21" s="89" customFormat="1" ht="24" customHeight="1">
      <c r="A1129" s="576"/>
      <c r="K1129" s="711"/>
      <c r="L1129" s="89" t="s">
        <v>483</v>
      </c>
      <c r="M1129" s="236">
        <f t="shared" ref="M1129:U1129" si="161">M859</f>
        <v>36009</v>
      </c>
      <c r="N1129" s="236">
        <f t="shared" si="161"/>
        <v>-216710</v>
      </c>
      <c r="O1129" s="186">
        <f t="shared" si="161"/>
        <v>20760</v>
      </c>
      <c r="P1129" s="186">
        <f t="shared" si="161"/>
        <v>-31131</v>
      </c>
      <c r="Q1129" s="226">
        <f t="shared" si="161"/>
        <v>0</v>
      </c>
      <c r="R1129" s="226">
        <f t="shared" si="161"/>
        <v>0</v>
      </c>
      <c r="S1129" s="226">
        <f t="shared" si="161"/>
        <v>0</v>
      </c>
      <c r="T1129" s="226">
        <f t="shared" si="161"/>
        <v>0</v>
      </c>
      <c r="U1129" s="226">
        <f t="shared" si="161"/>
        <v>0</v>
      </c>
    </row>
    <row r="1130" spans="1:21" s="376" customFormat="1" ht="24" customHeight="1">
      <c r="A1130" s="576"/>
      <c r="K1130" s="375"/>
      <c r="L1130" s="161" t="s">
        <v>530</v>
      </c>
      <c r="M1130" s="236">
        <f t="shared" ref="M1130:U1130" si="162">M951</f>
        <v>-41431</v>
      </c>
      <c r="N1130" s="236">
        <f t="shared" si="162"/>
        <v>-338483</v>
      </c>
      <c r="O1130" s="186">
        <f t="shared" si="162"/>
        <v>-158000</v>
      </c>
      <c r="P1130" s="186">
        <f t="shared" si="162"/>
        <v>-73000</v>
      </c>
      <c r="Q1130" s="226">
        <f t="shared" si="162"/>
        <v>0</v>
      </c>
      <c r="R1130" s="226">
        <f t="shared" si="162"/>
        <v>0</v>
      </c>
      <c r="S1130" s="226">
        <f t="shared" si="162"/>
        <v>0</v>
      </c>
      <c r="T1130" s="226">
        <f t="shared" si="162"/>
        <v>0</v>
      </c>
      <c r="U1130" s="226">
        <f t="shared" si="162"/>
        <v>0</v>
      </c>
    </row>
    <row r="1131" spans="1:21" s="89" customFormat="1" ht="24" customHeight="1">
      <c r="A1131" s="576"/>
      <c r="K1131" s="110"/>
      <c r="L1131" s="89" t="s">
        <v>418</v>
      </c>
      <c r="M1131" s="236">
        <f t="shared" ref="M1131:U1131" si="163">M1072</f>
        <v>-719325</v>
      </c>
      <c r="N1131" s="236">
        <f t="shared" si="163"/>
        <v>-69439</v>
      </c>
      <c r="O1131" s="186">
        <f t="shared" si="163"/>
        <v>37330</v>
      </c>
      <c r="P1131" s="186">
        <f t="shared" si="163"/>
        <v>28508</v>
      </c>
      <c r="Q1131" s="226">
        <f t="shared" si="163"/>
        <v>4842</v>
      </c>
      <c r="R1131" s="226">
        <f t="shared" si="163"/>
        <v>9536</v>
      </c>
      <c r="S1131" s="226">
        <f t="shared" si="163"/>
        <v>15896</v>
      </c>
      <c r="T1131" s="226">
        <f t="shared" si="163"/>
        <v>-134687</v>
      </c>
      <c r="U1131" s="226">
        <f t="shared" si="163"/>
        <v>-123802</v>
      </c>
    </row>
    <row r="1132" spans="1:21" s="89" customFormat="1" ht="24" customHeight="1">
      <c r="A1132" s="576"/>
      <c r="K1132" s="110"/>
      <c r="L1132" s="89" t="s">
        <v>420</v>
      </c>
      <c r="M1132" s="236">
        <f t="shared" ref="M1132:U1132" si="164">M1093</f>
        <v>-213032</v>
      </c>
      <c r="N1132" s="236">
        <f t="shared" si="164"/>
        <v>-211380</v>
      </c>
      <c r="O1132" s="186">
        <f t="shared" si="164"/>
        <v>-221412</v>
      </c>
      <c r="P1132" s="186">
        <f t="shared" si="164"/>
        <v>-189109</v>
      </c>
      <c r="Q1132" s="226">
        <f t="shared" si="164"/>
        <v>8388</v>
      </c>
      <c r="R1132" s="226">
        <f t="shared" si="164"/>
        <v>11055</v>
      </c>
      <c r="S1132" s="226">
        <f t="shared" si="164"/>
        <v>10538</v>
      </c>
      <c r="T1132" s="226">
        <f t="shared" si="164"/>
        <v>9954</v>
      </c>
      <c r="U1132" s="226">
        <f t="shared" si="164"/>
        <v>9297</v>
      </c>
    </row>
    <row r="1133" spans="1:21" s="89" customFormat="1" ht="24" customHeight="1">
      <c r="A1133" s="576"/>
      <c r="K1133" s="110"/>
      <c r="L1133" s="89" t="s">
        <v>1031</v>
      </c>
      <c r="M1133" s="268">
        <f t="shared" ref="M1133:U1133" si="165">M1113</f>
        <v>-71064</v>
      </c>
      <c r="N1133" s="268">
        <f t="shared" si="165"/>
        <v>25930</v>
      </c>
      <c r="O1133" s="204">
        <f t="shared" si="165"/>
        <v>18026</v>
      </c>
      <c r="P1133" s="204">
        <f t="shared" si="165"/>
        <v>40959</v>
      </c>
      <c r="Q1133" s="268">
        <f t="shared" si="165"/>
        <v>68853</v>
      </c>
      <c r="R1133" s="268">
        <f t="shared" si="165"/>
        <v>88837</v>
      </c>
      <c r="S1133" s="268">
        <f t="shared" si="165"/>
        <v>85383</v>
      </c>
      <c r="T1133" s="268">
        <f t="shared" si="165"/>
        <v>88889</v>
      </c>
      <c r="U1133" s="268">
        <f t="shared" si="165"/>
        <v>91040</v>
      </c>
    </row>
    <row r="1134" spans="1:21" s="89" customFormat="1" ht="24" customHeight="1">
      <c r="A1134" s="576"/>
      <c r="M1134" s="236"/>
      <c r="N1134" s="236"/>
      <c r="O1134" s="186"/>
      <c r="P1134" s="186"/>
      <c r="Q1134" s="226"/>
      <c r="R1134" s="226"/>
      <c r="S1134" s="226"/>
      <c r="T1134" s="226"/>
      <c r="U1134" s="226"/>
    </row>
    <row r="1135" spans="1:21" s="98" customFormat="1" ht="24" customHeight="1">
      <c r="A1135" s="576"/>
      <c r="M1135" s="408">
        <f t="shared" ref="M1135:U1135" si="166">SUM(M1119:M1134)</f>
        <v>-485110</v>
      </c>
      <c r="N1135" s="408">
        <f t="shared" si="166"/>
        <v>2183779</v>
      </c>
      <c r="O1135" s="409">
        <f t="shared" si="166"/>
        <v>-3756514</v>
      </c>
      <c r="P1135" s="409">
        <f t="shared" si="166"/>
        <v>11397572.27</v>
      </c>
      <c r="Q1135" s="408">
        <f t="shared" si="166"/>
        <v>-13947762</v>
      </c>
      <c r="R1135" s="408">
        <f t="shared" si="166"/>
        <v>8894002</v>
      </c>
      <c r="S1135" s="408">
        <f t="shared" si="166"/>
        <v>-13933742</v>
      </c>
      <c r="T1135" s="408">
        <f t="shared" si="166"/>
        <v>-680466</v>
      </c>
      <c r="U1135" s="408">
        <f t="shared" si="166"/>
        <v>1779932</v>
      </c>
    </row>
    <row r="1136" spans="1:21" s="89" customFormat="1" ht="24" customHeight="1">
      <c r="A1136" s="576"/>
      <c r="M1136" s="226"/>
      <c r="N1136" s="226"/>
      <c r="O1136" s="186"/>
      <c r="P1136" s="186"/>
      <c r="Q1136" s="226"/>
      <c r="R1136" s="226"/>
      <c r="S1136" s="226"/>
      <c r="T1136" s="226"/>
      <c r="U1136" s="226"/>
    </row>
    <row r="1137" spans="1:21" s="125" customFormat="1" ht="24" customHeight="1">
      <c r="A1137" s="591"/>
      <c r="L1137" s="126" t="s">
        <v>694</v>
      </c>
      <c r="M1137" s="271"/>
      <c r="N1137" s="271"/>
      <c r="O1137" s="206"/>
      <c r="P1137" s="206"/>
      <c r="Q1137" s="271"/>
      <c r="R1137" s="271"/>
      <c r="S1137" s="271"/>
      <c r="T1137" s="271"/>
      <c r="U1137" s="271"/>
    </row>
    <row r="1138" spans="1:21" s="89" customFormat="1" ht="24" customHeight="1">
      <c r="A1138" s="576"/>
      <c r="K1138" s="711" t="s">
        <v>792</v>
      </c>
      <c r="L1138" s="89" t="s">
        <v>478</v>
      </c>
      <c r="M1138" s="439">
        <f t="shared" ref="M1138:U1138" si="167">M271</f>
        <v>7512060</v>
      </c>
      <c r="N1138" s="439">
        <f t="shared" si="167"/>
        <v>9172354</v>
      </c>
      <c r="O1138" s="428">
        <f t="shared" si="167"/>
        <v>7512060</v>
      </c>
      <c r="P1138" s="428">
        <f t="shared" si="167"/>
        <v>9398466.2699999996</v>
      </c>
      <c r="Q1138" s="439">
        <f t="shared" si="167"/>
        <v>9398466.2699999996</v>
      </c>
      <c r="R1138" s="439">
        <f t="shared" si="167"/>
        <v>8304545.2699999996</v>
      </c>
      <c r="S1138" s="439">
        <f t="shared" si="167"/>
        <v>7680874.2699999996</v>
      </c>
      <c r="T1138" s="439">
        <f t="shared" si="167"/>
        <v>6779286.2699999996</v>
      </c>
      <c r="U1138" s="439">
        <f t="shared" si="167"/>
        <v>6145185.2699999996</v>
      </c>
    </row>
    <row r="1139" spans="1:21" s="89" customFormat="1" ht="24" customHeight="1">
      <c r="A1139" s="576"/>
      <c r="K1139" s="711"/>
      <c r="L1139" s="89" t="s">
        <v>479</v>
      </c>
      <c r="M1139" s="236">
        <f t="shared" ref="M1139:U1139" si="168">M288</f>
        <v>13492</v>
      </c>
      <c r="N1139" s="236">
        <f t="shared" si="168"/>
        <v>10231</v>
      </c>
      <c r="O1139" s="186">
        <f t="shared" si="168"/>
        <v>-32199</v>
      </c>
      <c r="P1139" s="186">
        <f t="shared" si="168"/>
        <v>15065</v>
      </c>
      <c r="Q1139" s="226">
        <f t="shared" si="168"/>
        <v>-22635</v>
      </c>
      <c r="R1139" s="226">
        <f t="shared" si="168"/>
        <v>-12275</v>
      </c>
      <c r="S1139" s="226">
        <f t="shared" si="168"/>
        <v>585</v>
      </c>
      <c r="T1139" s="226">
        <f t="shared" si="168"/>
        <v>13445</v>
      </c>
      <c r="U1139" s="226">
        <f t="shared" si="168"/>
        <v>24577</v>
      </c>
    </row>
    <row r="1140" spans="1:21" s="89" customFormat="1" ht="24" customHeight="1">
      <c r="A1140" s="576"/>
      <c r="K1140" s="711"/>
      <c r="L1140" s="89" t="s">
        <v>480</v>
      </c>
      <c r="M1140" s="236">
        <f t="shared" ref="M1140:U1140" si="169">M306</f>
        <v>-16200</v>
      </c>
      <c r="N1140" s="236">
        <f t="shared" si="169"/>
        <v>-8409</v>
      </c>
      <c r="O1140" s="186">
        <f t="shared" si="169"/>
        <v>-9237</v>
      </c>
      <c r="P1140" s="186">
        <f t="shared" si="169"/>
        <v>-3046</v>
      </c>
      <c r="Q1140" s="226">
        <f t="shared" si="169"/>
        <v>754</v>
      </c>
      <c r="R1140" s="226">
        <f t="shared" si="169"/>
        <v>4114</v>
      </c>
      <c r="S1140" s="226">
        <f t="shared" si="169"/>
        <v>7474</v>
      </c>
      <c r="T1140" s="226">
        <f t="shared" si="169"/>
        <v>10834</v>
      </c>
      <c r="U1140" s="226">
        <f t="shared" si="169"/>
        <v>12466</v>
      </c>
    </row>
    <row r="1141" spans="1:21" s="89" customFormat="1" ht="24" customHeight="1">
      <c r="A1141" s="576"/>
      <c r="K1141" s="711"/>
      <c r="L1141" s="89" t="s">
        <v>570</v>
      </c>
      <c r="M1141" s="236">
        <f t="shared" ref="M1141:U1141" si="170">M330</f>
        <v>695707</v>
      </c>
      <c r="N1141" s="236">
        <f t="shared" si="170"/>
        <v>1243821</v>
      </c>
      <c r="O1141" s="186">
        <f t="shared" si="170"/>
        <v>-267652</v>
      </c>
      <c r="P1141" s="186">
        <f t="shared" si="170"/>
        <v>270323</v>
      </c>
      <c r="Q1141" s="226">
        <f t="shared" si="170"/>
        <v>169838</v>
      </c>
      <c r="R1141" s="226">
        <f t="shared" si="170"/>
        <v>66205</v>
      </c>
      <c r="S1141" s="226">
        <f t="shared" si="170"/>
        <v>31670</v>
      </c>
      <c r="T1141" s="226">
        <f t="shared" si="170"/>
        <v>17595</v>
      </c>
      <c r="U1141" s="226">
        <f t="shared" si="170"/>
        <v>24849</v>
      </c>
    </row>
    <row r="1142" spans="1:21" s="89" customFormat="1" ht="24" customHeight="1">
      <c r="A1142" s="576"/>
      <c r="K1142" s="711"/>
      <c r="L1142" s="89" t="s">
        <v>572</v>
      </c>
      <c r="M1142" s="236">
        <f t="shared" ref="M1142:U1142" si="171">M428</f>
        <v>588155</v>
      </c>
      <c r="N1142" s="236">
        <f t="shared" si="171"/>
        <v>119569</v>
      </c>
      <c r="O1142" s="186">
        <f t="shared" si="171"/>
        <v>467802</v>
      </c>
      <c r="P1142" s="186">
        <f t="shared" si="171"/>
        <v>1851069</v>
      </c>
      <c r="Q1142" s="226">
        <f t="shared" si="171"/>
        <v>254218</v>
      </c>
      <c r="R1142" s="226">
        <f t="shared" si="171"/>
        <v>32580</v>
      </c>
      <c r="S1142" s="226">
        <f t="shared" si="171"/>
        <v>32580</v>
      </c>
      <c r="T1142" s="226">
        <f t="shared" si="171"/>
        <v>32580</v>
      </c>
      <c r="U1142" s="226">
        <f t="shared" si="171"/>
        <v>32580</v>
      </c>
    </row>
    <row r="1143" spans="1:21" s="526" customFormat="1" ht="24" customHeight="1">
      <c r="A1143" s="576"/>
      <c r="K1143" s="711"/>
      <c r="L1143" s="526" t="s">
        <v>1328</v>
      </c>
      <c r="M1143" s="236">
        <f t="shared" ref="M1143:U1143" si="172">M493</f>
        <v>0</v>
      </c>
      <c r="N1143" s="236">
        <f t="shared" si="172"/>
        <v>0</v>
      </c>
      <c r="O1143" s="186">
        <f t="shared" si="172"/>
        <v>0</v>
      </c>
      <c r="P1143" s="186">
        <f t="shared" si="172"/>
        <v>10641399</v>
      </c>
      <c r="Q1143" s="226">
        <f t="shared" si="172"/>
        <v>777068</v>
      </c>
      <c r="R1143" s="236">
        <f t="shared" si="172"/>
        <v>12041616</v>
      </c>
      <c r="S1143" s="236">
        <f t="shared" si="172"/>
        <v>602671</v>
      </c>
      <c r="T1143" s="236">
        <f t="shared" si="172"/>
        <v>0</v>
      </c>
      <c r="U1143" s="236">
        <f t="shared" si="172"/>
        <v>0</v>
      </c>
    </row>
    <row r="1144" spans="1:21" s="89" customFormat="1" ht="24" customHeight="1">
      <c r="A1144" s="576"/>
      <c r="K1144" s="711"/>
      <c r="L1144" s="89" t="s">
        <v>745</v>
      </c>
      <c r="M1144" s="236">
        <f t="shared" ref="M1144:U1144" si="173">M590</f>
        <v>511692</v>
      </c>
      <c r="N1144" s="236">
        <f t="shared" si="173"/>
        <v>1485791</v>
      </c>
      <c r="O1144" s="192">
        <f t="shared" si="173"/>
        <v>273410</v>
      </c>
      <c r="P1144" s="192">
        <f t="shared" si="173"/>
        <v>1488996</v>
      </c>
      <c r="Q1144" s="236">
        <f t="shared" si="173"/>
        <v>359643</v>
      </c>
      <c r="R1144" s="236">
        <f t="shared" si="173"/>
        <v>320000</v>
      </c>
      <c r="S1144" s="236">
        <f t="shared" si="173"/>
        <v>320000</v>
      </c>
      <c r="T1144" s="236">
        <f t="shared" si="173"/>
        <v>320000</v>
      </c>
      <c r="U1144" s="236">
        <f t="shared" si="173"/>
        <v>320000</v>
      </c>
    </row>
    <row r="1145" spans="1:21" s="89" customFormat="1" ht="24" customHeight="1">
      <c r="A1145" s="576"/>
      <c r="K1145" s="711"/>
      <c r="L1145" s="89" t="s">
        <v>543</v>
      </c>
      <c r="M1145" s="226">
        <f t="shared" ref="M1145:U1145" si="174">M612</f>
        <v>0</v>
      </c>
      <c r="N1145" s="226">
        <f t="shared" si="174"/>
        <v>0</v>
      </c>
      <c r="O1145" s="186">
        <f t="shared" si="174"/>
        <v>0</v>
      </c>
      <c r="P1145" s="186">
        <f t="shared" si="174"/>
        <v>0</v>
      </c>
      <c r="Q1145" s="226">
        <f t="shared" si="174"/>
        <v>0</v>
      </c>
      <c r="R1145" s="226">
        <f t="shared" si="174"/>
        <v>0</v>
      </c>
      <c r="S1145" s="226">
        <f t="shared" si="174"/>
        <v>0</v>
      </c>
      <c r="T1145" s="226">
        <f t="shared" si="174"/>
        <v>0</v>
      </c>
      <c r="U1145" s="226">
        <f t="shared" si="174"/>
        <v>0</v>
      </c>
    </row>
    <row r="1146" spans="1:21" s="89" customFormat="1" ht="24" customHeight="1">
      <c r="A1146" s="576"/>
      <c r="K1146" s="711"/>
      <c r="L1146" s="89" t="s">
        <v>481</v>
      </c>
      <c r="M1146" s="236">
        <f t="shared" ref="M1146:U1146" si="175">M721</f>
        <v>3268245</v>
      </c>
      <c r="N1146" s="236">
        <f t="shared" si="175"/>
        <v>3901358</v>
      </c>
      <c r="O1146" s="186">
        <f t="shared" si="175"/>
        <v>2600578</v>
      </c>
      <c r="P1146" s="186">
        <f t="shared" si="175"/>
        <v>3794969</v>
      </c>
      <c r="Q1146" s="226">
        <f t="shared" si="175"/>
        <v>1880869</v>
      </c>
      <c r="R1146" s="226">
        <f t="shared" si="175"/>
        <v>903975</v>
      </c>
      <c r="S1146" s="226">
        <f t="shared" si="175"/>
        <v>-347456</v>
      </c>
      <c r="T1146" s="226">
        <f t="shared" si="175"/>
        <v>727366</v>
      </c>
      <c r="U1146" s="226">
        <f t="shared" si="175"/>
        <v>2787099</v>
      </c>
    </row>
    <row r="1147" spans="1:21" s="89" customFormat="1" ht="24" customHeight="1">
      <c r="A1147" s="576"/>
      <c r="K1147" s="711"/>
      <c r="L1147" s="89" t="s">
        <v>482</v>
      </c>
      <c r="M1147" s="236">
        <f t="shared" ref="M1147:U1147" si="176">M825</f>
        <v>1222388</v>
      </c>
      <c r="N1147" s="236">
        <f t="shared" si="176"/>
        <v>864688</v>
      </c>
      <c r="O1147" s="186">
        <f t="shared" si="176"/>
        <v>692051</v>
      </c>
      <c r="P1147" s="186">
        <f t="shared" si="176"/>
        <v>953507</v>
      </c>
      <c r="Q1147" s="226">
        <f t="shared" si="176"/>
        <v>1562682</v>
      </c>
      <c r="R1147" s="226">
        <f t="shared" si="176"/>
        <v>1504717</v>
      </c>
      <c r="S1147" s="226">
        <f t="shared" si="176"/>
        <v>791520</v>
      </c>
      <c r="T1147" s="226">
        <f t="shared" si="176"/>
        <v>574190</v>
      </c>
      <c r="U1147" s="226">
        <f t="shared" si="176"/>
        <v>931937</v>
      </c>
    </row>
    <row r="1148" spans="1:21" s="89" customFormat="1" ht="24" customHeight="1">
      <c r="A1148" s="576"/>
      <c r="K1148" s="711"/>
      <c r="L1148" s="89" t="s">
        <v>483</v>
      </c>
      <c r="M1148" s="236">
        <f t="shared" ref="M1148:U1148" si="177">M861</f>
        <v>247841</v>
      </c>
      <c r="N1148" s="236">
        <f t="shared" si="177"/>
        <v>31131</v>
      </c>
      <c r="O1148" s="192">
        <f t="shared" si="177"/>
        <v>59959</v>
      </c>
      <c r="P1148" s="192">
        <f t="shared" si="177"/>
        <v>0</v>
      </c>
      <c r="Q1148" s="533">
        <f t="shared" si="177"/>
        <v>0</v>
      </c>
      <c r="R1148" s="533">
        <f t="shared" si="177"/>
        <v>0</v>
      </c>
      <c r="S1148" s="533">
        <f t="shared" si="177"/>
        <v>0</v>
      </c>
      <c r="T1148" s="533">
        <f t="shared" si="177"/>
        <v>0</v>
      </c>
      <c r="U1148" s="533">
        <f t="shared" si="177"/>
        <v>0</v>
      </c>
    </row>
    <row r="1149" spans="1:21" s="376" customFormat="1" ht="24" customHeight="1">
      <c r="A1149" s="576"/>
      <c r="K1149" s="375"/>
      <c r="L1149" s="161" t="s">
        <v>530</v>
      </c>
      <c r="M1149" s="236">
        <f t="shared" ref="M1149:U1149" si="178">M953</f>
        <v>411485</v>
      </c>
      <c r="N1149" s="236">
        <f t="shared" si="178"/>
        <v>73000</v>
      </c>
      <c r="O1149" s="186">
        <f t="shared" si="178"/>
        <v>0</v>
      </c>
      <c r="P1149" s="186">
        <f t="shared" si="178"/>
        <v>0</v>
      </c>
      <c r="Q1149" s="226">
        <f t="shared" si="178"/>
        <v>0</v>
      </c>
      <c r="R1149" s="226">
        <f t="shared" si="178"/>
        <v>0</v>
      </c>
      <c r="S1149" s="226">
        <f t="shared" si="178"/>
        <v>0</v>
      </c>
      <c r="T1149" s="226">
        <f t="shared" si="178"/>
        <v>0</v>
      </c>
      <c r="U1149" s="226">
        <f t="shared" si="178"/>
        <v>0</v>
      </c>
    </row>
    <row r="1150" spans="1:21" s="89" customFormat="1" ht="24" customHeight="1">
      <c r="A1150" s="576"/>
      <c r="K1150" s="110"/>
      <c r="L1150" s="89" t="s">
        <v>418</v>
      </c>
      <c r="M1150" s="236">
        <f t="shared" ref="M1150:U1150" si="179">M1074</f>
        <v>-1141784</v>
      </c>
      <c r="N1150" s="236">
        <f t="shared" si="179"/>
        <v>-1211222</v>
      </c>
      <c r="O1150" s="186">
        <f t="shared" si="179"/>
        <v>-1175479</v>
      </c>
      <c r="P1150" s="186">
        <f t="shared" si="179"/>
        <v>-1182714</v>
      </c>
      <c r="Q1150" s="226">
        <f t="shared" si="179"/>
        <v>-1177872</v>
      </c>
      <c r="R1150" s="226">
        <f t="shared" si="179"/>
        <v>-1168336</v>
      </c>
      <c r="S1150" s="226">
        <f t="shared" si="179"/>
        <v>-1152440</v>
      </c>
      <c r="T1150" s="226">
        <f t="shared" si="179"/>
        <v>-1287127</v>
      </c>
      <c r="U1150" s="226">
        <f t="shared" si="179"/>
        <v>-1410929</v>
      </c>
    </row>
    <row r="1151" spans="1:21" s="89" customFormat="1" ht="24" customHeight="1">
      <c r="A1151" s="576"/>
      <c r="K1151" s="110"/>
      <c r="L1151" s="89" t="s">
        <v>420</v>
      </c>
      <c r="M1151" s="236">
        <f t="shared" ref="M1151:U1151" si="180">M1095</f>
        <v>-1237549</v>
      </c>
      <c r="N1151" s="236">
        <f t="shared" si="180"/>
        <v>-1448929</v>
      </c>
      <c r="O1151" s="186">
        <f t="shared" si="180"/>
        <v>-1682954</v>
      </c>
      <c r="P1151" s="186">
        <f t="shared" si="180"/>
        <v>-1638038</v>
      </c>
      <c r="Q1151" s="226">
        <f t="shared" si="180"/>
        <v>-1629650</v>
      </c>
      <c r="R1151" s="226">
        <f t="shared" si="180"/>
        <v>-1618595</v>
      </c>
      <c r="S1151" s="226">
        <f t="shared" si="180"/>
        <v>-1608057</v>
      </c>
      <c r="T1151" s="226">
        <f t="shared" si="180"/>
        <v>-1598103</v>
      </c>
      <c r="U1151" s="226">
        <f t="shared" si="180"/>
        <v>-1588806</v>
      </c>
    </row>
    <row r="1152" spans="1:21" s="89" customFormat="1" ht="24" customHeight="1">
      <c r="A1152" s="576"/>
      <c r="K1152" s="110"/>
      <c r="L1152" s="89" t="s">
        <v>1031</v>
      </c>
      <c r="M1152" s="268">
        <f t="shared" ref="M1152:U1152" si="181">M1115</f>
        <v>-73799</v>
      </c>
      <c r="N1152" s="268">
        <f t="shared" si="181"/>
        <v>-47869</v>
      </c>
      <c r="O1152" s="204">
        <f t="shared" si="181"/>
        <v>-31910</v>
      </c>
      <c r="P1152" s="204">
        <f t="shared" si="181"/>
        <v>-6910</v>
      </c>
      <c r="Q1152" s="268">
        <f t="shared" si="181"/>
        <v>61943</v>
      </c>
      <c r="R1152" s="268">
        <f t="shared" si="181"/>
        <v>150780</v>
      </c>
      <c r="S1152" s="268">
        <f t="shared" si="181"/>
        <v>236163</v>
      </c>
      <c r="T1152" s="268">
        <f t="shared" si="181"/>
        <v>325052</v>
      </c>
      <c r="U1152" s="268">
        <f t="shared" si="181"/>
        <v>416092</v>
      </c>
    </row>
    <row r="1153" spans="1:21" s="89" customFormat="1" ht="24" customHeight="1">
      <c r="A1153" s="576"/>
      <c r="M1153" s="236"/>
      <c r="N1153" s="236"/>
      <c r="O1153" s="186"/>
      <c r="P1153" s="186"/>
      <c r="Q1153" s="226"/>
      <c r="R1153" s="226"/>
      <c r="S1153" s="226"/>
      <c r="T1153" s="226"/>
      <c r="U1153" s="226"/>
    </row>
    <row r="1154" spans="1:21" s="89" customFormat="1" ht="24" customHeight="1">
      <c r="A1154" s="576"/>
      <c r="M1154" s="425">
        <f t="shared" ref="M1154:U1154" si="182">SUM(M1138:M1153)</f>
        <v>12001733</v>
      </c>
      <c r="N1154" s="408">
        <f t="shared" si="182"/>
        <v>14185514</v>
      </c>
      <c r="O1154" s="409">
        <f t="shared" si="182"/>
        <v>8406429</v>
      </c>
      <c r="P1154" s="409">
        <f t="shared" si="182"/>
        <v>25583086.27</v>
      </c>
      <c r="Q1154" s="408">
        <f t="shared" si="182"/>
        <v>11635324.27</v>
      </c>
      <c r="R1154" s="408">
        <f t="shared" si="182"/>
        <v>20529326.27</v>
      </c>
      <c r="S1154" s="408">
        <f t="shared" si="182"/>
        <v>6595584.2699999996</v>
      </c>
      <c r="T1154" s="408">
        <f t="shared" si="182"/>
        <v>5915118.2699999996</v>
      </c>
      <c r="U1154" s="408">
        <f t="shared" si="182"/>
        <v>7695050.2699999996</v>
      </c>
    </row>
    <row r="1155" spans="1:21" s="89" customFormat="1" ht="24" customHeight="1">
      <c r="A1155" s="576"/>
      <c r="M1155" s="226"/>
      <c r="N1155" s="226"/>
      <c r="O1155" s="186"/>
      <c r="P1155" s="186"/>
      <c r="Q1155" s="226"/>
      <c r="R1155" s="226"/>
      <c r="S1155" s="226"/>
      <c r="T1155" s="226"/>
      <c r="U1155" s="226"/>
    </row>
    <row r="1156" spans="1:21" s="89" customFormat="1" ht="24" customHeight="1">
      <c r="A1156" s="576"/>
      <c r="M1156" s="226"/>
      <c r="N1156" s="226"/>
      <c r="O1156" s="186"/>
      <c r="P1156" s="186"/>
      <c r="Q1156" s="226"/>
      <c r="R1156" s="226"/>
      <c r="S1156" s="226"/>
      <c r="T1156" s="226"/>
      <c r="U1156" s="226"/>
    </row>
    <row r="1157" spans="1:21" s="116" customFormat="1" ht="24" customHeight="1">
      <c r="A1157" s="577"/>
      <c r="B1157" s="703" t="s">
        <v>531</v>
      </c>
      <c r="C1157" s="703"/>
      <c r="D1157" s="703"/>
      <c r="E1157" s="703"/>
      <c r="F1157" s="703"/>
      <c r="G1157" s="703"/>
      <c r="H1157" s="703"/>
      <c r="I1157" s="703"/>
      <c r="J1157" s="703"/>
      <c r="K1157" s="703"/>
      <c r="L1157" s="703"/>
      <c r="M1157" s="202"/>
      <c r="N1157" s="202"/>
      <c r="O1157" s="202"/>
      <c r="P1157" s="202"/>
      <c r="Q1157" s="202"/>
      <c r="R1157" s="202"/>
      <c r="S1157" s="202"/>
      <c r="T1157" s="202"/>
      <c r="U1157" s="202"/>
    </row>
    <row r="1158" spans="1:21" s="89" customFormat="1" ht="24" customHeight="1">
      <c r="A1158" s="576"/>
      <c r="M1158" s="226"/>
      <c r="N1158" s="226"/>
      <c r="O1158" s="186"/>
      <c r="P1158" s="186"/>
      <c r="Q1158" s="226"/>
      <c r="R1158" s="226"/>
      <c r="S1158" s="226"/>
      <c r="T1158" s="226"/>
      <c r="U1158" s="226"/>
    </row>
    <row r="1159" spans="1:21" s="123" customFormat="1" ht="24" customHeight="1">
      <c r="A1159" s="590"/>
      <c r="L1159" s="124" t="s">
        <v>477</v>
      </c>
      <c r="M1159" s="270"/>
      <c r="N1159" s="270"/>
      <c r="O1159" s="203"/>
      <c r="P1159" s="203"/>
      <c r="Q1159" s="270"/>
      <c r="R1159" s="270"/>
      <c r="S1159" s="270"/>
      <c r="T1159" s="270"/>
      <c r="U1159" s="270"/>
    </row>
    <row r="1160" spans="1:21" s="89" customFormat="1" ht="24" customHeight="1">
      <c r="A1160" s="576"/>
      <c r="L1160" s="89" t="s">
        <v>532</v>
      </c>
      <c r="M1160" s="439">
        <f t="shared" ref="M1160:U1160" si="183">M1024</f>
        <v>24335</v>
      </c>
      <c r="N1160" s="439">
        <f t="shared" si="183"/>
        <v>59426</v>
      </c>
      <c r="O1160" s="428">
        <f t="shared" si="183"/>
        <v>-16741</v>
      </c>
      <c r="P1160" s="428">
        <f t="shared" si="183"/>
        <v>37798</v>
      </c>
      <c r="Q1160" s="439">
        <f t="shared" si="183"/>
        <v>-12047</v>
      </c>
      <c r="R1160" s="439">
        <f t="shared" si="183"/>
        <v>-11501</v>
      </c>
      <c r="S1160" s="439">
        <f t="shared" si="183"/>
        <v>-19478</v>
      </c>
      <c r="T1160" s="439">
        <f t="shared" si="183"/>
        <v>-23061</v>
      </c>
      <c r="U1160" s="439">
        <f t="shared" si="183"/>
        <v>-28298</v>
      </c>
    </row>
    <row r="1161" spans="1:21" s="89" customFormat="1" ht="24" customHeight="1">
      <c r="A1161" s="576"/>
      <c r="L1161" s="89" t="s">
        <v>651</v>
      </c>
      <c r="M1161" s="268">
        <f t="shared" ref="M1161:U1161" si="184">M1049</f>
        <v>40323</v>
      </c>
      <c r="N1161" s="268">
        <f t="shared" si="184"/>
        <v>45604</v>
      </c>
      <c r="O1161" s="204">
        <f t="shared" si="184"/>
        <v>-45300</v>
      </c>
      <c r="P1161" s="204">
        <f t="shared" si="184"/>
        <v>11674</v>
      </c>
      <c r="Q1161" s="272">
        <f t="shared" si="184"/>
        <v>-35150</v>
      </c>
      <c r="R1161" s="272">
        <f t="shared" si="184"/>
        <v>-35000</v>
      </c>
      <c r="S1161" s="272">
        <f t="shared" si="184"/>
        <v>-34750</v>
      </c>
      <c r="T1161" s="272">
        <f t="shared" si="184"/>
        <v>-34500</v>
      </c>
      <c r="U1161" s="272">
        <f t="shared" si="184"/>
        <v>-9910</v>
      </c>
    </row>
    <row r="1162" spans="1:21" s="89" customFormat="1" ht="24" customHeight="1">
      <c r="A1162" s="576"/>
      <c r="M1162" s="236"/>
      <c r="N1162" s="236"/>
      <c r="O1162" s="186"/>
      <c r="P1162" s="186"/>
      <c r="Q1162" s="226"/>
      <c r="R1162" s="226"/>
      <c r="S1162" s="226"/>
      <c r="T1162" s="226"/>
      <c r="U1162" s="226"/>
    </row>
    <row r="1163" spans="1:21" s="89" customFormat="1" ht="24" customHeight="1">
      <c r="A1163" s="576"/>
      <c r="L1163" s="98"/>
      <c r="M1163" s="408">
        <f t="shared" ref="M1163:U1163" si="185">SUM(M1160:M1162)</f>
        <v>64658</v>
      </c>
      <c r="N1163" s="408">
        <f t="shared" si="185"/>
        <v>105030</v>
      </c>
      <c r="O1163" s="409">
        <f t="shared" si="185"/>
        <v>-62041</v>
      </c>
      <c r="P1163" s="409">
        <f t="shared" si="185"/>
        <v>49472</v>
      </c>
      <c r="Q1163" s="408">
        <f t="shared" si="185"/>
        <v>-47197</v>
      </c>
      <c r="R1163" s="408">
        <f t="shared" si="185"/>
        <v>-46501</v>
      </c>
      <c r="S1163" s="408">
        <f t="shared" si="185"/>
        <v>-54228</v>
      </c>
      <c r="T1163" s="408">
        <f t="shared" si="185"/>
        <v>-57561</v>
      </c>
      <c r="U1163" s="408">
        <f t="shared" si="185"/>
        <v>-38208</v>
      </c>
    </row>
    <row r="1164" spans="1:21" s="89" customFormat="1" ht="24" customHeight="1">
      <c r="A1164" s="576"/>
      <c r="M1164" s="226"/>
      <c r="N1164" s="226"/>
      <c r="O1164" s="186"/>
      <c r="P1164" s="186"/>
      <c r="Q1164" s="226"/>
      <c r="R1164" s="226"/>
      <c r="S1164" s="226"/>
      <c r="T1164" s="226"/>
      <c r="U1164" s="226"/>
    </row>
    <row r="1165" spans="1:21" s="125" customFormat="1" ht="24" customHeight="1">
      <c r="A1165" s="591"/>
      <c r="L1165" s="126" t="s">
        <v>694</v>
      </c>
      <c r="M1165" s="271"/>
      <c r="N1165" s="271"/>
      <c r="O1165" s="206"/>
      <c r="P1165" s="206"/>
      <c r="Q1165" s="271"/>
      <c r="R1165" s="271"/>
      <c r="S1165" s="271"/>
      <c r="T1165" s="271"/>
      <c r="U1165" s="271"/>
    </row>
    <row r="1166" spans="1:21" s="89" customFormat="1" ht="24" customHeight="1">
      <c r="A1166" s="576"/>
      <c r="L1166" s="89" t="s">
        <v>532</v>
      </c>
      <c r="M1166" s="439">
        <f t="shared" ref="M1166:U1166" si="186">M1026</f>
        <v>578607</v>
      </c>
      <c r="N1166" s="439">
        <f t="shared" si="186"/>
        <v>638033</v>
      </c>
      <c r="O1166" s="428">
        <f t="shared" si="186"/>
        <v>578676</v>
      </c>
      <c r="P1166" s="428">
        <f t="shared" si="186"/>
        <v>675831</v>
      </c>
      <c r="Q1166" s="439">
        <f t="shared" si="186"/>
        <v>663784</v>
      </c>
      <c r="R1166" s="439">
        <f t="shared" si="186"/>
        <v>652283</v>
      </c>
      <c r="S1166" s="439">
        <f t="shared" si="186"/>
        <v>632805</v>
      </c>
      <c r="T1166" s="439">
        <f t="shared" si="186"/>
        <v>609744</v>
      </c>
      <c r="U1166" s="439">
        <f t="shared" si="186"/>
        <v>581446</v>
      </c>
    </row>
    <row r="1167" spans="1:21" s="89" customFormat="1" ht="24" customHeight="1">
      <c r="A1167" s="576"/>
      <c r="L1167" s="89" t="s">
        <v>651</v>
      </c>
      <c r="M1167" s="268">
        <f t="shared" ref="M1167:U1167" si="187">M1051</f>
        <v>123583</v>
      </c>
      <c r="N1167" s="268">
        <f t="shared" si="187"/>
        <v>169188</v>
      </c>
      <c r="O1167" s="204">
        <f t="shared" si="187"/>
        <v>107933</v>
      </c>
      <c r="P1167" s="204">
        <f t="shared" si="187"/>
        <v>180862</v>
      </c>
      <c r="Q1167" s="272">
        <f t="shared" si="187"/>
        <v>145712</v>
      </c>
      <c r="R1167" s="272">
        <f t="shared" si="187"/>
        <v>110712</v>
      </c>
      <c r="S1167" s="272">
        <f t="shared" si="187"/>
        <v>75962</v>
      </c>
      <c r="T1167" s="272">
        <f t="shared" si="187"/>
        <v>41462</v>
      </c>
      <c r="U1167" s="272">
        <f t="shared" si="187"/>
        <v>31552</v>
      </c>
    </row>
    <row r="1168" spans="1:21" s="89" customFormat="1" ht="24" customHeight="1">
      <c r="A1168" s="576"/>
      <c r="M1168" s="236"/>
      <c r="N1168" s="236"/>
      <c r="O1168" s="186"/>
      <c r="P1168" s="186"/>
      <c r="Q1168" s="226"/>
      <c r="R1168" s="226"/>
      <c r="S1168" s="226"/>
      <c r="T1168" s="226"/>
      <c r="U1168" s="226"/>
    </row>
    <row r="1169" spans="1:21" s="89" customFormat="1" ht="24" customHeight="1">
      <c r="A1169" s="576"/>
      <c r="M1169" s="408">
        <f t="shared" ref="M1169:U1169" si="188">SUM(M1166:M1168)</f>
        <v>702190</v>
      </c>
      <c r="N1169" s="408">
        <f t="shared" si="188"/>
        <v>807221</v>
      </c>
      <c r="O1169" s="409">
        <f t="shared" si="188"/>
        <v>686609</v>
      </c>
      <c r="P1169" s="409">
        <f t="shared" si="188"/>
        <v>856693</v>
      </c>
      <c r="Q1169" s="408">
        <f t="shared" si="188"/>
        <v>809496</v>
      </c>
      <c r="R1169" s="408">
        <f t="shared" si="188"/>
        <v>762995</v>
      </c>
      <c r="S1169" s="408">
        <f t="shared" si="188"/>
        <v>708767</v>
      </c>
      <c r="T1169" s="408">
        <f t="shared" si="188"/>
        <v>651206</v>
      </c>
      <c r="U1169" s="408">
        <f t="shared" si="188"/>
        <v>612998</v>
      </c>
    </row>
    <row r="1170" spans="1:21" s="89" customFormat="1" ht="24" customHeight="1">
      <c r="A1170" s="576"/>
      <c r="M1170" s="226"/>
      <c r="N1170" s="226"/>
      <c r="O1170" s="186"/>
      <c r="P1170" s="186"/>
      <c r="Q1170" s="226"/>
      <c r="R1170" s="226"/>
      <c r="S1170" s="226"/>
      <c r="T1170" s="226"/>
      <c r="U1170" s="226"/>
    </row>
    <row r="1171" spans="1:21" s="89" customFormat="1" ht="24" customHeight="1">
      <c r="A1171" s="576"/>
      <c r="M1171" s="226"/>
      <c r="N1171" s="226"/>
      <c r="O1171" s="186"/>
      <c r="P1171" s="186"/>
      <c r="Q1171" s="226"/>
      <c r="R1171" s="226"/>
      <c r="S1171" s="226"/>
      <c r="T1171" s="226"/>
      <c r="U1171" s="226"/>
    </row>
    <row r="1172" spans="1:21" s="116" customFormat="1" ht="24" customHeight="1">
      <c r="A1172" s="577"/>
      <c r="B1172" s="703" t="s">
        <v>890</v>
      </c>
      <c r="C1172" s="703"/>
      <c r="D1172" s="703"/>
      <c r="E1172" s="703"/>
      <c r="F1172" s="703"/>
      <c r="G1172" s="703"/>
      <c r="H1172" s="703"/>
      <c r="I1172" s="703"/>
      <c r="J1172" s="703"/>
      <c r="K1172" s="703"/>
      <c r="L1172" s="703"/>
      <c r="M1172" s="202"/>
      <c r="N1172" s="202"/>
      <c r="O1172" s="202"/>
      <c r="P1172" s="202"/>
      <c r="Q1172" s="202"/>
      <c r="R1172" s="202"/>
      <c r="S1172" s="202"/>
      <c r="T1172" s="202"/>
      <c r="U1172" s="202"/>
    </row>
    <row r="1173" spans="1:21" s="89" customFormat="1" ht="24" customHeight="1">
      <c r="A1173" s="576"/>
      <c r="L1173" s="89" t="s">
        <v>537</v>
      </c>
      <c r="M1173" s="439">
        <f t="shared" ref="M1173:U1173" si="189">M222+M648+M758+M988</f>
        <v>377221</v>
      </c>
      <c r="N1173" s="439">
        <f t="shared" si="189"/>
        <v>393183</v>
      </c>
      <c r="O1173" s="428">
        <f t="shared" si="189"/>
        <v>418375</v>
      </c>
      <c r="P1173" s="428">
        <f t="shared" si="189"/>
        <v>431515</v>
      </c>
      <c r="Q1173" s="439">
        <f t="shared" si="189"/>
        <v>474667</v>
      </c>
      <c r="R1173" s="439">
        <f t="shared" si="189"/>
        <v>503147</v>
      </c>
      <c r="S1173" s="439">
        <f t="shared" si="189"/>
        <v>533336</v>
      </c>
      <c r="T1173" s="439">
        <f t="shared" si="189"/>
        <v>565336</v>
      </c>
      <c r="U1173" s="439">
        <f t="shared" si="189"/>
        <v>599256</v>
      </c>
    </row>
    <row r="1174" spans="1:21" s="89" customFormat="1" ht="24" customHeight="1">
      <c r="A1174" s="576"/>
      <c r="M1174" s="226"/>
      <c r="N1174" s="226"/>
      <c r="O1174" s="186"/>
      <c r="P1174" s="186"/>
      <c r="Q1174" s="226"/>
      <c r="R1174" s="226"/>
      <c r="S1174" s="226"/>
      <c r="T1174" s="226"/>
      <c r="U1174" s="226"/>
    </row>
    <row r="1175" spans="1:21" s="89" customFormat="1" ht="24" customHeight="1">
      <c r="A1175" s="576"/>
      <c r="L1175" s="89" t="s">
        <v>538</v>
      </c>
      <c r="M1175" s="439">
        <f t="shared" ref="M1175:U1175" si="190">M221+M647+M757+M987</f>
        <v>16925</v>
      </c>
      <c r="N1175" s="439">
        <f t="shared" si="190"/>
        <v>12997</v>
      </c>
      <c r="O1175" s="428">
        <f t="shared" si="190"/>
        <v>20350</v>
      </c>
      <c r="P1175" s="428">
        <f t="shared" si="190"/>
        <v>15425.73</v>
      </c>
      <c r="Q1175" s="439">
        <f t="shared" si="190"/>
        <v>20500</v>
      </c>
      <c r="R1175" s="439">
        <f t="shared" si="190"/>
        <v>20500</v>
      </c>
      <c r="S1175" s="439">
        <f t="shared" si="190"/>
        <v>20500</v>
      </c>
      <c r="T1175" s="439">
        <f t="shared" si="190"/>
        <v>20500</v>
      </c>
      <c r="U1175" s="439">
        <f t="shared" si="190"/>
        <v>20500</v>
      </c>
    </row>
    <row r="1176" spans="1:21" s="89" customFormat="1" ht="24" customHeight="1">
      <c r="A1176" s="576"/>
      <c r="M1176" s="236"/>
      <c r="N1176" s="236"/>
      <c r="O1176" s="192"/>
      <c r="P1176" s="192"/>
      <c r="Q1176" s="226"/>
      <c r="R1176" s="226"/>
      <c r="S1176" s="226"/>
      <c r="T1176" s="226"/>
      <c r="U1176" s="226"/>
    </row>
    <row r="1177" spans="1:21" s="89" customFormat="1" ht="24" customHeight="1">
      <c r="A1177" s="576"/>
      <c r="F1177" s="92"/>
      <c r="G1177" s="92"/>
      <c r="H1177" s="92"/>
      <c r="I1177" s="92"/>
      <c r="J1177" s="700" t="s">
        <v>573</v>
      </c>
      <c r="K1177" s="700"/>
      <c r="L1177" s="89" t="s">
        <v>539</v>
      </c>
      <c r="M1177" s="439">
        <f t="shared" ref="M1177:U1177" si="191">M70+M95+M123+M157+M185+M643+M753+M890+M920+M223+M452</f>
        <v>1402488</v>
      </c>
      <c r="N1177" s="439">
        <f t="shared" si="191"/>
        <v>1301881</v>
      </c>
      <c r="O1177" s="428">
        <f t="shared" si="191"/>
        <v>1485462</v>
      </c>
      <c r="P1177" s="428">
        <f t="shared" si="191"/>
        <v>1366717</v>
      </c>
      <c r="Q1177" s="439">
        <f t="shared" si="191"/>
        <v>1612607</v>
      </c>
      <c r="R1177" s="439">
        <f t="shared" si="191"/>
        <v>1766525</v>
      </c>
      <c r="S1177" s="439">
        <f t="shared" si="191"/>
        <v>1935052</v>
      </c>
      <c r="T1177" s="439">
        <f t="shared" si="191"/>
        <v>2119539</v>
      </c>
      <c r="U1177" s="439">
        <f t="shared" si="191"/>
        <v>2321462</v>
      </c>
    </row>
    <row r="1178" spans="1:21" s="89" customFormat="1" ht="24" customHeight="1">
      <c r="A1178" s="576"/>
      <c r="K1178" s="112"/>
      <c r="M1178" s="236"/>
      <c r="N1178" s="236"/>
      <c r="O1178" s="186"/>
      <c r="P1178" s="186"/>
      <c r="Q1178" s="226"/>
      <c r="R1178" s="226"/>
      <c r="S1178" s="226"/>
      <c r="T1178" s="226"/>
      <c r="U1178" s="226"/>
    </row>
    <row r="1179" spans="1:21" s="89" customFormat="1" ht="24" customHeight="1">
      <c r="A1179" s="576"/>
      <c r="F1179" s="92"/>
      <c r="G1179" s="92"/>
      <c r="H1179" s="92"/>
      <c r="I1179" s="92"/>
      <c r="J1179" s="700" t="s">
        <v>573</v>
      </c>
      <c r="K1179" s="700"/>
      <c r="L1179" s="89" t="s">
        <v>540</v>
      </c>
      <c r="M1179" s="439">
        <f t="shared" ref="M1179:U1179" si="192">M72+M97+M125+M159+M187+M645+M755+M892+M922+M224+M454</f>
        <v>101167</v>
      </c>
      <c r="N1179" s="439">
        <f t="shared" si="192"/>
        <v>89636</v>
      </c>
      <c r="O1179" s="428">
        <f t="shared" si="192"/>
        <v>103828</v>
      </c>
      <c r="P1179" s="428">
        <f t="shared" si="192"/>
        <v>107162</v>
      </c>
      <c r="Q1179" s="439">
        <f t="shared" si="192"/>
        <v>111413</v>
      </c>
      <c r="R1179" s="439">
        <f t="shared" si="192"/>
        <v>118771</v>
      </c>
      <c r="S1179" s="439">
        <f t="shared" si="192"/>
        <v>126589</v>
      </c>
      <c r="T1179" s="439">
        <f t="shared" si="192"/>
        <v>134889</v>
      </c>
      <c r="U1179" s="439">
        <f t="shared" si="192"/>
        <v>143703</v>
      </c>
    </row>
    <row r="1180" spans="1:21" s="89" customFormat="1" ht="24" customHeight="1">
      <c r="A1180" s="576"/>
      <c r="K1180" s="112"/>
      <c r="M1180" s="236"/>
      <c r="N1180" s="236"/>
      <c r="O1180" s="186"/>
      <c r="P1180" s="186"/>
      <c r="Q1180" s="226"/>
      <c r="R1180" s="226"/>
      <c r="S1180" s="226"/>
      <c r="T1180" s="226"/>
      <c r="U1180" s="226"/>
    </row>
    <row r="1181" spans="1:21" s="89" customFormat="1" ht="24" customHeight="1">
      <c r="A1181" s="576"/>
      <c r="F1181" s="92"/>
      <c r="G1181" s="92"/>
      <c r="H1181" s="92"/>
      <c r="I1181" s="92"/>
      <c r="J1181" s="700" t="s">
        <v>573</v>
      </c>
      <c r="K1181" s="700"/>
      <c r="L1181" s="89" t="s">
        <v>541</v>
      </c>
      <c r="M1181" s="439">
        <f t="shared" ref="M1181:U1181" si="193">M73+M98+M126+M160+M188+M646+M756+M893+M923+M225+M455</f>
        <v>14440</v>
      </c>
      <c r="N1181" s="439">
        <f t="shared" si="193"/>
        <v>14600</v>
      </c>
      <c r="O1181" s="428">
        <f t="shared" si="193"/>
        <v>15717</v>
      </c>
      <c r="P1181" s="428">
        <f t="shared" si="193"/>
        <v>14659</v>
      </c>
      <c r="Q1181" s="439">
        <f t="shared" si="193"/>
        <v>16778</v>
      </c>
      <c r="R1181" s="439">
        <f t="shared" si="193"/>
        <v>17531</v>
      </c>
      <c r="S1181" s="439">
        <f t="shared" si="193"/>
        <v>18314</v>
      </c>
      <c r="T1181" s="439">
        <f t="shared" si="193"/>
        <v>19129</v>
      </c>
      <c r="U1181" s="439">
        <f t="shared" si="193"/>
        <v>19977</v>
      </c>
    </row>
    <row r="1182" spans="1:21" s="89" customFormat="1" ht="24" customHeight="1">
      <c r="A1182" s="576"/>
      <c r="J1182" s="112"/>
      <c r="K1182" s="112"/>
      <c r="M1182" s="274"/>
      <c r="N1182" s="274"/>
      <c r="O1182" s="275"/>
      <c r="P1182" s="275"/>
      <c r="Q1182" s="274"/>
      <c r="R1182" s="274"/>
      <c r="S1182" s="274"/>
      <c r="T1182" s="274"/>
      <c r="U1182" s="274"/>
    </row>
    <row r="1183" spans="1:21" s="116" customFormat="1" ht="24" customHeight="1">
      <c r="A1183" s="577"/>
      <c r="J1183" s="117"/>
      <c r="K1183" s="117"/>
      <c r="M1183" s="202">
        <f t="shared" ref="M1183:U1183" si="194">(M1179+M1181+M1177)-M70-M72-M73-M95-M97-M98-M123-M125-M126-M157-M159-M160-M185-M187-M188-M223-M224-M225-M643-M645-M646-M753-M755-M756-M890-M892-M893-M920-M922-M923-M452-M454-M455</f>
        <v>0</v>
      </c>
      <c r="N1183" s="202">
        <f t="shared" si="194"/>
        <v>0</v>
      </c>
      <c r="O1183" s="202">
        <f t="shared" si="194"/>
        <v>0</v>
      </c>
      <c r="P1183" s="202">
        <f t="shared" si="194"/>
        <v>0</v>
      </c>
      <c r="Q1183" s="202">
        <f t="shared" si="194"/>
        <v>0</v>
      </c>
      <c r="R1183" s="202">
        <f t="shared" si="194"/>
        <v>0</v>
      </c>
      <c r="S1183" s="202">
        <f t="shared" si="194"/>
        <v>0</v>
      </c>
      <c r="T1183" s="202">
        <f t="shared" si="194"/>
        <v>0</v>
      </c>
      <c r="U1183" s="202">
        <f t="shared" si="194"/>
        <v>0</v>
      </c>
    </row>
    <row r="1184" spans="1:21" s="89" customFormat="1" ht="24" customHeight="1">
      <c r="A1184" s="576"/>
      <c r="J1184" s="113"/>
      <c r="K1184" s="113"/>
      <c r="L1184" s="113"/>
      <c r="M1184" s="236"/>
      <c r="N1184" s="236"/>
      <c r="O1184" s="192"/>
      <c r="P1184" s="192"/>
      <c r="Q1184" s="226"/>
      <c r="R1184" s="226"/>
      <c r="S1184" s="226"/>
      <c r="T1184" s="226"/>
      <c r="U1184" s="226"/>
    </row>
    <row r="1185" spans="1:21" s="89" customFormat="1" ht="24" customHeight="1">
      <c r="A1185" s="576"/>
      <c r="J1185" s="701" t="s">
        <v>531</v>
      </c>
      <c r="K1185" s="701"/>
      <c r="L1185" s="113" t="s">
        <v>539</v>
      </c>
      <c r="M1185" s="439">
        <f t="shared" ref="M1185:U1185" si="195">M983</f>
        <v>71184</v>
      </c>
      <c r="N1185" s="439">
        <f t="shared" si="195"/>
        <v>73940</v>
      </c>
      <c r="O1185" s="428">
        <f t="shared" si="195"/>
        <v>105501</v>
      </c>
      <c r="P1185" s="428">
        <f t="shared" si="195"/>
        <v>94924</v>
      </c>
      <c r="Q1185" s="439">
        <f t="shared" si="195"/>
        <v>102663</v>
      </c>
      <c r="R1185" s="439">
        <f t="shared" si="195"/>
        <v>117593</v>
      </c>
      <c r="S1185" s="439">
        <f t="shared" si="195"/>
        <v>127000</v>
      </c>
      <c r="T1185" s="439">
        <f t="shared" si="195"/>
        <v>137160</v>
      </c>
      <c r="U1185" s="439">
        <f t="shared" si="195"/>
        <v>148133</v>
      </c>
    </row>
    <row r="1186" spans="1:21" s="98" customFormat="1" ht="24" customHeight="1">
      <c r="A1186" s="576"/>
      <c r="J1186" s="99"/>
      <c r="K1186" s="99"/>
      <c r="L1186" s="89"/>
      <c r="M1186" s="227"/>
      <c r="N1186" s="227"/>
      <c r="O1186" s="169"/>
      <c r="P1186" s="169"/>
      <c r="Q1186" s="227"/>
      <c r="R1186" s="227"/>
      <c r="S1186" s="227"/>
      <c r="T1186" s="227"/>
      <c r="U1186" s="227"/>
    </row>
    <row r="1187" spans="1:21" s="98" customFormat="1" ht="24" customHeight="1">
      <c r="A1187" s="576"/>
      <c r="J1187" s="701" t="s">
        <v>531</v>
      </c>
      <c r="K1187" s="701"/>
      <c r="L1187" s="89" t="s">
        <v>540</v>
      </c>
      <c r="M1187" s="439">
        <f t="shared" ref="M1187:U1187" si="196">M985</f>
        <v>6987</v>
      </c>
      <c r="N1187" s="439">
        <f t="shared" si="196"/>
        <v>5977</v>
      </c>
      <c r="O1187" s="428">
        <f t="shared" si="196"/>
        <v>7079</v>
      </c>
      <c r="P1187" s="428">
        <f t="shared" si="196"/>
        <v>6485</v>
      </c>
      <c r="Q1187" s="439">
        <f t="shared" si="196"/>
        <v>7135</v>
      </c>
      <c r="R1187" s="439">
        <f t="shared" si="196"/>
        <v>7715</v>
      </c>
      <c r="S1187" s="439">
        <f t="shared" si="196"/>
        <v>8101</v>
      </c>
      <c r="T1187" s="439">
        <f t="shared" si="196"/>
        <v>8506</v>
      </c>
      <c r="U1187" s="439">
        <f t="shared" si="196"/>
        <v>8931</v>
      </c>
    </row>
    <row r="1188" spans="1:21" s="98" customFormat="1" ht="24" customHeight="1">
      <c r="A1188" s="576"/>
      <c r="J1188" s="99"/>
      <c r="K1188" s="99"/>
      <c r="L1188" s="89"/>
      <c r="M1188" s="226"/>
      <c r="N1188" s="226"/>
      <c r="O1188" s="186"/>
      <c r="P1188" s="186"/>
      <c r="Q1188" s="226"/>
      <c r="R1188" s="226"/>
      <c r="S1188" s="226"/>
      <c r="T1188" s="226"/>
      <c r="U1188" s="226"/>
    </row>
    <row r="1189" spans="1:21" s="98" customFormat="1" ht="24" customHeight="1">
      <c r="A1189" s="576"/>
      <c r="J1189" s="701" t="s">
        <v>531</v>
      </c>
      <c r="K1189" s="701"/>
      <c r="L1189" s="89" t="s">
        <v>541</v>
      </c>
      <c r="M1189" s="439">
        <f t="shared" ref="M1189:U1189" si="197">M986</f>
        <v>1012</v>
      </c>
      <c r="N1189" s="439">
        <f t="shared" si="197"/>
        <v>999</v>
      </c>
      <c r="O1189" s="428">
        <f t="shared" si="197"/>
        <v>1088</v>
      </c>
      <c r="P1189" s="428">
        <f t="shared" si="197"/>
        <v>882</v>
      </c>
      <c r="Q1189" s="439">
        <f t="shared" si="197"/>
        <v>1051</v>
      </c>
      <c r="R1189" s="439">
        <f t="shared" si="197"/>
        <v>1162</v>
      </c>
      <c r="S1189" s="439">
        <f t="shared" si="197"/>
        <v>1197</v>
      </c>
      <c r="T1189" s="439">
        <f t="shared" si="197"/>
        <v>1233</v>
      </c>
      <c r="U1189" s="439">
        <f t="shared" si="197"/>
        <v>1270</v>
      </c>
    </row>
    <row r="1190" spans="1:21" s="98" customFormat="1" ht="24" customHeight="1">
      <c r="A1190" s="576"/>
      <c r="J1190" s="99"/>
      <c r="K1190" s="99"/>
      <c r="M1190" s="227"/>
      <c r="N1190" s="227"/>
      <c r="O1190" s="169"/>
      <c r="P1190" s="169"/>
      <c r="Q1190" s="227"/>
      <c r="R1190" s="227"/>
      <c r="S1190" s="227"/>
      <c r="T1190" s="227"/>
      <c r="U1190" s="227"/>
    </row>
    <row r="1191" spans="1:21" s="116" customFormat="1" ht="24" customHeight="1">
      <c r="A1191" s="577"/>
      <c r="B1191" s="703" t="s">
        <v>823</v>
      </c>
      <c r="C1191" s="703"/>
      <c r="D1191" s="703"/>
      <c r="E1191" s="703"/>
      <c r="F1191" s="703"/>
      <c r="G1191" s="703"/>
      <c r="H1191" s="703"/>
      <c r="I1191" s="703"/>
      <c r="J1191" s="703"/>
      <c r="K1191" s="703"/>
      <c r="L1191" s="703"/>
      <c r="M1191" s="205"/>
      <c r="N1191" s="205"/>
      <c r="O1191" s="205"/>
      <c r="P1191" s="205"/>
      <c r="Q1191" s="205"/>
      <c r="R1191" s="202"/>
      <c r="S1191" s="202"/>
      <c r="T1191" s="202"/>
      <c r="U1191" s="202"/>
    </row>
    <row r="1192" spans="1:21" s="89" customFormat="1" ht="24" customHeight="1">
      <c r="A1192" s="576"/>
      <c r="J1192" s="112"/>
      <c r="K1192" s="112"/>
      <c r="L1192" s="89" t="s">
        <v>824</v>
      </c>
      <c r="M1192" s="439">
        <f t="shared" ref="M1192:U1192" si="198">M9</f>
        <v>2123744</v>
      </c>
      <c r="N1192" s="439">
        <f t="shared" si="198"/>
        <v>2100975</v>
      </c>
      <c r="O1192" s="428">
        <f t="shared" si="198"/>
        <v>2091475</v>
      </c>
      <c r="P1192" s="428">
        <f t="shared" si="198"/>
        <v>2084951</v>
      </c>
      <c r="Q1192" s="439">
        <f t="shared" si="198"/>
        <v>2213427</v>
      </c>
      <c r="R1192" s="439">
        <f t="shared" si="198"/>
        <v>2238427</v>
      </c>
      <c r="S1192" s="439">
        <f t="shared" si="198"/>
        <v>2263427</v>
      </c>
      <c r="T1192" s="439">
        <f t="shared" si="198"/>
        <v>2313427</v>
      </c>
      <c r="U1192" s="439">
        <f t="shared" si="198"/>
        <v>2363427</v>
      </c>
    </row>
    <row r="1193" spans="1:21" s="89" customFormat="1" ht="24" customHeight="1">
      <c r="A1193" s="576"/>
      <c r="J1193" s="112"/>
      <c r="K1193" s="112"/>
      <c r="L1193" s="89" t="s">
        <v>825</v>
      </c>
      <c r="M1193" s="268">
        <f t="shared" ref="M1193:U1193" si="199">M10</f>
        <v>1108182</v>
      </c>
      <c r="N1193" s="268">
        <f t="shared" si="199"/>
        <v>1226938</v>
      </c>
      <c r="O1193" s="204">
        <f t="shared" si="199"/>
        <v>1334771</v>
      </c>
      <c r="P1193" s="204">
        <f t="shared" si="199"/>
        <v>1330510</v>
      </c>
      <c r="Q1193" s="268">
        <f t="shared" si="199"/>
        <v>1330767</v>
      </c>
      <c r="R1193" s="268">
        <f t="shared" si="199"/>
        <v>1405767</v>
      </c>
      <c r="S1193" s="268">
        <f t="shared" si="199"/>
        <v>1480767</v>
      </c>
      <c r="T1193" s="268">
        <f t="shared" si="199"/>
        <v>1530767</v>
      </c>
      <c r="U1193" s="268">
        <f t="shared" si="199"/>
        <v>1580767</v>
      </c>
    </row>
    <row r="1194" spans="1:21" s="89" customFormat="1" ht="15" customHeight="1">
      <c r="A1194" s="576"/>
      <c r="J1194" s="112"/>
      <c r="K1194" s="112"/>
      <c r="M1194" s="236"/>
      <c r="N1194" s="236"/>
      <c r="O1194" s="192"/>
      <c r="P1194" s="192"/>
      <c r="Q1194" s="236"/>
      <c r="R1194" s="236"/>
      <c r="S1194" s="236"/>
      <c r="T1194" s="236"/>
      <c r="U1194" s="236"/>
    </row>
    <row r="1195" spans="1:21" s="137" customFormat="1" ht="24" customHeight="1">
      <c r="A1195" s="160"/>
      <c r="J1195" s="160"/>
      <c r="K1195" s="160"/>
      <c r="L1195" s="137" t="s">
        <v>1125</v>
      </c>
      <c r="M1195" s="408">
        <f t="shared" ref="M1195:U1195" si="200">SUM(M1192:M1194)</f>
        <v>3231926</v>
      </c>
      <c r="N1195" s="408">
        <f t="shared" si="200"/>
        <v>3327913</v>
      </c>
      <c r="O1195" s="409">
        <f t="shared" si="200"/>
        <v>3426246</v>
      </c>
      <c r="P1195" s="409">
        <f t="shared" si="200"/>
        <v>3415461</v>
      </c>
      <c r="Q1195" s="408">
        <f>SUM(Q1192:Q1194)</f>
        <v>3544194</v>
      </c>
      <c r="R1195" s="408">
        <f t="shared" si="200"/>
        <v>3644194</v>
      </c>
      <c r="S1195" s="408">
        <f t="shared" si="200"/>
        <v>3744194</v>
      </c>
      <c r="T1195" s="408">
        <f t="shared" si="200"/>
        <v>3844194</v>
      </c>
      <c r="U1195" s="408">
        <f t="shared" si="200"/>
        <v>3944194</v>
      </c>
    </row>
    <row r="1196" spans="1:21" s="109" customFormat="1" ht="24" customHeight="1">
      <c r="A1196" s="160"/>
      <c r="J1196" s="111"/>
      <c r="K1196" s="111"/>
      <c r="M1196" s="348">
        <f>(M1195-3149635)/3024415</f>
        <v>2.7208898249744165E-2</v>
      </c>
      <c r="N1196" s="243">
        <f>(N1195-M1195)/M1195</f>
        <v>2.9699628023661433E-2</v>
      </c>
      <c r="O1196" s="179">
        <f>(O1195-N1195)/N1195</f>
        <v>2.9547947918109638E-2</v>
      </c>
      <c r="P1196" s="179">
        <f>(P1195-N1195)/N1195</f>
        <v>2.630717810231217E-2</v>
      </c>
      <c r="Q1196" s="243">
        <f>(Q1195-P1195)/P1195</f>
        <v>3.7691251634845192E-2</v>
      </c>
      <c r="R1196" s="243">
        <f>(R1195-Q1195)/Q1195</f>
        <v>2.8215159779628317E-2</v>
      </c>
      <c r="S1196" s="243">
        <f>(S1195-R1195)/R1195</f>
        <v>2.7440910116201277E-2</v>
      </c>
      <c r="T1196" s="243">
        <f>(T1195-S1195)/S1195</f>
        <v>2.6708017800359703E-2</v>
      </c>
      <c r="U1196" s="243">
        <f>(U1195-T1195)/T1195</f>
        <v>2.6013255314377995E-2</v>
      </c>
    </row>
    <row r="1197" spans="1:21" s="109" customFormat="1" ht="24" customHeight="1">
      <c r="A1197" s="160"/>
      <c r="J1197" s="111"/>
      <c r="K1197" s="111"/>
      <c r="M1197" s="276"/>
      <c r="N1197" s="276"/>
      <c r="O1197" s="277"/>
      <c r="P1197" s="277"/>
      <c r="Q1197" s="276"/>
      <c r="R1197" s="276"/>
      <c r="S1197" s="276"/>
      <c r="T1197" s="276"/>
      <c r="U1197" s="276"/>
    </row>
    <row r="1198" spans="1:21" s="89" customFormat="1" ht="24" customHeight="1">
      <c r="A1198" s="576"/>
      <c r="G1198" s="142"/>
      <c r="H1198" s="142"/>
      <c r="I1198" s="142"/>
      <c r="J1198" s="142"/>
      <c r="K1198" s="142"/>
      <c r="L1198" s="142" t="s">
        <v>475</v>
      </c>
      <c r="M1198" s="439">
        <f t="shared" ref="M1198:U1198" si="201">M958</f>
        <v>702716</v>
      </c>
      <c r="N1198" s="439">
        <f t="shared" si="201"/>
        <v>736883</v>
      </c>
      <c r="O1198" s="428">
        <f t="shared" si="201"/>
        <v>776734</v>
      </c>
      <c r="P1198" s="428">
        <f t="shared" si="201"/>
        <v>774248</v>
      </c>
      <c r="Q1198" s="439">
        <f t="shared" si="201"/>
        <v>822463</v>
      </c>
      <c r="R1198" s="439">
        <f t="shared" si="201"/>
        <v>863586</v>
      </c>
      <c r="S1198" s="439">
        <f t="shared" si="201"/>
        <v>889494</v>
      </c>
      <c r="T1198" s="439">
        <f t="shared" si="201"/>
        <v>916179</v>
      </c>
      <c r="U1198" s="439">
        <f t="shared" si="201"/>
        <v>943664</v>
      </c>
    </row>
    <row r="1199" spans="1:21" s="89" customFormat="1" ht="24" customHeight="1">
      <c r="A1199" s="576"/>
      <c r="G1199" s="142"/>
      <c r="H1199" s="142"/>
      <c r="I1199" s="142"/>
      <c r="J1199" s="142"/>
      <c r="K1199" s="142"/>
      <c r="L1199" s="142" t="s">
        <v>417</v>
      </c>
      <c r="M1199" s="278">
        <f t="shared" ref="M1199:U1199" si="202">M959</f>
        <v>794715</v>
      </c>
      <c r="N1199" s="278">
        <f t="shared" si="202"/>
        <v>824640</v>
      </c>
      <c r="O1199" s="279">
        <f t="shared" si="202"/>
        <v>836024</v>
      </c>
      <c r="P1199" s="279">
        <f t="shared" si="202"/>
        <v>837560</v>
      </c>
      <c r="Q1199" s="278">
        <f t="shared" si="202"/>
        <v>844771</v>
      </c>
      <c r="R1199" s="278">
        <f t="shared" si="202"/>
        <v>864150</v>
      </c>
      <c r="S1199" s="278">
        <f t="shared" si="202"/>
        <v>861408</v>
      </c>
      <c r="T1199" s="278">
        <f t="shared" si="202"/>
        <v>0</v>
      </c>
      <c r="U1199" s="278">
        <f t="shared" si="202"/>
        <v>0</v>
      </c>
    </row>
    <row r="1200" spans="1:21" s="89" customFormat="1" ht="24" customHeight="1">
      <c r="A1200" s="576"/>
      <c r="G1200" s="142"/>
      <c r="H1200" s="142"/>
      <c r="I1200" s="142"/>
      <c r="J1200" s="142"/>
      <c r="K1200" s="142"/>
      <c r="L1200" s="143" t="s">
        <v>951</v>
      </c>
      <c r="M1200" s="408">
        <f>M1198+M1199</f>
        <v>1497431</v>
      </c>
      <c r="N1200" s="408">
        <f t="shared" ref="N1200:U1200" si="203">N1198+N1199</f>
        <v>1561523</v>
      </c>
      <c r="O1200" s="409">
        <f t="shared" si="203"/>
        <v>1612758</v>
      </c>
      <c r="P1200" s="409">
        <f t="shared" si="203"/>
        <v>1611808</v>
      </c>
      <c r="Q1200" s="408">
        <f t="shared" si="203"/>
        <v>1667234</v>
      </c>
      <c r="R1200" s="408">
        <f t="shared" si="203"/>
        <v>1727736</v>
      </c>
      <c r="S1200" s="408">
        <f t="shared" si="203"/>
        <v>1750902</v>
      </c>
      <c r="T1200" s="408">
        <f t="shared" si="203"/>
        <v>916179</v>
      </c>
      <c r="U1200" s="408">
        <f t="shared" si="203"/>
        <v>943664</v>
      </c>
    </row>
    <row r="1201" spans="1:21" s="89" customFormat="1" ht="24" customHeight="1">
      <c r="A1201" s="576"/>
      <c r="G1201" s="142"/>
      <c r="H1201" s="142"/>
      <c r="I1201" s="142"/>
      <c r="J1201" s="142"/>
      <c r="K1201" s="142"/>
      <c r="L1201" s="143"/>
      <c r="M1201" s="281"/>
      <c r="N1201" s="281"/>
      <c r="O1201" s="282"/>
      <c r="P1201" s="282"/>
      <c r="Q1201" s="281"/>
      <c r="R1201" s="281"/>
      <c r="S1201" s="281"/>
      <c r="T1201" s="281"/>
      <c r="U1201" s="281"/>
    </row>
    <row r="1202" spans="1:21" s="89" customFormat="1" ht="24" customHeight="1">
      <c r="A1202" s="576"/>
      <c r="G1202" s="142"/>
      <c r="H1202" s="142"/>
      <c r="I1202" s="142"/>
      <c r="J1202" s="142"/>
      <c r="K1202" s="142"/>
      <c r="L1202" s="143" t="s">
        <v>960</v>
      </c>
      <c r="M1202" s="443">
        <f t="shared" ref="M1202:U1202" si="204">M277+M294</f>
        <v>31522</v>
      </c>
      <c r="N1202" s="443">
        <f t="shared" si="204"/>
        <v>36397</v>
      </c>
      <c r="O1202" s="459">
        <f t="shared" si="204"/>
        <v>40000</v>
      </c>
      <c r="P1202" s="459">
        <f t="shared" si="204"/>
        <v>36397</v>
      </c>
      <c r="Q1202" s="443">
        <f t="shared" si="204"/>
        <v>42500</v>
      </c>
      <c r="R1202" s="443">
        <f t="shared" si="204"/>
        <v>46000</v>
      </c>
      <c r="S1202" s="443">
        <f t="shared" si="204"/>
        <v>48500</v>
      </c>
      <c r="T1202" s="443">
        <f t="shared" si="204"/>
        <v>48500</v>
      </c>
      <c r="U1202" s="443">
        <f t="shared" si="204"/>
        <v>48500</v>
      </c>
    </row>
    <row r="1203" spans="1:21" s="89" customFormat="1" ht="24" customHeight="1">
      <c r="A1203" s="576"/>
      <c r="G1203" s="142"/>
      <c r="H1203" s="142"/>
      <c r="I1203" s="142"/>
      <c r="J1203" s="142"/>
      <c r="K1203" s="142"/>
      <c r="L1203" s="143"/>
      <c r="M1203" s="244">
        <f>(M1202-29020)/29020</f>
        <v>8.6216402481047547E-2</v>
      </c>
      <c r="N1203" s="244">
        <f>(N1202-M1202)/M1202</f>
        <v>0.15465389251951017</v>
      </c>
      <c r="O1203" s="283">
        <f>(O1202-N1202)/N1202</f>
        <v>9.8991675138060828E-2</v>
      </c>
      <c r="P1203" s="283">
        <f>(P1202-N1202)/N1202</f>
        <v>0</v>
      </c>
      <c r="Q1203" s="244">
        <f>(Q1202-P1202)/P1202</f>
        <v>0.16767865483418964</v>
      </c>
      <c r="R1203" s="244">
        <f>(R1202-Q1202)/Q1202</f>
        <v>8.2352941176470587E-2</v>
      </c>
      <c r="S1203" s="244">
        <v>0</v>
      </c>
      <c r="T1203" s="244">
        <v>0</v>
      </c>
      <c r="U1203" s="244">
        <v>0</v>
      </c>
    </row>
    <row r="1204" spans="1:21" s="89" customFormat="1" ht="24" customHeight="1">
      <c r="A1204" s="576"/>
      <c r="G1204" s="142"/>
      <c r="H1204" s="142"/>
      <c r="I1204" s="142"/>
      <c r="J1204" s="142"/>
      <c r="K1204" s="142"/>
      <c r="L1204" s="143"/>
      <c r="M1204" s="281"/>
      <c r="N1204" s="281"/>
      <c r="O1204" s="282"/>
      <c r="P1204" s="282"/>
      <c r="Q1204" s="281"/>
      <c r="R1204" s="281"/>
      <c r="S1204" s="281"/>
      <c r="T1204" s="281"/>
      <c r="U1204" s="281"/>
    </row>
    <row r="1205" spans="1:21" s="110" customFormat="1" ht="24" customHeight="1">
      <c r="A1205" s="562"/>
      <c r="B1205" s="703" t="s">
        <v>1077</v>
      </c>
      <c r="C1205" s="703"/>
      <c r="D1205" s="703"/>
      <c r="E1205" s="703"/>
      <c r="F1205" s="703"/>
      <c r="G1205" s="703"/>
      <c r="H1205" s="703"/>
      <c r="I1205" s="703"/>
      <c r="J1205" s="703"/>
      <c r="K1205" s="703"/>
      <c r="L1205" s="703"/>
      <c r="M1205" s="205"/>
      <c r="N1205" s="205"/>
      <c r="O1205" s="205"/>
      <c r="P1205" s="205"/>
      <c r="Q1205" s="205"/>
      <c r="R1205" s="202"/>
      <c r="S1205" s="202"/>
      <c r="T1205" s="202"/>
      <c r="U1205" s="202"/>
    </row>
    <row r="1206" spans="1:21" s="89" customFormat="1" ht="24" customHeight="1">
      <c r="A1206" s="576"/>
      <c r="G1206" s="142"/>
      <c r="H1206" s="142"/>
      <c r="I1206" s="142"/>
      <c r="J1206" s="142"/>
      <c r="K1206" s="142"/>
      <c r="L1206" s="151" t="s">
        <v>961</v>
      </c>
      <c r="M1206" s="443">
        <f t="shared" ref="M1206:U1206" si="205">M1055+M1078+M1099</f>
        <v>303814</v>
      </c>
      <c r="N1206" s="443">
        <f t="shared" si="205"/>
        <v>269441</v>
      </c>
      <c r="O1206" s="459">
        <f t="shared" si="205"/>
        <v>379253</v>
      </c>
      <c r="P1206" s="459">
        <f t="shared" si="205"/>
        <v>425925</v>
      </c>
      <c r="Q1206" s="443">
        <f t="shared" si="205"/>
        <v>427486</v>
      </c>
      <c r="R1206" s="443">
        <f t="shared" si="205"/>
        <v>438173</v>
      </c>
      <c r="S1206" s="443">
        <f t="shared" si="205"/>
        <v>449127</v>
      </c>
      <c r="T1206" s="443">
        <f t="shared" si="205"/>
        <v>460356</v>
      </c>
      <c r="U1206" s="443">
        <f t="shared" si="205"/>
        <v>471866</v>
      </c>
    </row>
    <row r="1207" spans="1:21" s="89" customFormat="1" ht="24" customHeight="1">
      <c r="A1207" s="576"/>
      <c r="G1207" s="142"/>
      <c r="H1207" s="142"/>
      <c r="I1207" s="142"/>
      <c r="J1207" s="142"/>
      <c r="K1207" s="142"/>
      <c r="L1207" s="143"/>
      <c r="M1207" s="244">
        <f>(M1206-277335)/277335</f>
        <v>9.5476589683956226E-2</v>
      </c>
      <c r="N1207" s="244">
        <f>(N1206-M1206)/M1206</f>
        <v>-0.11313830172408118</v>
      </c>
      <c r="O1207" s="283">
        <f>(O1206-N1206)/N1206</f>
        <v>0.40755490070182343</v>
      </c>
      <c r="P1207" s="283">
        <f>(P1206-N1206)/N1206</f>
        <v>0.58077278513663477</v>
      </c>
      <c r="Q1207" s="244">
        <f>(Q1206-P1206)/P1206</f>
        <v>3.6649644890532369E-3</v>
      </c>
      <c r="R1207" s="244">
        <f>(R1206-Q1206)/Q1206</f>
        <v>2.4999649111315927E-2</v>
      </c>
      <c r="S1207" s="244">
        <v>0</v>
      </c>
      <c r="T1207" s="244">
        <v>0</v>
      </c>
      <c r="U1207" s="244">
        <v>0</v>
      </c>
    </row>
    <row r="1208" spans="1:21" s="89" customFormat="1" ht="24" customHeight="1">
      <c r="A1208" s="576"/>
      <c r="G1208" s="142"/>
      <c r="H1208" s="142"/>
      <c r="I1208" s="142"/>
      <c r="J1208" s="142"/>
      <c r="K1208" s="142"/>
      <c r="L1208" s="143"/>
      <c r="M1208" s="281"/>
      <c r="N1208" s="281"/>
      <c r="O1208" s="282"/>
      <c r="P1208" s="282"/>
      <c r="Q1208" s="281"/>
      <c r="R1208" s="281"/>
      <c r="S1208" s="281"/>
      <c r="T1208" s="281"/>
      <c r="U1208" s="281"/>
    </row>
    <row r="1209" spans="1:21" s="89" customFormat="1" ht="24" customHeight="1">
      <c r="A1209" s="576"/>
      <c r="G1209" s="142"/>
      <c r="H1209" s="142"/>
      <c r="I1209" s="142"/>
      <c r="J1209" s="142"/>
      <c r="K1209" s="142"/>
      <c r="L1209" s="143" t="s">
        <v>962</v>
      </c>
      <c r="M1209" s="443">
        <f t="shared" ref="M1209:U1209" si="206">M29</f>
        <v>131199</v>
      </c>
      <c r="N1209" s="443">
        <f t="shared" si="206"/>
        <v>52363</v>
      </c>
      <c r="O1209" s="459">
        <f t="shared" si="206"/>
        <v>54975</v>
      </c>
      <c r="P1209" s="459">
        <f t="shared" si="206"/>
        <v>54872</v>
      </c>
      <c r="Q1209" s="443">
        <f t="shared" si="206"/>
        <v>116077</v>
      </c>
      <c r="R1209" s="443">
        <f t="shared" si="206"/>
        <v>55000</v>
      </c>
      <c r="S1209" s="443">
        <f t="shared" si="206"/>
        <v>55000</v>
      </c>
      <c r="T1209" s="443">
        <f t="shared" si="206"/>
        <v>55000</v>
      </c>
      <c r="U1209" s="443">
        <f t="shared" si="206"/>
        <v>55000</v>
      </c>
    </row>
    <row r="1210" spans="1:21" s="89" customFormat="1" ht="24" customHeight="1">
      <c r="A1210" s="576"/>
      <c r="G1210" s="142"/>
      <c r="H1210" s="142"/>
      <c r="I1210" s="142"/>
      <c r="J1210" s="142"/>
      <c r="K1210" s="142"/>
      <c r="L1210" s="143"/>
      <c r="M1210" s="244">
        <f>(M1209-128668)/128668</f>
        <v>1.9670780613672396E-2</v>
      </c>
      <c r="N1210" s="244">
        <f>(N1209-M1209)/M1209</f>
        <v>-0.60088872628602352</v>
      </c>
      <c r="O1210" s="283">
        <f>(O1209-N1209)/N1209</f>
        <v>4.9882550655997553E-2</v>
      </c>
      <c r="P1210" s="283">
        <f>(P1209-N1209)/N1209</f>
        <v>4.7915512862135475E-2</v>
      </c>
      <c r="Q1210" s="244">
        <f>(Q1209-P1209)/P1209</f>
        <v>1.1154140545268989</v>
      </c>
      <c r="R1210" s="244">
        <f>(R1209-Q1209)/Q1209</f>
        <v>-0.52617658967754166</v>
      </c>
      <c r="S1210" s="244">
        <v>0</v>
      </c>
      <c r="T1210" s="244">
        <v>0</v>
      </c>
      <c r="U1210" s="244">
        <v>0</v>
      </c>
    </row>
    <row r="1211" spans="1:21" s="89" customFormat="1" ht="24" customHeight="1">
      <c r="A1211" s="576"/>
      <c r="G1211" s="99"/>
      <c r="H1211" s="99"/>
      <c r="I1211" s="99"/>
      <c r="J1211" s="99"/>
      <c r="K1211" s="99"/>
      <c r="L1211" s="99"/>
      <c r="M1211" s="227"/>
      <c r="N1211" s="227"/>
      <c r="O1211" s="169"/>
      <c r="P1211" s="169"/>
      <c r="Q1211" s="227"/>
      <c r="R1211" s="227"/>
      <c r="S1211" s="227"/>
      <c r="T1211" s="227"/>
      <c r="U1211" s="227"/>
    </row>
    <row r="1212" spans="1:21" s="89" customFormat="1" ht="24" customHeight="1">
      <c r="A1212" s="576"/>
      <c r="B1212" s="93"/>
      <c r="G1212" s="99"/>
      <c r="H1212" s="99"/>
      <c r="I1212" s="99"/>
      <c r="J1212" s="99"/>
      <c r="K1212" s="99"/>
      <c r="L1212" s="99" t="s">
        <v>952</v>
      </c>
      <c r="M1212" s="444">
        <f>M1195+M1200+M1202+M1206+M1209</f>
        <v>5195892</v>
      </c>
      <c r="N1212" s="444">
        <f t="shared" ref="N1212:U1212" si="207">N1195+N1200+N1202+N1206+N1209</f>
        <v>5247637</v>
      </c>
      <c r="O1212" s="460">
        <f t="shared" si="207"/>
        <v>5513232</v>
      </c>
      <c r="P1212" s="460">
        <f t="shared" si="207"/>
        <v>5544463</v>
      </c>
      <c r="Q1212" s="444">
        <f t="shared" si="207"/>
        <v>5797491</v>
      </c>
      <c r="R1212" s="444">
        <f t="shared" si="207"/>
        <v>5911103</v>
      </c>
      <c r="S1212" s="444">
        <f t="shared" si="207"/>
        <v>6047723</v>
      </c>
      <c r="T1212" s="444">
        <f t="shared" si="207"/>
        <v>5324229</v>
      </c>
      <c r="U1212" s="444">
        <f t="shared" si="207"/>
        <v>5463224</v>
      </c>
    </row>
    <row r="1213" spans="1:21" s="89" customFormat="1" ht="24" customHeight="1">
      <c r="A1213" s="576"/>
      <c r="G1213" s="99"/>
      <c r="H1213" s="99"/>
      <c r="I1213" s="99"/>
      <c r="J1213" s="99"/>
      <c r="K1213" s="99"/>
      <c r="L1213" s="99"/>
      <c r="M1213" s="243">
        <f>(M1212-5041745)/5041745</f>
        <v>3.0574136534076993E-2</v>
      </c>
      <c r="N1213" s="243">
        <f>(N1212-M1212)/M1212</f>
        <v>9.9588290133821103E-3</v>
      </c>
      <c r="O1213" s="179">
        <f>(O1212-N1212)/N1212</f>
        <v>5.061230416661823E-2</v>
      </c>
      <c r="P1213" s="179">
        <f>(P1212-N1212)/N1212</f>
        <v>5.6563744786462936E-2</v>
      </c>
      <c r="Q1213" s="243">
        <f>(Q1212-P1212)/P1212</f>
        <v>4.5636159895015981E-2</v>
      </c>
      <c r="R1213" s="243">
        <f>(R1212-Q1212)/Q1212</f>
        <v>1.9596753147180391E-2</v>
      </c>
      <c r="S1213" s="243">
        <f>(S1212-R1212)/R1212</f>
        <v>2.3112437729472825E-2</v>
      </c>
      <c r="T1213" s="243">
        <f>(T1212-S1212)/S1212</f>
        <v>-0.11963080981056838</v>
      </c>
      <c r="U1213" s="243">
        <f>(U1212-T1212)/T1212</f>
        <v>2.6106127290918553E-2</v>
      </c>
    </row>
    <row r="1214" spans="1:21" s="89" customFormat="1" ht="24" customHeight="1">
      <c r="A1214" s="576"/>
      <c r="G1214" s="99"/>
      <c r="H1214" s="99"/>
      <c r="I1214" s="99"/>
      <c r="J1214" s="99"/>
      <c r="K1214" s="99"/>
      <c r="L1214" s="99"/>
      <c r="M1214" s="243"/>
      <c r="N1214" s="243"/>
      <c r="O1214" s="179"/>
      <c r="P1214" s="275"/>
      <c r="Q1214" s="243"/>
      <c r="R1214" s="243"/>
      <c r="S1214" s="243"/>
      <c r="T1214" s="243"/>
      <c r="U1214" s="243"/>
    </row>
    <row r="1215" spans="1:21" s="658" customFormat="1" ht="24" customHeight="1">
      <c r="A1215" s="657"/>
      <c r="G1215" s="657"/>
      <c r="H1215" s="657"/>
      <c r="I1215" s="657"/>
      <c r="J1215" s="657"/>
      <c r="K1215" s="657"/>
      <c r="L1215" s="657"/>
      <c r="M1215" s="243"/>
      <c r="N1215" s="243"/>
      <c r="O1215" s="179"/>
      <c r="P1215" s="275"/>
      <c r="Q1215" s="243"/>
      <c r="R1215" s="243"/>
      <c r="S1215" s="243"/>
      <c r="T1215" s="243"/>
      <c r="U1215" s="243"/>
    </row>
    <row r="1216" spans="1:21" s="89" customFormat="1" ht="24" customHeight="1">
      <c r="A1216" s="576"/>
      <c r="G1216" s="710" t="s">
        <v>1122</v>
      </c>
      <c r="H1216" s="710"/>
      <c r="I1216" s="710"/>
      <c r="J1216" s="710"/>
      <c r="K1216" s="710"/>
      <c r="L1216" s="710"/>
      <c r="M1216" s="445">
        <f>M1217+M1218</f>
        <v>4856405</v>
      </c>
      <c r="N1216" s="445">
        <f t="shared" ref="N1216:U1216" si="208">N1217+N1218</f>
        <v>4742640</v>
      </c>
      <c r="O1216" s="461">
        <f t="shared" si="208"/>
        <v>4404851</v>
      </c>
      <c r="P1216" s="461">
        <f t="shared" si="208"/>
        <v>4380292</v>
      </c>
      <c r="Q1216" s="445">
        <f>Q1217+Q1218</f>
        <v>4618420</v>
      </c>
      <c r="R1216" s="445">
        <f t="shared" si="208"/>
        <v>3174041</v>
      </c>
      <c r="S1216" s="445">
        <f>S1217+S1218</f>
        <v>4332763</v>
      </c>
      <c r="T1216" s="445">
        <f t="shared" si="208"/>
        <v>4146628</v>
      </c>
      <c r="U1216" s="445">
        <f t="shared" si="208"/>
        <v>2740289</v>
      </c>
    </row>
    <row r="1217" spans="1:21" s="89" customFormat="1" ht="24" customHeight="1">
      <c r="A1217" s="576"/>
      <c r="G1217" s="702" t="s">
        <v>869</v>
      </c>
      <c r="H1217" s="702"/>
      <c r="I1217" s="702"/>
      <c r="J1217" s="702"/>
      <c r="K1217" s="702"/>
      <c r="L1217" s="702"/>
      <c r="M1217" s="222">
        <f t="shared" ref="M1217:U1217" si="209">M410+M550+M565+M706+M703+M799+M802+M808+M1067+M697+M605+M1088+M1064+M700+M468+M471+M474+M805</f>
        <v>3856504</v>
      </c>
      <c r="N1217" s="222">
        <f t="shared" si="209"/>
        <v>3890333</v>
      </c>
      <c r="O1217" s="284">
        <f t="shared" si="209"/>
        <v>3544947</v>
      </c>
      <c r="P1217" s="284">
        <f t="shared" si="209"/>
        <v>3544947</v>
      </c>
      <c r="Q1217" s="222">
        <f t="shared" si="209"/>
        <v>3934756</v>
      </c>
      <c r="R1217" s="222">
        <f t="shared" si="209"/>
        <v>2594680</v>
      </c>
      <c r="S1217" s="222">
        <f t="shared" si="209"/>
        <v>2659816</v>
      </c>
      <c r="T1217" s="222">
        <f t="shared" si="209"/>
        <v>2905076</v>
      </c>
      <c r="U1217" s="222">
        <f t="shared" si="209"/>
        <v>1572981</v>
      </c>
    </row>
    <row r="1218" spans="1:21" s="89" customFormat="1" ht="24" customHeight="1">
      <c r="A1218" s="576"/>
      <c r="G1218" s="702" t="s">
        <v>870</v>
      </c>
      <c r="H1218" s="702"/>
      <c r="I1218" s="702"/>
      <c r="J1218" s="702"/>
      <c r="K1218" s="702"/>
      <c r="L1218" s="702"/>
      <c r="M1218" s="222">
        <f t="shared" ref="M1218:U1218" si="210">M411+M551+M566+M707+M704+M800+M803+M809+M1068+M698+M606+M1089+M1065+M701+M469+M472+M475+M806</f>
        <v>999901</v>
      </c>
      <c r="N1218" s="222">
        <f t="shared" si="210"/>
        <v>852307</v>
      </c>
      <c r="O1218" s="284">
        <f t="shared" si="210"/>
        <v>859904</v>
      </c>
      <c r="P1218" s="284">
        <f t="shared" si="210"/>
        <v>835345</v>
      </c>
      <c r="Q1218" s="222">
        <f t="shared" si="210"/>
        <v>683664</v>
      </c>
      <c r="R1218" s="222">
        <f t="shared" si="210"/>
        <v>579361</v>
      </c>
      <c r="S1218" s="222">
        <f t="shared" si="210"/>
        <v>1672947</v>
      </c>
      <c r="T1218" s="222">
        <f t="shared" si="210"/>
        <v>1241552</v>
      </c>
      <c r="U1218" s="222">
        <f t="shared" si="210"/>
        <v>1167308</v>
      </c>
    </row>
    <row r="1219" spans="1:21" s="89" customFormat="1" ht="24" customHeight="1">
      <c r="A1219" s="576"/>
      <c r="G1219" s="140"/>
      <c r="H1219" s="140"/>
      <c r="I1219" s="140"/>
      <c r="J1219" s="140"/>
      <c r="K1219" s="140"/>
      <c r="L1219" s="140"/>
      <c r="M1219" s="222"/>
      <c r="N1219" s="222"/>
      <c r="O1219" s="284"/>
      <c r="P1219" s="284"/>
      <c r="Q1219" s="222"/>
      <c r="R1219" s="222"/>
      <c r="S1219" s="222"/>
      <c r="T1219" s="222"/>
      <c r="U1219" s="222"/>
    </row>
    <row r="1220" spans="1:21" s="89" customFormat="1" ht="24" customHeight="1">
      <c r="A1220" s="576"/>
      <c r="M1220" s="226"/>
      <c r="N1220" s="226"/>
      <c r="O1220" s="186"/>
      <c r="P1220" s="186"/>
      <c r="Q1220" s="226"/>
      <c r="R1220" s="226"/>
      <c r="S1220" s="226"/>
      <c r="T1220" s="226"/>
      <c r="U1220" s="226"/>
    </row>
    <row r="1221" spans="1:21" s="1" customFormat="1" ht="24" customHeight="1">
      <c r="A1221" s="580"/>
      <c r="H1221" s="6" t="s">
        <v>826</v>
      </c>
      <c r="I1221" s="130"/>
      <c r="J1221" s="130"/>
      <c r="K1221" s="130"/>
      <c r="M1221" s="410">
        <f t="shared" ref="M1221:U1221" si="211">M37+M339</f>
        <v>435021</v>
      </c>
      <c r="N1221" s="410">
        <f t="shared" si="211"/>
        <v>735653</v>
      </c>
      <c r="O1221" s="407">
        <f t="shared" si="211"/>
        <v>450000</v>
      </c>
      <c r="P1221" s="407">
        <f t="shared" si="211"/>
        <v>1125000</v>
      </c>
      <c r="Q1221" s="410">
        <f t="shared" si="211"/>
        <v>500000</v>
      </c>
      <c r="R1221" s="410">
        <f t="shared" si="211"/>
        <v>450000</v>
      </c>
      <c r="S1221" s="410">
        <f t="shared" si="211"/>
        <v>400000</v>
      </c>
      <c r="T1221" s="410">
        <f t="shared" si="211"/>
        <v>400000</v>
      </c>
      <c r="U1221" s="410">
        <f t="shared" si="211"/>
        <v>400000</v>
      </c>
    </row>
    <row r="1222" spans="1:21" s="1" customFormat="1" ht="24" customHeight="1">
      <c r="A1222" s="580"/>
      <c r="H1222" s="6"/>
      <c r="I1222" s="130"/>
      <c r="J1222" s="130"/>
      <c r="K1222" s="130"/>
      <c r="M1222" s="232"/>
      <c r="N1222" s="232"/>
      <c r="O1222" s="171"/>
      <c r="P1222" s="171"/>
      <c r="Q1222" s="232"/>
      <c r="R1222" s="232"/>
      <c r="S1222" s="232"/>
      <c r="T1222" s="232"/>
      <c r="U1222" s="232"/>
    </row>
    <row r="1223" spans="1:21" s="118" customFormat="1" ht="24" customHeight="1">
      <c r="A1223" s="135"/>
      <c r="H1223" s="119"/>
      <c r="I1223" s="120"/>
      <c r="J1223" s="120"/>
      <c r="K1223" s="120"/>
      <c r="M1223" s="285"/>
      <c r="N1223" s="285"/>
      <c r="O1223" s="286"/>
      <c r="P1223" s="286"/>
      <c r="Q1223" s="285"/>
      <c r="R1223" s="285"/>
      <c r="S1223" s="285"/>
      <c r="T1223" s="285"/>
      <c r="U1223" s="285"/>
    </row>
    <row r="1224" spans="1:21" s="116" customFormat="1" ht="24" customHeight="1">
      <c r="A1224" s="577"/>
      <c r="B1224" s="703" t="s">
        <v>891</v>
      </c>
      <c r="C1224" s="703"/>
      <c r="D1224" s="703"/>
      <c r="E1224" s="703"/>
      <c r="F1224" s="703"/>
      <c r="G1224" s="703"/>
      <c r="H1224" s="703"/>
      <c r="I1224" s="703"/>
      <c r="J1224" s="703"/>
      <c r="K1224" s="703"/>
      <c r="L1224" s="703"/>
      <c r="M1224" s="273"/>
      <c r="N1224" s="273"/>
      <c r="O1224" s="273"/>
      <c r="P1224" s="273"/>
      <c r="Q1224" s="273"/>
      <c r="R1224" s="202"/>
      <c r="S1224" s="202"/>
      <c r="T1224" s="202"/>
      <c r="U1224" s="202"/>
    </row>
    <row r="1225" spans="1:21" s="89" customFormat="1" ht="24" customHeight="1">
      <c r="A1225" s="576"/>
      <c r="J1225" s="704" t="s">
        <v>573</v>
      </c>
      <c r="K1225" s="704"/>
      <c r="L1225" s="98" t="s">
        <v>594</v>
      </c>
      <c r="M1225" s="226"/>
      <c r="N1225" s="226"/>
      <c r="O1225" s="186"/>
      <c r="P1225" s="186"/>
      <c r="Q1225" s="226"/>
      <c r="R1225" s="226"/>
      <c r="S1225" s="226"/>
      <c r="T1225" s="226"/>
      <c r="U1225" s="226"/>
    </row>
    <row r="1226" spans="1:21" s="89" customFormat="1" ht="24" customHeight="1">
      <c r="A1226" s="576"/>
      <c r="L1226" s="89" t="s">
        <v>691</v>
      </c>
      <c r="M1226" s="439">
        <f t="shared" ref="M1226:U1226" si="212">M67+M92+M113+M114+M115+M116+M154+M180+M638+M748+M885+M913+M449</f>
        <v>6413175</v>
      </c>
      <c r="N1226" s="439">
        <f t="shared" si="212"/>
        <v>6298514</v>
      </c>
      <c r="O1226" s="428">
        <f t="shared" si="212"/>
        <v>7114502</v>
      </c>
      <c r="P1226" s="428">
        <f t="shared" si="212"/>
        <v>6931421</v>
      </c>
      <c r="Q1226" s="439">
        <f t="shared" si="212"/>
        <v>7533916</v>
      </c>
      <c r="R1226" s="439">
        <f t="shared" si="212"/>
        <v>7793333</v>
      </c>
      <c r="S1226" s="439">
        <f t="shared" si="212"/>
        <v>8098790</v>
      </c>
      <c r="T1226" s="439">
        <f t="shared" si="212"/>
        <v>8415383</v>
      </c>
      <c r="U1226" s="439">
        <f t="shared" si="212"/>
        <v>8743497</v>
      </c>
    </row>
    <row r="1227" spans="1:21" s="89" customFormat="1" ht="24" customHeight="1">
      <c r="A1227" s="576"/>
      <c r="L1227" s="89" t="s">
        <v>692</v>
      </c>
      <c r="M1227" s="226">
        <f t="shared" ref="M1227:U1227" si="213">M119+M182+M640+M750+M887+M220</f>
        <v>136347</v>
      </c>
      <c r="N1227" s="226">
        <f t="shared" si="213"/>
        <v>131985</v>
      </c>
      <c r="O1227" s="186">
        <f t="shared" si="213"/>
        <v>161500</v>
      </c>
      <c r="P1227" s="186">
        <f t="shared" si="213"/>
        <v>151953</v>
      </c>
      <c r="Q1227" s="226">
        <f t="shared" si="213"/>
        <v>163000</v>
      </c>
      <c r="R1227" s="226">
        <f t="shared" si="213"/>
        <v>163000</v>
      </c>
      <c r="S1227" s="226">
        <f t="shared" si="213"/>
        <v>153000</v>
      </c>
      <c r="T1227" s="226">
        <f t="shared" si="213"/>
        <v>153000</v>
      </c>
      <c r="U1227" s="226">
        <f t="shared" si="213"/>
        <v>153000</v>
      </c>
    </row>
    <row r="1228" spans="1:21" s="89" customFormat="1" ht="24" customHeight="1">
      <c r="A1228" s="576"/>
      <c r="L1228" s="89" t="s">
        <v>693</v>
      </c>
      <c r="M1228" s="272">
        <f t="shared" ref="M1228:U1228" si="214">M64+M65+M66+M117+M118+M886+M915+M916+M917+M639+M914+M181+M749</f>
        <v>310330</v>
      </c>
      <c r="N1228" s="272">
        <f t="shared" si="214"/>
        <v>181043</v>
      </c>
      <c r="O1228" s="287">
        <f t="shared" si="214"/>
        <v>390160</v>
      </c>
      <c r="P1228" s="287">
        <f t="shared" si="214"/>
        <v>317658</v>
      </c>
      <c r="Q1228" s="272">
        <f t="shared" si="214"/>
        <v>422750</v>
      </c>
      <c r="R1228" s="272">
        <f t="shared" si="214"/>
        <v>457550</v>
      </c>
      <c r="S1228" s="272">
        <f t="shared" si="214"/>
        <v>460718</v>
      </c>
      <c r="T1228" s="272">
        <f t="shared" si="214"/>
        <v>463910</v>
      </c>
      <c r="U1228" s="272">
        <f t="shared" si="214"/>
        <v>467124</v>
      </c>
    </row>
    <row r="1229" spans="1:21" s="98" customFormat="1" ht="24" customHeight="1">
      <c r="A1229" s="576"/>
      <c r="L1229" s="98" t="s">
        <v>670</v>
      </c>
      <c r="M1229" s="408">
        <f t="shared" ref="M1229:U1229" si="215">SUM(M1226:M1228)</f>
        <v>6859852</v>
      </c>
      <c r="N1229" s="408">
        <f t="shared" si="215"/>
        <v>6611542</v>
      </c>
      <c r="O1229" s="409">
        <f t="shared" si="215"/>
        <v>7666162</v>
      </c>
      <c r="P1229" s="409">
        <f t="shared" si="215"/>
        <v>7401032</v>
      </c>
      <c r="Q1229" s="408">
        <f t="shared" si="215"/>
        <v>8119666</v>
      </c>
      <c r="R1229" s="408">
        <f t="shared" si="215"/>
        <v>8413883</v>
      </c>
      <c r="S1229" s="408">
        <f t="shared" si="215"/>
        <v>8712508</v>
      </c>
      <c r="T1229" s="408">
        <f t="shared" si="215"/>
        <v>9032293</v>
      </c>
      <c r="U1229" s="408">
        <f t="shared" si="215"/>
        <v>9363621</v>
      </c>
    </row>
    <row r="1230" spans="1:21" s="89" customFormat="1" ht="24" customHeight="1">
      <c r="A1230" s="576"/>
      <c r="M1230" s="226"/>
      <c r="N1230" s="226"/>
      <c r="O1230" s="186"/>
      <c r="P1230" s="186"/>
      <c r="Q1230" s="226"/>
      <c r="R1230" s="226"/>
      <c r="S1230" s="226"/>
      <c r="T1230" s="226"/>
      <c r="U1230" s="226"/>
    </row>
    <row r="1231" spans="1:21" s="89" customFormat="1" ht="24" customHeight="1">
      <c r="A1231" s="576"/>
      <c r="J1231" s="689" t="s">
        <v>574</v>
      </c>
      <c r="K1231" s="689"/>
      <c r="L1231" s="98" t="s">
        <v>594</v>
      </c>
      <c r="M1231" s="226"/>
      <c r="N1231" s="226"/>
      <c r="O1231" s="186"/>
      <c r="P1231" s="186"/>
      <c r="Q1231" s="226"/>
      <c r="R1231" s="226"/>
      <c r="S1231" s="226"/>
      <c r="T1231" s="226"/>
      <c r="U1231" s="226"/>
    </row>
    <row r="1232" spans="1:21" s="89" customFormat="1" ht="24" customHeight="1">
      <c r="A1232" s="576"/>
      <c r="L1232" s="89" t="s">
        <v>691</v>
      </c>
      <c r="M1232" s="439">
        <f t="shared" ref="M1232:U1232" si="216">M979</f>
        <v>275622</v>
      </c>
      <c r="N1232" s="439">
        <f t="shared" si="216"/>
        <v>274146</v>
      </c>
      <c r="O1232" s="428">
        <f t="shared" si="216"/>
        <v>286470</v>
      </c>
      <c r="P1232" s="428">
        <f t="shared" si="216"/>
        <v>276000</v>
      </c>
      <c r="Q1232" s="439">
        <f t="shared" si="216"/>
        <v>291111</v>
      </c>
      <c r="R1232" s="439">
        <f t="shared" si="216"/>
        <v>299844</v>
      </c>
      <c r="S1232" s="439">
        <f t="shared" si="216"/>
        <v>308839</v>
      </c>
      <c r="T1232" s="439">
        <f t="shared" si="216"/>
        <v>318104</v>
      </c>
      <c r="U1232" s="439">
        <f t="shared" si="216"/>
        <v>327647</v>
      </c>
    </row>
    <row r="1233" spans="1:21" s="89" customFormat="1" ht="24" customHeight="1">
      <c r="A1233" s="576"/>
      <c r="L1233" s="89" t="s">
        <v>693</v>
      </c>
      <c r="M1233" s="272">
        <f t="shared" ref="M1233:U1233" si="217">M980</f>
        <v>166497</v>
      </c>
      <c r="N1233" s="272">
        <f t="shared" si="217"/>
        <v>151629</v>
      </c>
      <c r="O1233" s="288">
        <f t="shared" si="217"/>
        <v>195544</v>
      </c>
      <c r="P1233" s="288">
        <f t="shared" si="217"/>
        <v>171000</v>
      </c>
      <c r="Q1233" s="289">
        <f t="shared" si="217"/>
        <v>213000</v>
      </c>
      <c r="R1233" s="289">
        <f t="shared" si="217"/>
        <v>223000</v>
      </c>
      <c r="S1233" s="289">
        <f t="shared" si="217"/>
        <v>234000</v>
      </c>
      <c r="T1233" s="289">
        <f t="shared" si="217"/>
        <v>244000</v>
      </c>
      <c r="U1233" s="289">
        <f t="shared" si="217"/>
        <v>251000</v>
      </c>
    </row>
    <row r="1234" spans="1:21" s="98" customFormat="1" ht="24" customHeight="1">
      <c r="A1234" s="576"/>
      <c r="L1234" s="98" t="s">
        <v>670</v>
      </c>
      <c r="M1234" s="408">
        <f t="shared" ref="M1234:U1234" si="218">SUM(M1232:M1233)</f>
        <v>442119</v>
      </c>
      <c r="N1234" s="408">
        <f t="shared" si="218"/>
        <v>425775</v>
      </c>
      <c r="O1234" s="409">
        <f t="shared" si="218"/>
        <v>482014</v>
      </c>
      <c r="P1234" s="409">
        <f t="shared" si="218"/>
        <v>447000</v>
      </c>
      <c r="Q1234" s="408">
        <f t="shared" si="218"/>
        <v>504111</v>
      </c>
      <c r="R1234" s="408">
        <f t="shared" si="218"/>
        <v>522844</v>
      </c>
      <c r="S1234" s="408">
        <f t="shared" si="218"/>
        <v>542839</v>
      </c>
      <c r="T1234" s="408">
        <f t="shared" si="218"/>
        <v>562104</v>
      </c>
      <c r="U1234" s="408">
        <f t="shared" si="218"/>
        <v>578647</v>
      </c>
    </row>
    <row r="1235" spans="1:21" s="89" customFormat="1" ht="24" customHeight="1">
      <c r="A1235" s="576"/>
      <c r="M1235" s="226"/>
      <c r="N1235" s="226"/>
      <c r="O1235" s="186"/>
      <c r="P1235" s="186"/>
      <c r="Q1235" s="226"/>
      <c r="R1235" s="226"/>
      <c r="S1235" s="226"/>
      <c r="T1235" s="226"/>
      <c r="U1235" s="226"/>
    </row>
    <row r="1236" spans="1:21" s="89" customFormat="1" ht="24" customHeight="1">
      <c r="A1236" s="576"/>
      <c r="J1236" s="689" t="s">
        <v>670</v>
      </c>
      <c r="K1236" s="689"/>
      <c r="L1236" s="98" t="s">
        <v>594</v>
      </c>
      <c r="M1236" s="226"/>
      <c r="N1236" s="226"/>
      <c r="O1236" s="186"/>
      <c r="P1236" s="186"/>
      <c r="Q1236" s="226"/>
      <c r="R1236" s="226"/>
      <c r="S1236" s="226"/>
      <c r="T1236" s="226"/>
      <c r="U1236" s="226"/>
    </row>
    <row r="1237" spans="1:21" s="89" customFormat="1" ht="24" customHeight="1">
      <c r="A1237" s="576"/>
      <c r="L1237" s="89" t="s">
        <v>691</v>
      </c>
      <c r="M1237" s="439">
        <f t="shared" ref="M1237:U1237" si="219">M1226+M1232</f>
        <v>6688797</v>
      </c>
      <c r="N1237" s="439">
        <f t="shared" si="219"/>
        <v>6572660</v>
      </c>
      <c r="O1237" s="428">
        <f t="shared" si="219"/>
        <v>7400972</v>
      </c>
      <c r="P1237" s="428">
        <f t="shared" si="219"/>
        <v>7207421</v>
      </c>
      <c r="Q1237" s="439">
        <f t="shared" si="219"/>
        <v>7825027</v>
      </c>
      <c r="R1237" s="439">
        <f t="shared" si="219"/>
        <v>8093177</v>
      </c>
      <c r="S1237" s="439">
        <f t="shared" si="219"/>
        <v>8407629</v>
      </c>
      <c r="T1237" s="439">
        <f t="shared" si="219"/>
        <v>8733487</v>
      </c>
      <c r="U1237" s="439">
        <f t="shared" si="219"/>
        <v>9071144</v>
      </c>
    </row>
    <row r="1238" spans="1:21" s="89" customFormat="1" ht="24" customHeight="1">
      <c r="A1238" s="576"/>
      <c r="L1238" s="89" t="s">
        <v>692</v>
      </c>
      <c r="M1238" s="226">
        <f t="shared" ref="M1238:U1238" si="220">M1227</f>
        <v>136347</v>
      </c>
      <c r="N1238" s="226">
        <f t="shared" si="220"/>
        <v>131985</v>
      </c>
      <c r="O1238" s="186">
        <f t="shared" si="220"/>
        <v>161500</v>
      </c>
      <c r="P1238" s="186">
        <f t="shared" si="220"/>
        <v>151953</v>
      </c>
      <c r="Q1238" s="226">
        <f t="shared" si="220"/>
        <v>163000</v>
      </c>
      <c r="R1238" s="226">
        <f t="shared" si="220"/>
        <v>163000</v>
      </c>
      <c r="S1238" s="226">
        <f t="shared" si="220"/>
        <v>153000</v>
      </c>
      <c r="T1238" s="226">
        <f t="shared" si="220"/>
        <v>153000</v>
      </c>
      <c r="U1238" s="226">
        <f t="shared" si="220"/>
        <v>153000</v>
      </c>
    </row>
    <row r="1239" spans="1:21" s="89" customFormat="1" ht="24" customHeight="1">
      <c r="A1239" s="576"/>
      <c r="L1239" s="89" t="s">
        <v>693</v>
      </c>
      <c r="M1239" s="272">
        <f t="shared" ref="M1239:U1239" si="221">M1228+M1233</f>
        <v>476827</v>
      </c>
      <c r="N1239" s="272">
        <f t="shared" si="221"/>
        <v>332672</v>
      </c>
      <c r="O1239" s="287">
        <f t="shared" si="221"/>
        <v>585704</v>
      </c>
      <c r="P1239" s="287">
        <f t="shared" si="221"/>
        <v>488658</v>
      </c>
      <c r="Q1239" s="272">
        <f t="shared" si="221"/>
        <v>635750</v>
      </c>
      <c r="R1239" s="272">
        <f t="shared" si="221"/>
        <v>680550</v>
      </c>
      <c r="S1239" s="272">
        <f t="shared" si="221"/>
        <v>694718</v>
      </c>
      <c r="T1239" s="272">
        <f t="shared" si="221"/>
        <v>707910</v>
      </c>
      <c r="U1239" s="272">
        <f t="shared" si="221"/>
        <v>718124</v>
      </c>
    </row>
    <row r="1240" spans="1:21" s="98" customFormat="1" ht="24" customHeight="1">
      <c r="A1240" s="576"/>
      <c r="L1240" s="98" t="s">
        <v>670</v>
      </c>
      <c r="M1240" s="408">
        <f t="shared" ref="M1240:U1240" si="222">SUM(M1237:M1239)</f>
        <v>7301971</v>
      </c>
      <c r="N1240" s="408">
        <f t="shared" si="222"/>
        <v>7037317</v>
      </c>
      <c r="O1240" s="409">
        <f t="shared" si="222"/>
        <v>8148176</v>
      </c>
      <c r="P1240" s="409">
        <f t="shared" si="222"/>
        <v>7848032</v>
      </c>
      <c r="Q1240" s="408">
        <f t="shared" si="222"/>
        <v>8623777</v>
      </c>
      <c r="R1240" s="408">
        <f t="shared" si="222"/>
        <v>8936727</v>
      </c>
      <c r="S1240" s="408">
        <f t="shared" si="222"/>
        <v>9255347</v>
      </c>
      <c r="T1240" s="408">
        <f t="shared" si="222"/>
        <v>9594397</v>
      </c>
      <c r="U1240" s="408">
        <f t="shared" si="222"/>
        <v>9942268</v>
      </c>
    </row>
    <row r="1241" spans="1:21" s="118" customFormat="1" ht="24" customHeight="1">
      <c r="A1241" s="135"/>
      <c r="M1241" s="290"/>
      <c r="N1241" s="290"/>
      <c r="O1241" s="291"/>
      <c r="P1241" s="291"/>
      <c r="Q1241" s="290"/>
      <c r="R1241" s="290"/>
      <c r="S1241" s="290"/>
      <c r="T1241" s="290"/>
      <c r="U1241" s="290"/>
    </row>
    <row r="1242" spans="1:21" s="116" customFormat="1" ht="24" customHeight="1">
      <c r="A1242" s="577"/>
      <c r="B1242" s="703" t="s">
        <v>938</v>
      </c>
      <c r="C1242" s="703"/>
      <c r="D1242" s="703"/>
      <c r="E1242" s="703"/>
      <c r="F1242" s="703"/>
      <c r="G1242" s="703"/>
      <c r="H1242" s="703"/>
      <c r="I1242" s="703"/>
      <c r="J1242" s="703"/>
      <c r="K1242" s="703"/>
      <c r="L1242" s="703"/>
      <c r="M1242" s="273"/>
      <c r="N1242" s="273"/>
      <c r="O1242" s="273"/>
      <c r="P1242" s="273"/>
      <c r="Q1242" s="273"/>
      <c r="R1242" s="202"/>
      <c r="S1242" s="202"/>
      <c r="T1242" s="202"/>
      <c r="U1242" s="202"/>
    </row>
    <row r="1243" spans="1:21" s="118" customFormat="1" ht="24" customHeight="1">
      <c r="A1243" s="135"/>
      <c r="J1243" s="704" t="s">
        <v>573</v>
      </c>
      <c r="K1243" s="704"/>
      <c r="L1243" s="98" t="s">
        <v>595</v>
      </c>
      <c r="M1243" s="290"/>
      <c r="N1243" s="290"/>
      <c r="O1243" s="291"/>
      <c r="P1243" s="291"/>
      <c r="Q1243" s="290"/>
      <c r="R1243" s="290"/>
      <c r="S1243" s="290"/>
      <c r="T1243" s="290"/>
      <c r="U1243" s="290"/>
    </row>
    <row r="1244" spans="1:21" s="118" customFormat="1" ht="24" customHeight="1">
      <c r="A1244" s="135"/>
      <c r="J1244" s="89"/>
      <c r="K1244" s="89"/>
      <c r="L1244" s="89" t="s">
        <v>939</v>
      </c>
      <c r="M1244" s="403">
        <f t="shared" ref="M1244:U1244" si="223">M68+M93+M120+M155+M183+M641+M751+M888+M918+M450</f>
        <v>336965</v>
      </c>
      <c r="N1244" s="403">
        <f t="shared" si="223"/>
        <v>407646</v>
      </c>
      <c r="O1244" s="462">
        <f t="shared" si="223"/>
        <v>434047</v>
      </c>
      <c r="P1244" s="462">
        <f t="shared" si="223"/>
        <v>421601</v>
      </c>
      <c r="Q1244" s="403">
        <f t="shared" si="223"/>
        <v>397697</v>
      </c>
      <c r="R1244" s="403">
        <f t="shared" si="223"/>
        <v>409034</v>
      </c>
      <c r="S1244" s="403">
        <f t="shared" si="223"/>
        <v>432948</v>
      </c>
      <c r="T1244" s="403">
        <f t="shared" si="223"/>
        <v>458907</v>
      </c>
      <c r="U1244" s="403">
        <f t="shared" si="223"/>
        <v>486995</v>
      </c>
    </row>
    <row r="1245" spans="1:21" s="118" customFormat="1" ht="24" customHeight="1">
      <c r="A1245" s="135"/>
      <c r="J1245" s="89"/>
      <c r="K1245" s="89"/>
      <c r="L1245" s="89" t="s">
        <v>825</v>
      </c>
      <c r="M1245" s="222">
        <f t="shared" ref="M1245:U1245" si="224">M121</f>
        <v>1111484</v>
      </c>
      <c r="N1245" s="222">
        <f t="shared" si="224"/>
        <v>1230604</v>
      </c>
      <c r="O1245" s="284">
        <f t="shared" si="224"/>
        <v>1334771</v>
      </c>
      <c r="P1245" s="284">
        <f t="shared" si="224"/>
        <v>1334771</v>
      </c>
      <c r="Q1245" s="222">
        <f t="shared" si="224"/>
        <v>1334771</v>
      </c>
      <c r="R1245" s="222">
        <f t="shared" si="224"/>
        <v>1405767</v>
      </c>
      <c r="S1245" s="222">
        <f t="shared" si="224"/>
        <v>1480767</v>
      </c>
      <c r="T1245" s="222">
        <f t="shared" si="224"/>
        <v>1530767</v>
      </c>
      <c r="U1245" s="222">
        <f t="shared" si="224"/>
        <v>1580767</v>
      </c>
    </row>
    <row r="1246" spans="1:21" s="118" customFormat="1" ht="24" customHeight="1">
      <c r="A1246" s="135"/>
      <c r="J1246" s="89"/>
      <c r="K1246" s="89"/>
      <c r="L1246" s="89" t="s">
        <v>940</v>
      </c>
      <c r="M1246" s="229">
        <f t="shared" ref="M1246:U1246" si="225">M69+M94+M122+M156+M184+M642+M752+M889+M919+M451</f>
        <v>498202</v>
      </c>
      <c r="N1246" s="229">
        <f t="shared" si="225"/>
        <v>488140</v>
      </c>
      <c r="O1246" s="292">
        <f t="shared" si="225"/>
        <v>564677</v>
      </c>
      <c r="P1246" s="292">
        <f t="shared" si="225"/>
        <v>553060</v>
      </c>
      <c r="Q1246" s="229">
        <f t="shared" si="225"/>
        <v>601085</v>
      </c>
      <c r="R1246" s="229">
        <f t="shared" si="225"/>
        <v>620174</v>
      </c>
      <c r="S1246" s="229">
        <f t="shared" si="225"/>
        <v>643586</v>
      </c>
      <c r="T1246" s="229">
        <f t="shared" si="225"/>
        <v>667833</v>
      </c>
      <c r="U1246" s="229">
        <f t="shared" si="225"/>
        <v>715059</v>
      </c>
    </row>
    <row r="1247" spans="1:21" s="118" customFormat="1" ht="24" customHeight="1">
      <c r="A1247" s="135"/>
      <c r="J1247" s="98"/>
      <c r="K1247" s="98"/>
      <c r="L1247" s="98" t="s">
        <v>670</v>
      </c>
      <c r="M1247" s="410">
        <f>SUM(M1244:M1246)</f>
        <v>1946651</v>
      </c>
      <c r="N1247" s="410">
        <f t="shared" ref="N1247:U1247" si="226">SUM(N1244:N1246)</f>
        <v>2126390</v>
      </c>
      <c r="O1247" s="407">
        <f t="shared" si="226"/>
        <v>2333495</v>
      </c>
      <c r="P1247" s="407">
        <f t="shared" si="226"/>
        <v>2309432</v>
      </c>
      <c r="Q1247" s="410">
        <f t="shared" si="226"/>
        <v>2333553</v>
      </c>
      <c r="R1247" s="410">
        <f t="shared" si="226"/>
        <v>2434975</v>
      </c>
      <c r="S1247" s="410">
        <f t="shared" si="226"/>
        <v>2557301</v>
      </c>
      <c r="T1247" s="410">
        <f t="shared" si="226"/>
        <v>2657507</v>
      </c>
      <c r="U1247" s="410">
        <f t="shared" si="226"/>
        <v>2782821</v>
      </c>
    </row>
    <row r="1248" spans="1:21" s="118" customFormat="1" ht="24" customHeight="1">
      <c r="A1248" s="135"/>
      <c r="J1248" s="89"/>
      <c r="K1248" s="89"/>
      <c r="L1248" s="89"/>
      <c r="M1248" s="222"/>
      <c r="N1248" s="222"/>
      <c r="O1248" s="284"/>
      <c r="P1248" s="284"/>
      <c r="Q1248" s="222"/>
      <c r="R1248" s="222"/>
      <c r="S1248" s="222"/>
      <c r="T1248" s="222"/>
      <c r="U1248" s="222"/>
    </row>
    <row r="1249" spans="1:21" s="118" customFormat="1" ht="24" customHeight="1">
      <c r="A1249" s="135"/>
      <c r="J1249" s="704" t="s">
        <v>574</v>
      </c>
      <c r="K1249" s="704"/>
      <c r="L1249" s="98" t="s">
        <v>595</v>
      </c>
      <c r="M1249" s="222"/>
      <c r="N1249" s="222"/>
      <c r="O1249" s="284"/>
      <c r="P1249" s="284"/>
      <c r="Q1249" s="222"/>
      <c r="R1249" s="222"/>
      <c r="S1249" s="222"/>
      <c r="T1249" s="222"/>
      <c r="U1249" s="222"/>
    </row>
    <row r="1250" spans="1:21" s="118" customFormat="1" ht="24" customHeight="1">
      <c r="A1250" s="135"/>
      <c r="J1250" s="89"/>
      <c r="K1250" s="89"/>
      <c r="L1250" s="89" t="s">
        <v>939</v>
      </c>
      <c r="M1250" s="403">
        <f t="shared" ref="M1250:U1250" si="227">M981</f>
        <v>27240</v>
      </c>
      <c r="N1250" s="403">
        <f t="shared" si="227"/>
        <v>30711</v>
      </c>
      <c r="O1250" s="462">
        <f t="shared" si="227"/>
        <v>32180</v>
      </c>
      <c r="P1250" s="462">
        <f t="shared" si="227"/>
        <v>28500</v>
      </c>
      <c r="Q1250" s="403">
        <f t="shared" si="227"/>
        <v>26240</v>
      </c>
      <c r="R1250" s="403">
        <f t="shared" si="227"/>
        <v>30341</v>
      </c>
      <c r="S1250" s="403">
        <f t="shared" si="227"/>
        <v>32196</v>
      </c>
      <c r="T1250" s="403">
        <f t="shared" si="227"/>
        <v>34135</v>
      </c>
      <c r="U1250" s="403">
        <f t="shared" si="227"/>
        <v>36233</v>
      </c>
    </row>
    <row r="1251" spans="1:21" s="118" customFormat="1" ht="24" customHeight="1">
      <c r="A1251" s="135"/>
      <c r="J1251" s="89"/>
      <c r="K1251" s="89"/>
      <c r="L1251" s="89" t="s">
        <v>940</v>
      </c>
      <c r="M1251" s="229">
        <f t="shared" ref="M1251:U1251" si="228">M982</f>
        <v>33137</v>
      </c>
      <c r="N1251" s="229">
        <f t="shared" si="228"/>
        <v>31869</v>
      </c>
      <c r="O1251" s="292">
        <f t="shared" si="228"/>
        <v>35685</v>
      </c>
      <c r="P1251" s="292">
        <f t="shared" si="228"/>
        <v>33000</v>
      </c>
      <c r="Q1251" s="229">
        <f t="shared" si="228"/>
        <v>37585</v>
      </c>
      <c r="R1251" s="229">
        <f t="shared" si="228"/>
        <v>39998</v>
      </c>
      <c r="S1251" s="229">
        <f t="shared" si="228"/>
        <v>41527</v>
      </c>
      <c r="T1251" s="229">
        <f t="shared" si="228"/>
        <v>43001</v>
      </c>
      <c r="U1251" s="229">
        <f t="shared" si="228"/>
        <v>44266</v>
      </c>
    </row>
    <row r="1252" spans="1:21" s="118" customFormat="1" ht="24" customHeight="1">
      <c r="A1252" s="135"/>
      <c r="J1252" s="98"/>
      <c r="K1252" s="98"/>
      <c r="L1252" s="98" t="s">
        <v>670</v>
      </c>
      <c r="M1252" s="410">
        <f>SUM(M1250:M1251)</f>
        <v>60377</v>
      </c>
      <c r="N1252" s="410">
        <f t="shared" ref="N1252:U1252" si="229">SUM(N1250:N1251)</f>
        <v>62580</v>
      </c>
      <c r="O1252" s="407">
        <f t="shared" si="229"/>
        <v>67865</v>
      </c>
      <c r="P1252" s="407">
        <f t="shared" si="229"/>
        <v>61500</v>
      </c>
      <c r="Q1252" s="410">
        <f t="shared" si="229"/>
        <v>63825</v>
      </c>
      <c r="R1252" s="410">
        <f t="shared" si="229"/>
        <v>70339</v>
      </c>
      <c r="S1252" s="410">
        <f t="shared" si="229"/>
        <v>73723</v>
      </c>
      <c r="T1252" s="410">
        <f t="shared" si="229"/>
        <v>77136</v>
      </c>
      <c r="U1252" s="410">
        <f t="shared" si="229"/>
        <v>80499</v>
      </c>
    </row>
    <row r="1253" spans="1:21" s="118" customFormat="1" ht="24" customHeight="1">
      <c r="A1253" s="135"/>
      <c r="J1253" s="89"/>
      <c r="K1253" s="89"/>
      <c r="L1253" s="89"/>
      <c r="M1253" s="222"/>
      <c r="N1253" s="222"/>
      <c r="O1253" s="284"/>
      <c r="P1253" s="284"/>
      <c r="Q1253" s="222"/>
      <c r="R1253" s="222"/>
      <c r="S1253" s="222"/>
      <c r="T1253" s="222"/>
      <c r="U1253" s="222"/>
    </row>
    <row r="1254" spans="1:21" s="118" customFormat="1" ht="24" customHeight="1">
      <c r="A1254" s="135"/>
      <c r="J1254" s="704" t="s">
        <v>670</v>
      </c>
      <c r="K1254" s="704"/>
      <c r="L1254" s="98" t="s">
        <v>595</v>
      </c>
      <c r="M1254" s="222"/>
      <c r="N1254" s="222"/>
      <c r="O1254" s="284"/>
      <c r="P1254" s="284"/>
      <c r="Q1254" s="222"/>
      <c r="R1254" s="222"/>
      <c r="S1254" s="222"/>
      <c r="T1254" s="222"/>
      <c r="U1254" s="222"/>
    </row>
    <row r="1255" spans="1:21" s="118" customFormat="1" ht="24" customHeight="1">
      <c r="A1255" s="135"/>
      <c r="J1255" s="89"/>
      <c r="K1255" s="89"/>
      <c r="L1255" s="89" t="s">
        <v>939</v>
      </c>
      <c r="M1255" s="403">
        <f t="shared" ref="M1255:U1255" si="230">M1244+M1250</f>
        <v>364205</v>
      </c>
      <c r="N1255" s="403">
        <f t="shared" si="230"/>
        <v>438357</v>
      </c>
      <c r="O1255" s="462">
        <f t="shared" si="230"/>
        <v>466227</v>
      </c>
      <c r="P1255" s="462">
        <f t="shared" si="230"/>
        <v>450101</v>
      </c>
      <c r="Q1255" s="403">
        <f t="shared" si="230"/>
        <v>423937</v>
      </c>
      <c r="R1255" s="403">
        <f t="shared" si="230"/>
        <v>439375</v>
      </c>
      <c r="S1255" s="403">
        <f t="shared" si="230"/>
        <v>465144</v>
      </c>
      <c r="T1255" s="403">
        <f t="shared" si="230"/>
        <v>493042</v>
      </c>
      <c r="U1255" s="403">
        <f t="shared" si="230"/>
        <v>523228</v>
      </c>
    </row>
    <row r="1256" spans="1:21" s="118" customFormat="1" ht="24" customHeight="1">
      <c r="A1256" s="135"/>
      <c r="J1256" s="89"/>
      <c r="K1256" s="89"/>
      <c r="L1256" s="89" t="s">
        <v>825</v>
      </c>
      <c r="M1256" s="222">
        <f t="shared" ref="M1256:U1256" si="231">M1245</f>
        <v>1111484</v>
      </c>
      <c r="N1256" s="222">
        <f t="shared" si="231"/>
        <v>1230604</v>
      </c>
      <c r="O1256" s="284">
        <f t="shared" si="231"/>
        <v>1334771</v>
      </c>
      <c r="P1256" s="284">
        <f t="shared" si="231"/>
        <v>1334771</v>
      </c>
      <c r="Q1256" s="222">
        <f t="shared" si="231"/>
        <v>1334771</v>
      </c>
      <c r="R1256" s="222">
        <f t="shared" si="231"/>
        <v>1405767</v>
      </c>
      <c r="S1256" s="222">
        <f t="shared" si="231"/>
        <v>1480767</v>
      </c>
      <c r="T1256" s="222">
        <f t="shared" si="231"/>
        <v>1530767</v>
      </c>
      <c r="U1256" s="222">
        <f t="shared" si="231"/>
        <v>1580767</v>
      </c>
    </row>
    <row r="1257" spans="1:21" s="118" customFormat="1" ht="24" customHeight="1">
      <c r="A1257" s="135"/>
      <c r="J1257" s="89"/>
      <c r="K1257" s="89"/>
      <c r="L1257" s="89" t="s">
        <v>940</v>
      </c>
      <c r="M1257" s="229">
        <f t="shared" ref="M1257:U1257" si="232">M1246+M1251</f>
        <v>531339</v>
      </c>
      <c r="N1257" s="229">
        <f t="shared" si="232"/>
        <v>520009</v>
      </c>
      <c r="O1257" s="292">
        <f t="shared" si="232"/>
        <v>600362</v>
      </c>
      <c r="P1257" s="292">
        <f t="shared" si="232"/>
        <v>586060</v>
      </c>
      <c r="Q1257" s="229">
        <f t="shared" si="232"/>
        <v>638670</v>
      </c>
      <c r="R1257" s="229">
        <f t="shared" si="232"/>
        <v>660172</v>
      </c>
      <c r="S1257" s="229">
        <f t="shared" si="232"/>
        <v>685113</v>
      </c>
      <c r="T1257" s="229">
        <f t="shared" si="232"/>
        <v>710834</v>
      </c>
      <c r="U1257" s="229">
        <f t="shared" si="232"/>
        <v>759325</v>
      </c>
    </row>
    <row r="1258" spans="1:21" s="118" customFormat="1" ht="24" customHeight="1">
      <c r="A1258" s="135"/>
      <c r="J1258" s="98"/>
      <c r="K1258" s="98"/>
      <c r="L1258" s="98" t="s">
        <v>670</v>
      </c>
      <c r="M1258" s="410">
        <f>SUM(M1255:M1257)</f>
        <v>2007028</v>
      </c>
      <c r="N1258" s="410">
        <f t="shared" ref="N1258:U1258" si="233">SUM(N1255:N1257)</f>
        <v>2188970</v>
      </c>
      <c r="O1258" s="407">
        <f t="shared" si="233"/>
        <v>2401360</v>
      </c>
      <c r="P1258" s="407">
        <f t="shared" si="233"/>
        <v>2370932</v>
      </c>
      <c r="Q1258" s="410">
        <f t="shared" si="233"/>
        <v>2397378</v>
      </c>
      <c r="R1258" s="410">
        <f t="shared" si="233"/>
        <v>2505314</v>
      </c>
      <c r="S1258" s="410">
        <f t="shared" si="233"/>
        <v>2631024</v>
      </c>
      <c r="T1258" s="410">
        <f t="shared" si="233"/>
        <v>2734643</v>
      </c>
      <c r="U1258" s="410">
        <f t="shared" si="233"/>
        <v>2863320</v>
      </c>
    </row>
    <row r="1259" spans="1:21" s="89" customFormat="1" ht="24" customHeight="1">
      <c r="A1259" s="576"/>
      <c r="M1259" s="226"/>
      <c r="N1259" s="226"/>
      <c r="O1259" s="186"/>
      <c r="P1259" s="186"/>
      <c r="Q1259" s="226"/>
      <c r="R1259" s="226"/>
      <c r="S1259" s="226"/>
      <c r="T1259" s="226"/>
      <c r="U1259" s="226"/>
    </row>
    <row r="1260" spans="1:21" s="116" customFormat="1" ht="24" customHeight="1">
      <c r="A1260" s="577"/>
      <c r="B1260" s="703" t="s">
        <v>948</v>
      </c>
      <c r="C1260" s="703"/>
      <c r="D1260" s="703"/>
      <c r="E1260" s="703"/>
      <c r="F1260" s="703"/>
      <c r="G1260" s="703"/>
      <c r="H1260" s="703"/>
      <c r="I1260" s="703"/>
      <c r="J1260" s="703"/>
      <c r="K1260" s="703"/>
      <c r="L1260" s="703"/>
      <c r="M1260" s="202"/>
      <c r="N1260" s="202"/>
      <c r="O1260" s="202"/>
      <c r="P1260" s="202"/>
      <c r="Q1260" s="202"/>
      <c r="R1260" s="202"/>
      <c r="S1260" s="202"/>
      <c r="T1260" s="202"/>
      <c r="U1260" s="202"/>
    </row>
    <row r="1261" spans="1:21" s="98" customFormat="1" ht="24" customHeight="1">
      <c r="A1261" s="576"/>
      <c r="H1261" s="705" t="s">
        <v>703</v>
      </c>
      <c r="I1261" s="705"/>
      <c r="J1261" s="705"/>
      <c r="K1261" s="705"/>
      <c r="L1261" s="705"/>
      <c r="M1261" s="446">
        <f t="shared" ref="M1261:U1261" si="234">SUM(M1262:M1265)</f>
        <v>149129</v>
      </c>
      <c r="N1261" s="446">
        <f t="shared" si="234"/>
        <v>149129</v>
      </c>
      <c r="O1261" s="463">
        <f t="shared" si="234"/>
        <v>149136</v>
      </c>
      <c r="P1261" s="463">
        <f t="shared" si="234"/>
        <v>149136</v>
      </c>
      <c r="Q1261" s="446">
        <f t="shared" si="234"/>
        <v>68440</v>
      </c>
      <c r="R1261" s="446">
        <f t="shared" si="234"/>
        <v>0</v>
      </c>
      <c r="S1261" s="446">
        <f t="shared" si="234"/>
        <v>0</v>
      </c>
      <c r="T1261" s="446">
        <f t="shared" si="234"/>
        <v>0</v>
      </c>
      <c r="U1261" s="446">
        <f t="shared" si="234"/>
        <v>0</v>
      </c>
    </row>
    <row r="1262" spans="1:21" s="89" customFormat="1" ht="24" customHeight="1">
      <c r="A1262" s="576"/>
      <c r="L1262" s="89" t="s">
        <v>570</v>
      </c>
      <c r="M1262" s="236">
        <f t="shared" ref="M1262:U1262" si="235">M324</f>
        <v>73787</v>
      </c>
      <c r="N1262" s="236">
        <f t="shared" si="235"/>
        <v>73787</v>
      </c>
      <c r="O1262" s="192">
        <f t="shared" si="235"/>
        <v>73788</v>
      </c>
      <c r="P1262" s="192">
        <f t="shared" si="235"/>
        <v>73788</v>
      </c>
      <c r="Q1262" s="236">
        <f t="shared" si="235"/>
        <v>37045</v>
      </c>
      <c r="R1262" s="236">
        <f t="shared" si="235"/>
        <v>0</v>
      </c>
      <c r="S1262" s="236">
        <f t="shared" si="235"/>
        <v>0</v>
      </c>
      <c r="T1262" s="236">
        <f t="shared" si="235"/>
        <v>0</v>
      </c>
      <c r="U1262" s="236">
        <f t="shared" si="235"/>
        <v>0</v>
      </c>
    </row>
    <row r="1263" spans="1:21" s="89" customFormat="1" ht="24" customHeight="1">
      <c r="A1263" s="576"/>
      <c r="L1263" s="89" t="s">
        <v>481</v>
      </c>
      <c r="M1263" s="236">
        <f t="shared" ref="M1263:U1263" si="236">M693</f>
        <v>45372</v>
      </c>
      <c r="N1263" s="236">
        <f t="shared" si="236"/>
        <v>45372</v>
      </c>
      <c r="O1263" s="192">
        <f t="shared" si="236"/>
        <v>45372</v>
      </c>
      <c r="P1263" s="192">
        <f t="shared" si="236"/>
        <v>45372</v>
      </c>
      <c r="Q1263" s="236">
        <f t="shared" si="236"/>
        <v>18905</v>
      </c>
      <c r="R1263" s="236">
        <f t="shared" si="236"/>
        <v>0</v>
      </c>
      <c r="S1263" s="236">
        <f t="shared" si="236"/>
        <v>0</v>
      </c>
      <c r="T1263" s="236">
        <f t="shared" si="236"/>
        <v>0</v>
      </c>
      <c r="U1263" s="236">
        <f t="shared" si="236"/>
        <v>0</v>
      </c>
    </row>
    <row r="1264" spans="1:21" s="89" customFormat="1" ht="24" customHeight="1">
      <c r="A1264" s="576"/>
      <c r="L1264" s="89" t="s">
        <v>482</v>
      </c>
      <c r="M1264" s="236">
        <f t="shared" ref="M1264:U1264" si="237">M794</f>
        <v>22482</v>
      </c>
      <c r="N1264" s="236">
        <f t="shared" si="237"/>
        <v>22482</v>
      </c>
      <c r="O1264" s="192">
        <f t="shared" si="237"/>
        <v>22488</v>
      </c>
      <c r="P1264" s="192">
        <f t="shared" si="237"/>
        <v>22488</v>
      </c>
      <c r="Q1264" s="236">
        <f t="shared" si="237"/>
        <v>9370</v>
      </c>
      <c r="R1264" s="236">
        <f t="shared" si="237"/>
        <v>0</v>
      </c>
      <c r="S1264" s="236">
        <f t="shared" si="237"/>
        <v>0</v>
      </c>
      <c r="T1264" s="236">
        <f t="shared" si="237"/>
        <v>0</v>
      </c>
      <c r="U1264" s="236">
        <f t="shared" si="237"/>
        <v>0</v>
      </c>
    </row>
    <row r="1265" spans="1:21" s="89" customFormat="1" ht="24" customHeight="1">
      <c r="A1265" s="576"/>
      <c r="L1265" s="89" t="s">
        <v>420</v>
      </c>
      <c r="M1265" s="236">
        <f t="shared" ref="M1265:U1265" si="238">M1086</f>
        <v>7488</v>
      </c>
      <c r="N1265" s="236">
        <f t="shared" si="238"/>
        <v>7488</v>
      </c>
      <c r="O1265" s="192">
        <f t="shared" si="238"/>
        <v>7488</v>
      </c>
      <c r="P1265" s="192">
        <f t="shared" si="238"/>
        <v>7488</v>
      </c>
      <c r="Q1265" s="236">
        <f t="shared" si="238"/>
        <v>3120</v>
      </c>
      <c r="R1265" s="236">
        <f t="shared" si="238"/>
        <v>0</v>
      </c>
      <c r="S1265" s="236">
        <f t="shared" si="238"/>
        <v>0</v>
      </c>
      <c r="T1265" s="236">
        <f t="shared" si="238"/>
        <v>0</v>
      </c>
      <c r="U1265" s="236">
        <f t="shared" si="238"/>
        <v>0</v>
      </c>
    </row>
    <row r="1266" spans="1:21" s="89" customFormat="1" ht="24" customHeight="1">
      <c r="A1266" s="576"/>
      <c r="M1266" s="236"/>
      <c r="N1266" s="236"/>
      <c r="O1266" s="192"/>
      <c r="P1266" s="192"/>
      <c r="Q1266" s="236"/>
      <c r="R1266" s="236"/>
      <c r="S1266" s="236"/>
      <c r="T1266" s="236"/>
      <c r="U1266" s="236"/>
    </row>
    <row r="1267" spans="1:21" s="89" customFormat="1" ht="24" customHeight="1">
      <c r="A1267" s="576"/>
      <c r="H1267" s="700" t="s">
        <v>880</v>
      </c>
      <c r="I1267" s="700"/>
      <c r="J1267" s="700"/>
      <c r="K1267" s="700"/>
      <c r="L1267" s="700"/>
      <c r="M1267" s="446">
        <f>SUM(M1268:M1269)</f>
        <v>652769</v>
      </c>
      <c r="N1267" s="446">
        <f>SUM(N1268:N1269)</f>
        <v>758666</v>
      </c>
      <c r="O1267" s="463">
        <f t="shared" ref="O1267:P1267" si="239">SUM(O1268:O1269)</f>
        <v>2068725</v>
      </c>
      <c r="P1267" s="463">
        <f t="shared" si="239"/>
        <v>1755000</v>
      </c>
      <c r="Q1267" s="446">
        <f t="shared" ref="Q1267:U1267" si="240">SUM(Q1268:Q1269)</f>
        <v>2435000</v>
      </c>
      <c r="R1267" s="446">
        <f t="shared" si="240"/>
        <v>1860000</v>
      </c>
      <c r="S1267" s="446">
        <f t="shared" si="240"/>
        <v>1560000</v>
      </c>
      <c r="T1267" s="446">
        <f t="shared" si="240"/>
        <v>1560000</v>
      </c>
      <c r="U1267" s="446">
        <f t="shared" si="240"/>
        <v>1560000</v>
      </c>
    </row>
    <row r="1268" spans="1:21" s="89" customFormat="1" ht="24" customHeight="1">
      <c r="A1268" s="576"/>
      <c r="L1268" s="645" t="s">
        <v>570</v>
      </c>
      <c r="M1268" s="236">
        <f t="shared" ref="M1268:U1268" si="241">M322</f>
        <v>553480</v>
      </c>
      <c r="N1268" s="236">
        <f t="shared" si="241"/>
        <v>655303</v>
      </c>
      <c r="O1268" s="192">
        <f t="shared" si="241"/>
        <v>920000</v>
      </c>
      <c r="P1268" s="192">
        <f t="shared" si="241"/>
        <v>790000</v>
      </c>
      <c r="Q1268" s="236">
        <f t="shared" si="241"/>
        <v>1000000</v>
      </c>
      <c r="R1268" s="236">
        <f t="shared" si="241"/>
        <v>850000</v>
      </c>
      <c r="S1268" s="236">
        <f t="shared" si="241"/>
        <v>800000</v>
      </c>
      <c r="T1268" s="236">
        <f t="shared" si="241"/>
        <v>800000</v>
      </c>
      <c r="U1268" s="236">
        <f t="shared" si="241"/>
        <v>800000</v>
      </c>
    </row>
    <row r="1269" spans="1:21" s="89" customFormat="1" ht="24" customHeight="1">
      <c r="A1269" s="576"/>
      <c r="L1269" s="89" t="s">
        <v>648</v>
      </c>
      <c r="M1269" s="236">
        <f t="shared" ref="M1269:U1269" si="242">M391</f>
        <v>99289</v>
      </c>
      <c r="N1269" s="236">
        <f t="shared" si="242"/>
        <v>103363</v>
      </c>
      <c r="O1269" s="192">
        <f t="shared" si="242"/>
        <v>1148725</v>
      </c>
      <c r="P1269" s="192">
        <f t="shared" si="242"/>
        <v>965000</v>
      </c>
      <c r="Q1269" s="236">
        <f t="shared" si="242"/>
        <v>1435000</v>
      </c>
      <c r="R1269" s="236">
        <f t="shared" si="242"/>
        <v>1010000</v>
      </c>
      <c r="S1269" s="236">
        <f t="shared" si="242"/>
        <v>760000</v>
      </c>
      <c r="T1269" s="236">
        <f t="shared" si="242"/>
        <v>760000</v>
      </c>
      <c r="U1269" s="236">
        <f t="shared" si="242"/>
        <v>760000</v>
      </c>
    </row>
    <row r="1270" spans="1:21" s="645" customFormat="1" ht="24" customHeight="1">
      <c r="A1270" s="642"/>
      <c r="M1270" s="236"/>
      <c r="N1270" s="236"/>
      <c r="O1270" s="192"/>
      <c r="P1270" s="192"/>
      <c r="Q1270" s="236"/>
      <c r="R1270" s="236"/>
      <c r="S1270" s="236"/>
      <c r="T1270" s="236"/>
      <c r="U1270" s="236"/>
    </row>
    <row r="1271" spans="1:21" s="89" customFormat="1" ht="24" customHeight="1">
      <c r="A1271" s="576"/>
      <c r="H1271" s="700" t="s">
        <v>1455</v>
      </c>
      <c r="I1271" s="700"/>
      <c r="J1271" s="700"/>
      <c r="K1271" s="700"/>
      <c r="L1271" s="700"/>
      <c r="M1271" s="446">
        <f>M1272+M1273</f>
        <v>631491</v>
      </c>
      <c r="N1271" s="446">
        <f>N1272+N1273</f>
        <v>26273</v>
      </c>
      <c r="O1271" s="463">
        <f t="shared" ref="O1271:P1271" si="243">O1272+O1273</f>
        <v>950000</v>
      </c>
      <c r="P1271" s="463">
        <f t="shared" si="243"/>
        <v>770000</v>
      </c>
      <c r="Q1271" s="446">
        <f>Q1272+Q1273</f>
        <v>1050000</v>
      </c>
      <c r="R1271" s="446">
        <f t="shared" ref="R1271:U1271" si="244">R1272+R1273</f>
        <v>1796500</v>
      </c>
      <c r="S1271" s="446">
        <f t="shared" si="244"/>
        <v>1224950</v>
      </c>
      <c r="T1271" s="446">
        <f t="shared" si="244"/>
        <v>1605500</v>
      </c>
      <c r="U1271" s="446">
        <f t="shared" si="244"/>
        <v>1246500</v>
      </c>
    </row>
    <row r="1272" spans="1:21" s="645" customFormat="1" ht="24" customHeight="1">
      <c r="A1272" s="642"/>
      <c r="H1272" s="643"/>
      <c r="I1272" s="643"/>
      <c r="J1272" s="643"/>
      <c r="K1272" s="643"/>
      <c r="L1272" s="645" t="s">
        <v>481</v>
      </c>
      <c r="M1272" s="257">
        <f t="shared" ref="M1272:U1272" si="245">M685</f>
        <v>631491</v>
      </c>
      <c r="N1272" s="257">
        <f t="shared" si="245"/>
        <v>26273</v>
      </c>
      <c r="O1272" s="647">
        <f t="shared" si="245"/>
        <v>950000</v>
      </c>
      <c r="P1272" s="647">
        <f t="shared" si="245"/>
        <v>770000</v>
      </c>
      <c r="Q1272" s="257">
        <f t="shared" si="245"/>
        <v>1150000</v>
      </c>
      <c r="R1272" s="257">
        <f t="shared" si="245"/>
        <v>1796500</v>
      </c>
      <c r="S1272" s="257">
        <f t="shared" si="245"/>
        <v>1224950</v>
      </c>
      <c r="T1272" s="257">
        <f t="shared" si="245"/>
        <v>1605500</v>
      </c>
      <c r="U1272" s="257">
        <f t="shared" si="245"/>
        <v>1246500</v>
      </c>
    </row>
    <row r="1273" spans="1:21" s="645" customFormat="1" ht="24" customHeight="1">
      <c r="A1273" s="642"/>
      <c r="H1273" s="643"/>
      <c r="I1273" s="643"/>
      <c r="J1273" s="643"/>
      <c r="K1273" s="643"/>
      <c r="L1273" s="537" t="s">
        <v>1348</v>
      </c>
      <c r="M1273" s="648">
        <f t="shared" ref="M1273:U1273" si="246">-M617</f>
        <v>0</v>
      </c>
      <c r="N1273" s="648">
        <f t="shared" si="246"/>
        <v>0</v>
      </c>
      <c r="O1273" s="649">
        <f t="shared" si="246"/>
        <v>0</v>
      </c>
      <c r="P1273" s="649">
        <f t="shared" si="246"/>
        <v>0</v>
      </c>
      <c r="Q1273" s="650">
        <f t="shared" si="246"/>
        <v>-100000</v>
      </c>
      <c r="R1273" s="648">
        <f t="shared" si="246"/>
        <v>0</v>
      </c>
      <c r="S1273" s="648">
        <f t="shared" si="246"/>
        <v>0</v>
      </c>
      <c r="T1273" s="648">
        <f t="shared" si="246"/>
        <v>0</v>
      </c>
      <c r="U1273" s="648">
        <f t="shared" si="246"/>
        <v>0</v>
      </c>
    </row>
    <row r="1274" spans="1:21" s="645" customFormat="1" ht="24" customHeight="1">
      <c r="A1274" s="642"/>
      <c r="M1274" s="236"/>
      <c r="N1274" s="236"/>
      <c r="O1274" s="192"/>
      <c r="P1274" s="192"/>
      <c r="Q1274" s="236"/>
      <c r="R1274" s="236"/>
      <c r="S1274" s="236"/>
      <c r="T1274" s="236"/>
      <c r="U1274" s="236"/>
    </row>
    <row r="1275" spans="1:21" s="89" customFormat="1" ht="24" customHeight="1">
      <c r="A1275" s="576"/>
      <c r="H1275" s="700" t="s">
        <v>1456</v>
      </c>
      <c r="I1275" s="700"/>
      <c r="J1275" s="700"/>
      <c r="K1275" s="700"/>
      <c r="L1275" s="700"/>
      <c r="M1275" s="446">
        <f>M1276</f>
        <v>59900</v>
      </c>
      <c r="N1275" s="446">
        <f>N1276</f>
        <v>0</v>
      </c>
      <c r="O1275" s="463">
        <f t="shared" ref="O1275:P1275" si="247">O1276</f>
        <v>0</v>
      </c>
      <c r="P1275" s="463">
        <f t="shared" si="247"/>
        <v>0</v>
      </c>
      <c r="Q1275" s="446">
        <f>Q1276</f>
        <v>220000</v>
      </c>
      <c r="R1275" s="446">
        <f>R1276</f>
        <v>440000</v>
      </c>
      <c r="S1275" s="446">
        <f t="shared" ref="S1275:U1275" si="248">S1276</f>
        <v>440000</v>
      </c>
      <c r="T1275" s="446">
        <f t="shared" si="248"/>
        <v>440000</v>
      </c>
      <c r="U1275" s="446">
        <f t="shared" si="248"/>
        <v>440000</v>
      </c>
    </row>
    <row r="1276" spans="1:21" s="645" customFormat="1" ht="24" customHeight="1">
      <c r="A1276" s="642"/>
      <c r="H1276" s="643"/>
      <c r="I1276" s="643"/>
      <c r="J1276" s="643"/>
      <c r="K1276" s="643"/>
      <c r="L1276" s="645" t="s">
        <v>482</v>
      </c>
      <c r="M1276" s="257">
        <f t="shared" ref="M1276:U1276" si="249">M788</f>
        <v>59900</v>
      </c>
      <c r="N1276" s="257">
        <f t="shared" si="249"/>
        <v>0</v>
      </c>
      <c r="O1276" s="647">
        <f t="shared" si="249"/>
        <v>0</v>
      </c>
      <c r="P1276" s="647">
        <f t="shared" si="249"/>
        <v>0</v>
      </c>
      <c r="Q1276" s="257">
        <f t="shared" si="249"/>
        <v>220000</v>
      </c>
      <c r="R1276" s="257">
        <f t="shared" si="249"/>
        <v>440000</v>
      </c>
      <c r="S1276" s="257">
        <f t="shared" si="249"/>
        <v>440000</v>
      </c>
      <c r="T1276" s="257">
        <f t="shared" si="249"/>
        <v>440000</v>
      </c>
      <c r="U1276" s="257">
        <f t="shared" si="249"/>
        <v>440000</v>
      </c>
    </row>
    <row r="1277" spans="1:21" s="89" customFormat="1" ht="24" customHeight="1">
      <c r="A1277" s="576"/>
      <c r="M1277" s="236"/>
      <c r="N1277" s="236"/>
      <c r="O1277" s="192"/>
      <c r="P1277" s="192"/>
      <c r="Q1277" s="236"/>
      <c r="R1277" s="236"/>
      <c r="S1277" s="236"/>
      <c r="T1277" s="236"/>
      <c r="U1277" s="236"/>
    </row>
    <row r="1278" spans="1:21" s="89" customFormat="1" ht="24" customHeight="1">
      <c r="A1278" s="576"/>
      <c r="H1278" s="700" t="s">
        <v>1457</v>
      </c>
      <c r="I1278" s="700"/>
      <c r="J1278" s="700"/>
      <c r="K1278" s="700"/>
      <c r="L1278" s="700"/>
      <c r="M1278" s="446">
        <f>SUM(M1279:M1282)</f>
        <v>167329</v>
      </c>
      <c r="N1278" s="446">
        <f>SUM(N1279:N1282)</f>
        <v>25897</v>
      </c>
      <c r="O1278" s="463">
        <f>SUM(O1279:O1282)</f>
        <v>0</v>
      </c>
      <c r="P1278" s="463">
        <f t="shared" ref="P1278" si="250">SUM(P1279:P1282)</f>
        <v>0</v>
      </c>
      <c r="Q1278" s="446">
        <f>SUM(Q1279:Q1282)</f>
        <v>0</v>
      </c>
      <c r="R1278" s="446">
        <f t="shared" ref="R1278:U1278" si="251">SUM(R1279:R1282)</f>
        <v>0</v>
      </c>
      <c r="S1278" s="446">
        <f t="shared" si="251"/>
        <v>0</v>
      </c>
      <c r="T1278" s="446">
        <f t="shared" si="251"/>
        <v>0</v>
      </c>
      <c r="U1278" s="446">
        <f t="shared" si="251"/>
        <v>0</v>
      </c>
    </row>
    <row r="1279" spans="1:21" s="89" customFormat="1" ht="24" customHeight="1">
      <c r="A1279" s="576"/>
      <c r="J1279" s="89" t="s">
        <v>1121</v>
      </c>
      <c r="M1279" s="236">
        <f t="shared" ref="M1279:U1279" si="252">M387</f>
        <v>186548</v>
      </c>
      <c r="N1279" s="236">
        <f t="shared" si="252"/>
        <v>41252</v>
      </c>
      <c r="O1279" s="192">
        <f t="shared" si="252"/>
        <v>2260000</v>
      </c>
      <c r="P1279" s="192">
        <f t="shared" si="252"/>
        <v>2001000</v>
      </c>
      <c r="Q1279" s="236">
        <f t="shared" si="252"/>
        <v>200000</v>
      </c>
      <c r="R1279" s="236">
        <f t="shared" si="252"/>
        <v>0</v>
      </c>
      <c r="S1279" s="236">
        <f t="shared" si="252"/>
        <v>0</v>
      </c>
      <c r="T1279" s="236">
        <f t="shared" si="252"/>
        <v>0</v>
      </c>
      <c r="U1279" s="236">
        <f t="shared" si="252"/>
        <v>0</v>
      </c>
    </row>
    <row r="1280" spans="1:21" s="645" customFormat="1" ht="24" customHeight="1">
      <c r="A1280" s="642"/>
      <c r="J1280" s="645" t="s">
        <v>1351</v>
      </c>
      <c r="L1280" s="644"/>
      <c r="M1280" s="236">
        <f t="shared" ref="M1280:U1280" si="253">M404</f>
        <v>0</v>
      </c>
      <c r="N1280" s="236">
        <f t="shared" si="253"/>
        <v>0</v>
      </c>
      <c r="O1280" s="192">
        <f t="shared" si="253"/>
        <v>0</v>
      </c>
      <c r="P1280" s="192">
        <f t="shared" si="253"/>
        <v>0</v>
      </c>
      <c r="Q1280" s="236">
        <f t="shared" si="253"/>
        <v>100000</v>
      </c>
      <c r="R1280" s="236">
        <f t="shared" si="253"/>
        <v>1100000</v>
      </c>
      <c r="S1280" s="236">
        <f t="shared" si="253"/>
        <v>0</v>
      </c>
      <c r="T1280" s="236">
        <f t="shared" si="253"/>
        <v>0</v>
      </c>
      <c r="U1280" s="236">
        <f t="shared" si="253"/>
        <v>0</v>
      </c>
    </row>
    <row r="1281" spans="1:21" s="645" customFormat="1" ht="24" customHeight="1">
      <c r="A1281" s="642"/>
      <c r="J1281" s="645" t="s">
        <v>1350</v>
      </c>
      <c r="L1281" s="644"/>
      <c r="M1281" s="236">
        <f t="shared" ref="M1281:U1281" si="254">M405</f>
        <v>0</v>
      </c>
      <c r="N1281" s="236">
        <f t="shared" si="254"/>
        <v>0</v>
      </c>
      <c r="O1281" s="192">
        <f t="shared" si="254"/>
        <v>60000</v>
      </c>
      <c r="P1281" s="192">
        <f t="shared" si="254"/>
        <v>60000</v>
      </c>
      <c r="Q1281" s="236">
        <f t="shared" si="254"/>
        <v>450000</v>
      </c>
      <c r="R1281" s="236">
        <f t="shared" si="254"/>
        <v>0</v>
      </c>
      <c r="S1281" s="236">
        <f t="shared" si="254"/>
        <v>0</v>
      </c>
      <c r="T1281" s="236">
        <f t="shared" si="254"/>
        <v>0</v>
      </c>
      <c r="U1281" s="236">
        <f t="shared" si="254"/>
        <v>0</v>
      </c>
    </row>
    <row r="1282" spans="1:21" s="89" customFormat="1" ht="24" customHeight="1">
      <c r="A1282" s="576"/>
      <c r="J1282" s="537" t="s">
        <v>1458</v>
      </c>
      <c r="M1282" s="293">
        <f t="shared" ref="M1282:U1282" si="255">-M348</f>
        <v>-19219</v>
      </c>
      <c r="N1282" s="293">
        <f t="shared" si="255"/>
        <v>-15355</v>
      </c>
      <c r="O1282" s="294">
        <f t="shared" si="255"/>
        <v>-2320000</v>
      </c>
      <c r="P1282" s="294">
        <f t="shared" si="255"/>
        <v>-2061000</v>
      </c>
      <c r="Q1282" s="293">
        <f t="shared" si="255"/>
        <v>-750000</v>
      </c>
      <c r="R1282" s="293">
        <f t="shared" si="255"/>
        <v>-1100000</v>
      </c>
      <c r="S1282" s="293">
        <f t="shared" si="255"/>
        <v>0</v>
      </c>
      <c r="T1282" s="293">
        <f t="shared" si="255"/>
        <v>0</v>
      </c>
      <c r="U1282" s="293">
        <f t="shared" si="255"/>
        <v>0</v>
      </c>
    </row>
    <row r="1283" spans="1:21" s="645" customFormat="1" ht="24" customHeight="1">
      <c r="A1283" s="642"/>
      <c r="L1283" s="293"/>
      <c r="M1283" s="293"/>
      <c r="N1283" s="293"/>
      <c r="O1283" s="294"/>
      <c r="P1283" s="294"/>
      <c r="Q1283" s="293"/>
      <c r="R1283" s="293"/>
      <c r="S1283" s="293"/>
      <c r="T1283" s="293"/>
      <c r="U1283" s="293"/>
    </row>
    <row r="1284" spans="1:21" s="110" customFormat="1" ht="24" customHeight="1">
      <c r="A1284" s="562"/>
      <c r="B1284" s="115" t="s">
        <v>954</v>
      </c>
      <c r="C1284" s="115"/>
      <c r="D1284" s="115"/>
      <c r="E1284" s="115"/>
      <c r="F1284" s="115"/>
      <c r="G1284" s="115"/>
      <c r="H1284" s="115"/>
      <c r="I1284" s="115"/>
      <c r="J1284" s="115"/>
      <c r="K1284" s="115"/>
      <c r="L1284" s="115"/>
      <c r="M1284" s="202"/>
      <c r="N1284" s="202"/>
      <c r="O1284" s="202"/>
      <c r="P1284" s="202"/>
      <c r="Q1284" s="202"/>
      <c r="R1284" s="202"/>
      <c r="S1284" s="202"/>
      <c r="T1284" s="202"/>
      <c r="U1284" s="202"/>
    </row>
    <row r="1285" spans="1:21" s="89" customFormat="1" ht="24" customHeight="1">
      <c r="A1285" s="576"/>
      <c r="H1285" s="700" t="s">
        <v>947</v>
      </c>
      <c r="I1285" s="700"/>
      <c r="J1285" s="700"/>
      <c r="K1285" s="700"/>
      <c r="L1285" s="700"/>
      <c r="M1285" s="446">
        <f>SUM(M1286:M1286)</f>
        <v>492</v>
      </c>
      <c r="N1285" s="446">
        <f t="shared" ref="N1285:U1285" si="256">SUM(N1286:N1286)</f>
        <v>0</v>
      </c>
      <c r="O1285" s="463">
        <f t="shared" si="256"/>
        <v>192000</v>
      </c>
      <c r="P1285" s="463">
        <f t="shared" si="256"/>
        <v>270000</v>
      </c>
      <c r="Q1285" s="446">
        <f t="shared" si="256"/>
        <v>265000</v>
      </c>
      <c r="R1285" s="446">
        <f t="shared" si="256"/>
        <v>0</v>
      </c>
      <c r="S1285" s="446">
        <f t="shared" si="256"/>
        <v>0</v>
      </c>
      <c r="T1285" s="446">
        <f t="shared" si="256"/>
        <v>0</v>
      </c>
      <c r="U1285" s="446">
        <f t="shared" si="256"/>
        <v>0</v>
      </c>
    </row>
    <row r="1286" spans="1:21" s="89" customFormat="1" ht="24" customHeight="1">
      <c r="A1286" s="576"/>
      <c r="H1286" s="141"/>
      <c r="I1286" s="141"/>
      <c r="J1286" s="141"/>
      <c r="K1286" s="141"/>
      <c r="L1286" s="89" t="s">
        <v>481</v>
      </c>
      <c r="M1286" s="236">
        <f t="shared" ref="M1286:U1286" si="257">M684</f>
        <v>492</v>
      </c>
      <c r="N1286" s="236">
        <f t="shared" si="257"/>
        <v>0</v>
      </c>
      <c r="O1286" s="192">
        <f t="shared" si="257"/>
        <v>192000</v>
      </c>
      <c r="P1286" s="192">
        <f t="shared" si="257"/>
        <v>270000</v>
      </c>
      <c r="Q1286" s="236">
        <f t="shared" si="257"/>
        <v>265000</v>
      </c>
      <c r="R1286" s="236">
        <f t="shared" si="257"/>
        <v>0</v>
      </c>
      <c r="S1286" s="236">
        <f t="shared" si="257"/>
        <v>0</v>
      </c>
      <c r="T1286" s="236">
        <f t="shared" si="257"/>
        <v>0</v>
      </c>
      <c r="U1286" s="236">
        <f t="shared" si="257"/>
        <v>0</v>
      </c>
    </row>
    <row r="1287" spans="1:21" s="89" customFormat="1" ht="24" customHeight="1">
      <c r="A1287" s="576"/>
      <c r="H1287" s="141"/>
      <c r="I1287" s="141"/>
      <c r="J1287" s="141"/>
      <c r="K1287" s="141"/>
      <c r="M1287" s="236"/>
      <c r="N1287" s="236"/>
      <c r="O1287" s="192"/>
      <c r="P1287" s="192"/>
      <c r="Q1287" s="236"/>
      <c r="R1287" s="236"/>
      <c r="S1287" s="236"/>
      <c r="T1287" s="236"/>
      <c r="U1287" s="236"/>
    </row>
    <row r="1288" spans="1:21" s="89" customFormat="1" ht="24" customHeight="1">
      <c r="A1288" s="576"/>
      <c r="H1288" s="700" t="s">
        <v>1459</v>
      </c>
      <c r="I1288" s="700"/>
      <c r="J1288" s="700"/>
      <c r="K1288" s="700"/>
      <c r="L1288" s="700"/>
      <c r="M1288" s="446">
        <f>SUM(M1289:M1289)</f>
        <v>59622</v>
      </c>
      <c r="N1288" s="446">
        <f t="shared" ref="N1288:U1288" si="258">SUM(N1289:N1289)</f>
        <v>156368</v>
      </c>
      <c r="O1288" s="463">
        <f t="shared" si="258"/>
        <v>216000</v>
      </c>
      <c r="P1288" s="463">
        <f t="shared" si="258"/>
        <v>20000</v>
      </c>
      <c r="Q1288" s="446">
        <f t="shared" si="258"/>
        <v>210000</v>
      </c>
      <c r="R1288" s="446">
        <f t="shared" si="258"/>
        <v>187000</v>
      </c>
      <c r="S1288" s="446">
        <f t="shared" si="258"/>
        <v>0</v>
      </c>
      <c r="T1288" s="446">
        <f t="shared" si="258"/>
        <v>0</v>
      </c>
      <c r="U1288" s="446">
        <f t="shared" si="258"/>
        <v>0</v>
      </c>
    </row>
    <row r="1289" spans="1:21" s="89" customFormat="1" ht="24" customHeight="1">
      <c r="A1289" s="576"/>
      <c r="H1289" s="141"/>
      <c r="I1289" s="141"/>
      <c r="J1289" s="141"/>
      <c r="K1289" s="141"/>
      <c r="L1289" s="89" t="s">
        <v>481</v>
      </c>
      <c r="M1289" s="236">
        <f t="shared" ref="M1289:U1289" si="259">M694</f>
        <v>59622</v>
      </c>
      <c r="N1289" s="236">
        <f t="shared" si="259"/>
        <v>156368</v>
      </c>
      <c r="O1289" s="192">
        <f t="shared" si="259"/>
        <v>216000</v>
      </c>
      <c r="P1289" s="192">
        <f t="shared" si="259"/>
        <v>20000</v>
      </c>
      <c r="Q1289" s="236">
        <f t="shared" si="259"/>
        <v>210000</v>
      </c>
      <c r="R1289" s="236">
        <f t="shared" si="259"/>
        <v>187000</v>
      </c>
      <c r="S1289" s="236">
        <f t="shared" si="259"/>
        <v>0</v>
      </c>
      <c r="T1289" s="236">
        <f t="shared" si="259"/>
        <v>0</v>
      </c>
      <c r="U1289" s="236">
        <f t="shared" si="259"/>
        <v>0</v>
      </c>
    </row>
    <row r="1290" spans="1:21" s="89" customFormat="1" ht="24" customHeight="1">
      <c r="A1290" s="576"/>
      <c r="H1290" s="141"/>
      <c r="I1290" s="141"/>
      <c r="J1290" s="141"/>
      <c r="K1290" s="141"/>
      <c r="M1290" s="236"/>
      <c r="N1290" s="236"/>
      <c r="O1290" s="192"/>
      <c r="P1290" s="192"/>
      <c r="Q1290" s="236"/>
      <c r="R1290" s="236"/>
      <c r="S1290" s="236"/>
      <c r="T1290" s="236"/>
      <c r="U1290" s="236"/>
    </row>
    <row r="1291" spans="1:21" s="89" customFormat="1" ht="24" customHeight="1">
      <c r="A1291" s="576"/>
      <c r="H1291" s="700" t="s">
        <v>1460</v>
      </c>
      <c r="I1291" s="700"/>
      <c r="J1291" s="700"/>
      <c r="K1291" s="700"/>
      <c r="L1291" s="700"/>
      <c r="M1291" s="446">
        <f t="shared" ref="M1291:U1291" si="260">SUM(M1292:M1292)</f>
        <v>0</v>
      </c>
      <c r="N1291" s="446">
        <f t="shared" si="260"/>
        <v>0</v>
      </c>
      <c r="O1291" s="463">
        <f t="shared" si="260"/>
        <v>20000</v>
      </c>
      <c r="P1291" s="463">
        <f t="shared" si="260"/>
        <v>20000</v>
      </c>
      <c r="Q1291" s="446">
        <f t="shared" si="260"/>
        <v>681000</v>
      </c>
      <c r="R1291" s="446">
        <f t="shared" si="260"/>
        <v>40000</v>
      </c>
      <c r="S1291" s="446">
        <f t="shared" si="260"/>
        <v>870000</v>
      </c>
      <c r="T1291" s="446">
        <f t="shared" si="260"/>
        <v>0</v>
      </c>
      <c r="U1291" s="446">
        <f t="shared" si="260"/>
        <v>0</v>
      </c>
    </row>
    <row r="1292" spans="1:21" s="89" customFormat="1" ht="24" customHeight="1">
      <c r="A1292" s="576"/>
      <c r="H1292" s="141"/>
      <c r="I1292" s="141"/>
      <c r="J1292" s="141"/>
      <c r="K1292" s="141"/>
      <c r="L1292" s="89" t="s">
        <v>481</v>
      </c>
      <c r="M1292" s="236">
        <f t="shared" ref="M1292:U1292" si="261">M683</f>
        <v>0</v>
      </c>
      <c r="N1292" s="236">
        <f t="shared" si="261"/>
        <v>0</v>
      </c>
      <c r="O1292" s="192">
        <f t="shared" si="261"/>
        <v>20000</v>
      </c>
      <c r="P1292" s="192">
        <f t="shared" si="261"/>
        <v>20000</v>
      </c>
      <c r="Q1292" s="236">
        <f t="shared" si="261"/>
        <v>681000</v>
      </c>
      <c r="R1292" s="236">
        <f t="shared" si="261"/>
        <v>40000</v>
      </c>
      <c r="S1292" s="236">
        <f t="shared" si="261"/>
        <v>870000</v>
      </c>
      <c r="T1292" s="236">
        <f t="shared" si="261"/>
        <v>0</v>
      </c>
      <c r="U1292" s="236">
        <f t="shared" si="261"/>
        <v>0</v>
      </c>
    </row>
    <row r="1293" spans="1:21" s="89" customFormat="1" ht="24" customHeight="1">
      <c r="A1293" s="576"/>
      <c r="L1293" s="128"/>
      <c r="M1293" s="293"/>
      <c r="N1293" s="293"/>
      <c r="O1293" s="294"/>
      <c r="P1293" s="294"/>
      <c r="Q1293" s="293"/>
      <c r="R1293" s="293"/>
      <c r="S1293" s="293"/>
      <c r="T1293" s="293"/>
      <c r="U1293" s="293"/>
    </row>
    <row r="1294" spans="1:21" s="536" customFormat="1" ht="24" customHeight="1">
      <c r="A1294" s="576"/>
      <c r="H1294" s="706" t="s">
        <v>1346</v>
      </c>
      <c r="I1294" s="706"/>
      <c r="J1294" s="706"/>
      <c r="K1294" s="706"/>
      <c r="L1294" s="706"/>
      <c r="M1294" s="446">
        <f t="shared" ref="M1294:U1294" si="262">M1295+M1296+M1297</f>
        <v>0</v>
      </c>
      <c r="N1294" s="651">
        <f t="shared" si="262"/>
        <v>-626812</v>
      </c>
      <c r="O1294" s="539">
        <f t="shared" si="262"/>
        <v>835750</v>
      </c>
      <c r="P1294" s="539">
        <f t="shared" si="262"/>
        <v>1117641.0900000001</v>
      </c>
      <c r="Q1294" s="651">
        <f t="shared" si="262"/>
        <v>-123937</v>
      </c>
      <c r="R1294" s="652">
        <f t="shared" si="262"/>
        <v>0</v>
      </c>
      <c r="S1294" s="652">
        <f t="shared" si="262"/>
        <v>0</v>
      </c>
      <c r="T1294" s="652">
        <f t="shared" si="262"/>
        <v>0</v>
      </c>
      <c r="U1294" s="652">
        <f t="shared" si="262"/>
        <v>0</v>
      </c>
    </row>
    <row r="1295" spans="1:21" s="536" customFormat="1" ht="24" customHeight="1">
      <c r="A1295" s="576"/>
      <c r="L1295" s="645" t="s">
        <v>570</v>
      </c>
      <c r="M1295" s="236">
        <f t="shared" ref="M1295:U1295" si="263">M321</f>
        <v>0</v>
      </c>
      <c r="N1295" s="236">
        <f t="shared" si="263"/>
        <v>0</v>
      </c>
      <c r="O1295" s="192">
        <f t="shared" si="263"/>
        <v>1253625</v>
      </c>
      <c r="P1295" s="192">
        <f t="shared" si="263"/>
        <v>1253625</v>
      </c>
      <c r="Q1295" s="236">
        <f t="shared" si="263"/>
        <v>0</v>
      </c>
      <c r="R1295" s="533">
        <f t="shared" si="263"/>
        <v>0</v>
      </c>
      <c r="S1295" s="236">
        <f t="shared" si="263"/>
        <v>0</v>
      </c>
      <c r="T1295" s="236">
        <f t="shared" si="263"/>
        <v>0</v>
      </c>
      <c r="U1295" s="236">
        <f t="shared" si="263"/>
        <v>0</v>
      </c>
    </row>
    <row r="1296" spans="1:21" s="536" customFormat="1" ht="24" customHeight="1">
      <c r="A1296" s="576"/>
      <c r="L1296" s="536" t="s">
        <v>879</v>
      </c>
      <c r="M1296" s="236">
        <v>0</v>
      </c>
      <c r="N1296" s="236">
        <v>0</v>
      </c>
      <c r="O1296" s="192">
        <v>0</v>
      </c>
      <c r="P1296" s="192">
        <v>281891.09000000008</v>
      </c>
      <c r="Q1296" s="236">
        <v>85000</v>
      </c>
      <c r="R1296" s="236">
        <v>0</v>
      </c>
      <c r="S1296" s="236">
        <f>S693</f>
        <v>0</v>
      </c>
      <c r="T1296" s="236">
        <f>T693</f>
        <v>0</v>
      </c>
      <c r="U1296" s="236">
        <f>U693</f>
        <v>0</v>
      </c>
    </row>
    <row r="1297" spans="1:21" s="536" customFormat="1" ht="24" customHeight="1">
      <c r="A1297" s="576"/>
      <c r="L1297" s="537" t="s">
        <v>1349</v>
      </c>
      <c r="M1297" s="293">
        <f t="shared" ref="M1297:U1297" si="264">-M314</f>
        <v>0</v>
      </c>
      <c r="N1297" s="293">
        <f t="shared" si="264"/>
        <v>-626812</v>
      </c>
      <c r="O1297" s="294">
        <f t="shared" si="264"/>
        <v>-417875</v>
      </c>
      <c r="P1297" s="294">
        <f t="shared" si="264"/>
        <v>-417875</v>
      </c>
      <c r="Q1297" s="293">
        <f t="shared" si="264"/>
        <v>-208937</v>
      </c>
      <c r="R1297" s="293">
        <f t="shared" si="264"/>
        <v>0</v>
      </c>
      <c r="S1297" s="293">
        <f t="shared" si="264"/>
        <v>0</v>
      </c>
      <c r="T1297" s="293">
        <f t="shared" si="264"/>
        <v>0</v>
      </c>
      <c r="U1297" s="293">
        <f t="shared" si="264"/>
        <v>0</v>
      </c>
    </row>
    <row r="1298" spans="1:21" s="536" customFormat="1" ht="24" customHeight="1">
      <c r="A1298" s="576"/>
      <c r="M1298" s="236"/>
      <c r="N1298" s="236"/>
      <c r="O1298" s="192"/>
      <c r="P1298" s="192"/>
      <c r="Q1298" s="236"/>
      <c r="R1298" s="236"/>
      <c r="S1298" s="236"/>
      <c r="T1298" s="236"/>
      <c r="U1298" s="236"/>
    </row>
    <row r="1299" spans="1:21" s="536" customFormat="1" ht="24" customHeight="1">
      <c r="A1299" s="576"/>
      <c r="H1299" s="707" t="s">
        <v>1347</v>
      </c>
      <c r="I1299" s="707"/>
      <c r="J1299" s="707"/>
      <c r="K1299" s="707"/>
      <c r="L1299" s="707"/>
      <c r="M1299" s="446">
        <f t="shared" ref="M1299:U1299" si="265">M1300+M1301</f>
        <v>0</v>
      </c>
      <c r="N1299" s="446">
        <f t="shared" si="265"/>
        <v>0</v>
      </c>
      <c r="O1299" s="463">
        <f t="shared" si="265"/>
        <v>70000</v>
      </c>
      <c r="P1299" s="463">
        <f t="shared" si="265"/>
        <v>70000</v>
      </c>
      <c r="Q1299" s="446">
        <f t="shared" si="265"/>
        <v>158825</v>
      </c>
      <c r="R1299" s="446">
        <f t="shared" si="265"/>
        <v>0</v>
      </c>
      <c r="S1299" s="446">
        <f t="shared" si="265"/>
        <v>0</v>
      </c>
      <c r="T1299" s="446">
        <f t="shared" si="265"/>
        <v>0</v>
      </c>
      <c r="U1299" s="446">
        <f t="shared" si="265"/>
        <v>0</v>
      </c>
    </row>
    <row r="1300" spans="1:21" s="536" customFormat="1" ht="24" customHeight="1">
      <c r="A1300" s="576"/>
      <c r="L1300" s="536" t="s">
        <v>879</v>
      </c>
      <c r="M1300" s="236">
        <f t="shared" ref="M1300:U1300" si="266">M392</f>
        <v>0</v>
      </c>
      <c r="N1300" s="236">
        <f t="shared" si="266"/>
        <v>0</v>
      </c>
      <c r="O1300" s="192">
        <f t="shared" si="266"/>
        <v>70000</v>
      </c>
      <c r="P1300" s="192">
        <f t="shared" si="266"/>
        <v>70000</v>
      </c>
      <c r="Q1300" s="236">
        <f t="shared" si="266"/>
        <v>635300</v>
      </c>
      <c r="R1300" s="236">
        <f t="shared" si="266"/>
        <v>0</v>
      </c>
      <c r="S1300" s="236">
        <f t="shared" si="266"/>
        <v>0</v>
      </c>
      <c r="T1300" s="236">
        <f t="shared" si="266"/>
        <v>0</v>
      </c>
      <c r="U1300" s="236">
        <f t="shared" si="266"/>
        <v>0</v>
      </c>
    </row>
    <row r="1301" spans="1:21" s="536" customFormat="1" ht="24" customHeight="1">
      <c r="A1301" s="576"/>
      <c r="L1301" s="537" t="s">
        <v>1348</v>
      </c>
      <c r="M1301" s="293">
        <f t="shared" ref="M1301:U1301" si="267">-M335</f>
        <v>0</v>
      </c>
      <c r="N1301" s="293">
        <f t="shared" si="267"/>
        <v>0</v>
      </c>
      <c r="O1301" s="294">
        <f t="shared" si="267"/>
        <v>0</v>
      </c>
      <c r="P1301" s="294">
        <f t="shared" si="267"/>
        <v>0</v>
      </c>
      <c r="Q1301" s="293">
        <f t="shared" si="267"/>
        <v>-476475</v>
      </c>
      <c r="R1301" s="293">
        <f t="shared" si="267"/>
        <v>0</v>
      </c>
      <c r="S1301" s="293">
        <f t="shared" si="267"/>
        <v>0</v>
      </c>
      <c r="T1301" s="293">
        <f t="shared" si="267"/>
        <v>0</v>
      </c>
      <c r="U1301" s="293">
        <f t="shared" si="267"/>
        <v>0</v>
      </c>
    </row>
    <row r="1302" spans="1:21" s="645" customFormat="1" ht="24" customHeight="1">
      <c r="A1302" s="642"/>
      <c r="L1302" s="537"/>
      <c r="M1302" s="293"/>
      <c r="N1302" s="293"/>
      <c r="O1302" s="294"/>
      <c r="P1302" s="294"/>
      <c r="Q1302" s="293"/>
      <c r="R1302" s="293"/>
      <c r="S1302" s="293"/>
      <c r="T1302" s="293"/>
      <c r="U1302" s="293"/>
    </row>
    <row r="1303" spans="1:21" s="645" customFormat="1" ht="24" customHeight="1">
      <c r="A1303" s="642"/>
      <c r="H1303" s="707" t="s">
        <v>1461</v>
      </c>
      <c r="I1303" s="707"/>
      <c r="J1303" s="707"/>
      <c r="K1303" s="707"/>
      <c r="L1303" s="707"/>
      <c r="M1303" s="446">
        <f t="shared" ref="M1303:U1303" si="268">M1304+M1305</f>
        <v>0</v>
      </c>
      <c r="N1303" s="446">
        <f t="shared" si="268"/>
        <v>0</v>
      </c>
      <c r="O1303" s="463">
        <f t="shared" si="268"/>
        <v>0</v>
      </c>
      <c r="P1303" s="463">
        <f t="shared" si="268"/>
        <v>0</v>
      </c>
      <c r="Q1303" s="446">
        <f t="shared" si="268"/>
        <v>184855</v>
      </c>
      <c r="R1303" s="446">
        <f t="shared" si="268"/>
        <v>0</v>
      </c>
      <c r="S1303" s="446">
        <f t="shared" si="268"/>
        <v>0</v>
      </c>
      <c r="T1303" s="446">
        <f t="shared" si="268"/>
        <v>0</v>
      </c>
      <c r="U1303" s="446">
        <f t="shared" si="268"/>
        <v>0</v>
      </c>
    </row>
    <row r="1304" spans="1:21" s="645" customFormat="1" ht="24" customHeight="1">
      <c r="A1304" s="642"/>
      <c r="L1304" s="645" t="s">
        <v>879</v>
      </c>
      <c r="M1304" s="236">
        <f t="shared" ref="M1304:U1304" si="269">M406</f>
        <v>0</v>
      </c>
      <c r="N1304" s="236">
        <f t="shared" si="269"/>
        <v>0</v>
      </c>
      <c r="O1304" s="192">
        <f t="shared" si="269"/>
        <v>0</v>
      </c>
      <c r="P1304" s="192">
        <f t="shared" si="269"/>
        <v>0</v>
      </c>
      <c r="Q1304" s="236">
        <f t="shared" si="269"/>
        <v>583000</v>
      </c>
      <c r="R1304" s="236">
        <f t="shared" si="269"/>
        <v>0</v>
      </c>
      <c r="S1304" s="236">
        <f t="shared" si="269"/>
        <v>0</v>
      </c>
      <c r="T1304" s="236">
        <f t="shared" si="269"/>
        <v>0</v>
      </c>
      <c r="U1304" s="236">
        <f t="shared" si="269"/>
        <v>0</v>
      </c>
    </row>
    <row r="1305" spans="1:21" s="645" customFormat="1" ht="24" customHeight="1">
      <c r="A1305" s="642"/>
      <c r="L1305" s="537" t="s">
        <v>1348</v>
      </c>
      <c r="M1305" s="293">
        <f t="shared" ref="M1305:U1305" si="270">-M337</f>
        <v>0</v>
      </c>
      <c r="N1305" s="293">
        <f t="shared" si="270"/>
        <v>0</v>
      </c>
      <c r="O1305" s="294">
        <f t="shared" si="270"/>
        <v>0</v>
      </c>
      <c r="P1305" s="294">
        <f t="shared" si="270"/>
        <v>0</v>
      </c>
      <c r="Q1305" s="293">
        <f t="shared" si="270"/>
        <v>-398145</v>
      </c>
      <c r="R1305" s="293">
        <f t="shared" si="270"/>
        <v>0</v>
      </c>
      <c r="S1305" s="293">
        <f t="shared" si="270"/>
        <v>0</v>
      </c>
      <c r="T1305" s="293">
        <f t="shared" si="270"/>
        <v>0</v>
      </c>
      <c r="U1305" s="293">
        <f t="shared" si="270"/>
        <v>0</v>
      </c>
    </row>
    <row r="1306" spans="1:21" s="645" customFormat="1" ht="24" customHeight="1">
      <c r="A1306" s="642"/>
      <c r="L1306" s="537"/>
      <c r="M1306" s="293"/>
      <c r="N1306" s="293"/>
      <c r="O1306" s="294"/>
      <c r="P1306" s="294"/>
      <c r="Q1306" s="293"/>
      <c r="R1306" s="293"/>
      <c r="S1306" s="293"/>
      <c r="T1306" s="293"/>
      <c r="U1306" s="293"/>
    </row>
    <row r="1307" spans="1:21" s="645" customFormat="1" ht="24" customHeight="1">
      <c r="A1307" s="642"/>
      <c r="H1307" s="700" t="s">
        <v>1462</v>
      </c>
      <c r="I1307" s="700"/>
      <c r="J1307" s="700"/>
      <c r="K1307" s="700"/>
      <c r="L1307" s="700"/>
      <c r="M1307" s="446">
        <f>SUM(M1308:M1311)</f>
        <v>0</v>
      </c>
      <c r="N1307" s="446">
        <f>SUM(N1308:N1311)</f>
        <v>0</v>
      </c>
      <c r="O1307" s="463">
        <f>SUM(O1308:O1311)</f>
        <v>0</v>
      </c>
      <c r="P1307" s="463">
        <f t="shared" ref="P1307" si="271">SUM(P1308:P1311)</f>
        <v>0</v>
      </c>
      <c r="Q1307" s="446">
        <f>SUM(Q1308:Q1311)</f>
        <v>199874</v>
      </c>
      <c r="R1307" s="446">
        <f t="shared" ref="R1307" si="272">SUM(R1308:R1311)</f>
        <v>616056</v>
      </c>
      <c r="S1307" s="446">
        <f t="shared" ref="S1307" si="273">SUM(S1308:S1311)</f>
        <v>770070</v>
      </c>
      <c r="T1307" s="446">
        <f t="shared" ref="T1307" si="274">SUM(T1308:T1311)</f>
        <v>0</v>
      </c>
      <c r="U1307" s="446">
        <f t="shared" ref="U1307" si="275">SUM(U1308:U1311)</f>
        <v>0</v>
      </c>
    </row>
    <row r="1308" spans="1:21" s="645" customFormat="1" ht="24" customHeight="1">
      <c r="A1308" s="642"/>
      <c r="L1308" s="645" t="s">
        <v>1463</v>
      </c>
      <c r="M1308" s="236">
        <f t="shared" ref="M1308:U1308" si="276">M402</f>
        <v>0</v>
      </c>
      <c r="N1308" s="236">
        <f t="shared" si="276"/>
        <v>0</v>
      </c>
      <c r="O1308" s="192">
        <f t="shared" si="276"/>
        <v>0</v>
      </c>
      <c r="P1308" s="192">
        <f t="shared" si="276"/>
        <v>0</v>
      </c>
      <c r="Q1308" s="236">
        <f t="shared" si="276"/>
        <v>330192</v>
      </c>
      <c r="R1308" s="236">
        <f t="shared" si="276"/>
        <v>1320768</v>
      </c>
      <c r="S1308" s="236">
        <f t="shared" si="276"/>
        <v>1650960</v>
      </c>
      <c r="T1308" s="236">
        <f t="shared" si="276"/>
        <v>0</v>
      </c>
      <c r="U1308" s="236">
        <f t="shared" si="276"/>
        <v>0</v>
      </c>
    </row>
    <row r="1309" spans="1:21" s="645" customFormat="1" ht="24" customHeight="1">
      <c r="A1309" s="642"/>
      <c r="L1309" s="644" t="s">
        <v>481</v>
      </c>
      <c r="M1309" s="236">
        <f t="shared" ref="M1309:U1309" si="277">M692</f>
        <v>0</v>
      </c>
      <c r="N1309" s="236">
        <f t="shared" si="277"/>
        <v>0</v>
      </c>
      <c r="O1309" s="192">
        <f t="shared" si="277"/>
        <v>0</v>
      </c>
      <c r="P1309" s="192">
        <f t="shared" si="277"/>
        <v>0</v>
      </c>
      <c r="Q1309" s="236">
        <f t="shared" si="277"/>
        <v>123822</v>
      </c>
      <c r="R1309" s="236">
        <f t="shared" si="277"/>
        <v>495288</v>
      </c>
      <c r="S1309" s="236">
        <f t="shared" si="277"/>
        <v>619110</v>
      </c>
      <c r="T1309" s="236">
        <f t="shared" si="277"/>
        <v>0</v>
      </c>
      <c r="U1309" s="236">
        <f t="shared" si="277"/>
        <v>0</v>
      </c>
    </row>
    <row r="1310" spans="1:21" s="645" customFormat="1" ht="24" customHeight="1">
      <c r="A1310" s="642"/>
      <c r="L1310" s="644" t="s">
        <v>482</v>
      </c>
      <c r="M1310" s="236">
        <f t="shared" ref="M1310:U1310" si="278">M793</f>
        <v>0</v>
      </c>
      <c r="N1310" s="236">
        <f t="shared" si="278"/>
        <v>0</v>
      </c>
      <c r="O1310" s="192">
        <f t="shared" si="278"/>
        <v>0</v>
      </c>
      <c r="P1310" s="192">
        <f t="shared" si="278"/>
        <v>0</v>
      </c>
      <c r="Q1310" s="236">
        <f t="shared" si="278"/>
        <v>45860</v>
      </c>
      <c r="R1310" s="236">
        <f t="shared" si="278"/>
        <v>0</v>
      </c>
      <c r="S1310" s="236">
        <f t="shared" si="278"/>
        <v>0</v>
      </c>
      <c r="T1310" s="236">
        <f t="shared" si="278"/>
        <v>0</v>
      </c>
      <c r="U1310" s="236">
        <f t="shared" si="278"/>
        <v>0</v>
      </c>
    </row>
    <row r="1311" spans="1:21" s="645" customFormat="1" ht="24" customHeight="1">
      <c r="A1311" s="642"/>
      <c r="J1311" s="537"/>
      <c r="L1311" s="537" t="s">
        <v>1348</v>
      </c>
      <c r="M1311" s="293">
        <f t="shared" ref="M1311:U1311" si="279">-M336</f>
        <v>0</v>
      </c>
      <c r="N1311" s="293">
        <f t="shared" si="279"/>
        <v>0</v>
      </c>
      <c r="O1311" s="294">
        <f t="shared" si="279"/>
        <v>0</v>
      </c>
      <c r="P1311" s="294">
        <f t="shared" si="279"/>
        <v>0</v>
      </c>
      <c r="Q1311" s="293">
        <f t="shared" si="279"/>
        <v>-300000</v>
      </c>
      <c r="R1311" s="293">
        <f t="shared" si="279"/>
        <v>-1200000</v>
      </c>
      <c r="S1311" s="293">
        <f t="shared" si="279"/>
        <v>-1500000</v>
      </c>
      <c r="T1311" s="293">
        <f t="shared" si="279"/>
        <v>0</v>
      </c>
      <c r="U1311" s="293">
        <f t="shared" si="279"/>
        <v>0</v>
      </c>
    </row>
    <row r="1312" spans="1:21" s="645" customFormat="1" ht="24" customHeight="1">
      <c r="A1312" s="642"/>
      <c r="J1312" s="537"/>
      <c r="L1312" s="537"/>
      <c r="M1312" s="293"/>
      <c r="N1312" s="293"/>
      <c r="O1312" s="294"/>
      <c r="P1312" s="294"/>
      <c r="Q1312" s="293"/>
      <c r="R1312" s="293"/>
      <c r="S1312" s="293"/>
      <c r="T1312" s="293"/>
      <c r="U1312" s="293"/>
    </row>
    <row r="1313" spans="1:21" s="645" customFormat="1" ht="24" customHeight="1">
      <c r="A1313" s="642"/>
      <c r="H1313" s="700" t="s">
        <v>1464</v>
      </c>
      <c r="I1313" s="700"/>
      <c r="J1313" s="700"/>
      <c r="K1313" s="700"/>
      <c r="L1313" s="700"/>
      <c r="M1313" s="446">
        <f t="shared" ref="M1313:U1313" si="280">SUM(M1314:M1314)</f>
        <v>0</v>
      </c>
      <c r="N1313" s="446">
        <f t="shared" si="280"/>
        <v>0</v>
      </c>
      <c r="O1313" s="463">
        <f t="shared" si="280"/>
        <v>0</v>
      </c>
      <c r="P1313" s="463">
        <f t="shared" si="280"/>
        <v>0</v>
      </c>
      <c r="Q1313" s="446">
        <f t="shared" si="280"/>
        <v>534000</v>
      </c>
      <c r="R1313" s="446">
        <f t="shared" si="280"/>
        <v>300000</v>
      </c>
      <c r="S1313" s="446">
        <f t="shared" si="280"/>
        <v>150000</v>
      </c>
      <c r="T1313" s="446">
        <f t="shared" si="280"/>
        <v>0</v>
      </c>
      <c r="U1313" s="446">
        <f t="shared" si="280"/>
        <v>0</v>
      </c>
    </row>
    <row r="1314" spans="1:21" s="645" customFormat="1" ht="24" customHeight="1">
      <c r="A1314" s="642"/>
      <c r="H1314" s="643"/>
      <c r="I1314" s="643"/>
      <c r="J1314" s="643"/>
      <c r="K1314" s="643"/>
      <c r="L1314" s="645" t="s">
        <v>481</v>
      </c>
      <c r="M1314" s="236">
        <f t="shared" ref="M1314:U1314" si="281">M682</f>
        <v>0</v>
      </c>
      <c r="N1314" s="236">
        <f t="shared" si="281"/>
        <v>0</v>
      </c>
      <c r="O1314" s="192">
        <f t="shared" si="281"/>
        <v>0</v>
      </c>
      <c r="P1314" s="192">
        <f t="shared" si="281"/>
        <v>0</v>
      </c>
      <c r="Q1314" s="236">
        <f t="shared" si="281"/>
        <v>534000</v>
      </c>
      <c r="R1314" s="236">
        <f t="shared" si="281"/>
        <v>300000</v>
      </c>
      <c r="S1314" s="236">
        <f t="shared" si="281"/>
        <v>150000</v>
      </c>
      <c r="T1314" s="236">
        <f t="shared" si="281"/>
        <v>0</v>
      </c>
      <c r="U1314" s="236">
        <f t="shared" si="281"/>
        <v>0</v>
      </c>
    </row>
    <row r="1315" spans="1:21" s="645" customFormat="1" ht="24" customHeight="1">
      <c r="A1315" s="642"/>
      <c r="J1315" s="537"/>
      <c r="L1315" s="537"/>
      <c r="M1315" s="293"/>
      <c r="N1315" s="293"/>
      <c r="O1315" s="294"/>
      <c r="P1315" s="294"/>
      <c r="Q1315" s="293"/>
      <c r="R1315" s="293"/>
      <c r="S1315" s="293"/>
      <c r="T1315" s="293"/>
      <c r="U1315" s="293"/>
    </row>
    <row r="1316" spans="1:21" s="645" customFormat="1" ht="24" customHeight="1">
      <c r="A1316" s="642"/>
      <c r="H1316" s="700" t="s">
        <v>1465</v>
      </c>
      <c r="I1316" s="700"/>
      <c r="J1316" s="700"/>
      <c r="K1316" s="700"/>
      <c r="L1316" s="700"/>
      <c r="M1316" s="446">
        <f>SUM(M1317:M1319)</f>
        <v>0</v>
      </c>
      <c r="N1316" s="446">
        <f>SUM(N1317:N1319)</f>
        <v>0</v>
      </c>
      <c r="O1316" s="463">
        <f t="shared" ref="O1316:P1316" si="282">SUM(O1317:O1319)</f>
        <v>0</v>
      </c>
      <c r="P1316" s="463">
        <f t="shared" si="282"/>
        <v>0</v>
      </c>
      <c r="Q1316" s="446">
        <f>SUM(Q1317:Q1319)</f>
        <v>0</v>
      </c>
      <c r="R1316" s="446">
        <f>SUM(R1317:R1319)</f>
        <v>0</v>
      </c>
      <c r="S1316" s="446">
        <f t="shared" ref="S1316:U1316" si="283">SUM(S1317:S1319)</f>
        <v>0</v>
      </c>
      <c r="T1316" s="446">
        <f t="shared" si="283"/>
        <v>0</v>
      </c>
      <c r="U1316" s="446">
        <f t="shared" si="283"/>
        <v>0</v>
      </c>
    </row>
    <row r="1317" spans="1:21" s="645" customFormat="1" ht="24" customHeight="1">
      <c r="A1317" s="642"/>
      <c r="L1317" s="645" t="s">
        <v>482</v>
      </c>
      <c r="M1317" s="236">
        <f t="shared" ref="M1317:U1317" si="284">M795</f>
        <v>0</v>
      </c>
      <c r="N1317" s="236">
        <f t="shared" si="284"/>
        <v>0</v>
      </c>
      <c r="O1317" s="192">
        <f t="shared" si="284"/>
        <v>0</v>
      </c>
      <c r="P1317" s="192">
        <f t="shared" si="284"/>
        <v>0</v>
      </c>
      <c r="Q1317" s="236">
        <f t="shared" si="284"/>
        <v>3227415</v>
      </c>
      <c r="R1317" s="236">
        <f t="shared" si="284"/>
        <v>0</v>
      </c>
      <c r="S1317" s="236">
        <f t="shared" si="284"/>
        <v>0</v>
      </c>
      <c r="T1317" s="236">
        <f t="shared" si="284"/>
        <v>0</v>
      </c>
      <c r="U1317" s="236">
        <f t="shared" si="284"/>
        <v>0</v>
      </c>
    </row>
    <row r="1318" spans="1:21" s="645" customFormat="1" ht="24" customHeight="1">
      <c r="A1318" s="642"/>
      <c r="L1318" s="537" t="s">
        <v>1348</v>
      </c>
      <c r="M1318" s="293">
        <f t="shared" ref="M1318:U1318" si="285">-M727</f>
        <v>0</v>
      </c>
      <c r="N1318" s="293">
        <f t="shared" si="285"/>
        <v>0</v>
      </c>
      <c r="O1318" s="294">
        <f t="shared" si="285"/>
        <v>0</v>
      </c>
      <c r="P1318" s="294">
        <f t="shared" si="285"/>
        <v>0</v>
      </c>
      <c r="Q1318" s="293">
        <f t="shared" si="285"/>
        <v>-1000000</v>
      </c>
      <c r="R1318" s="293">
        <f t="shared" si="285"/>
        <v>0</v>
      </c>
      <c r="S1318" s="293">
        <f t="shared" si="285"/>
        <v>0</v>
      </c>
      <c r="T1318" s="293">
        <f t="shared" si="285"/>
        <v>0</v>
      </c>
      <c r="U1318" s="293">
        <f t="shared" si="285"/>
        <v>0</v>
      </c>
    </row>
    <row r="1319" spans="1:21" s="645" customFormat="1" ht="24" customHeight="1">
      <c r="A1319" s="642"/>
      <c r="L1319" s="537" t="s">
        <v>1466</v>
      </c>
      <c r="M1319" s="293">
        <f t="shared" ref="M1319:U1319" si="286">-M736</f>
        <v>0</v>
      </c>
      <c r="N1319" s="293">
        <f t="shared" si="286"/>
        <v>0</v>
      </c>
      <c r="O1319" s="294">
        <f t="shared" si="286"/>
        <v>0</v>
      </c>
      <c r="P1319" s="294">
        <f t="shared" si="286"/>
        <v>0</v>
      </c>
      <c r="Q1319" s="293">
        <f t="shared" si="286"/>
        <v>-2227415</v>
      </c>
      <c r="R1319" s="293">
        <f t="shared" si="286"/>
        <v>0</v>
      </c>
      <c r="S1319" s="293">
        <f t="shared" si="286"/>
        <v>0</v>
      </c>
      <c r="T1319" s="293">
        <f t="shared" si="286"/>
        <v>0</v>
      </c>
      <c r="U1319" s="293">
        <f t="shared" si="286"/>
        <v>0</v>
      </c>
    </row>
    <row r="1320" spans="1:21" s="645" customFormat="1" ht="24" customHeight="1">
      <c r="A1320" s="642"/>
      <c r="L1320" s="537"/>
      <c r="M1320" s="236"/>
      <c r="N1320" s="236"/>
      <c r="O1320" s="192"/>
      <c r="P1320" s="192"/>
      <c r="Q1320" s="236"/>
      <c r="R1320" s="236"/>
      <c r="S1320" s="236"/>
      <c r="T1320" s="236"/>
      <c r="U1320" s="236"/>
    </row>
    <row r="1321" spans="1:21" s="645" customFormat="1" ht="24" customHeight="1">
      <c r="A1321" s="642"/>
      <c r="H1321" s="700" t="s">
        <v>1469</v>
      </c>
      <c r="I1321" s="700"/>
      <c r="J1321" s="700"/>
      <c r="K1321" s="700"/>
      <c r="L1321" s="700"/>
      <c r="M1321" s="446">
        <f>SUM(M1322:M1323)</f>
        <v>0</v>
      </c>
      <c r="N1321" s="446">
        <f>SUM(N1322:N1323)</f>
        <v>0</v>
      </c>
      <c r="O1321" s="463">
        <f t="shared" ref="O1321:P1321" si="287">SUM(O1322:O1323)</f>
        <v>267522</v>
      </c>
      <c r="P1321" s="538">
        <f t="shared" si="287"/>
        <v>-7231473</v>
      </c>
      <c r="Q1321" s="446">
        <f>SUM(Q1322:Q1323)</f>
        <v>8200000</v>
      </c>
      <c r="R1321" s="446">
        <f t="shared" ref="R1321:U1321" si="288">SUM(R1322:R1323)</f>
        <v>0</v>
      </c>
      <c r="S1321" s="446">
        <f t="shared" si="288"/>
        <v>0</v>
      </c>
      <c r="T1321" s="446">
        <f t="shared" si="288"/>
        <v>0</v>
      </c>
      <c r="U1321" s="446">
        <f t="shared" si="288"/>
        <v>0</v>
      </c>
    </row>
    <row r="1322" spans="1:21" s="645" customFormat="1" ht="24" customHeight="1">
      <c r="A1322" s="642"/>
      <c r="H1322" s="643"/>
      <c r="I1322" s="643"/>
      <c r="J1322" s="643"/>
      <c r="K1322" s="643"/>
      <c r="L1322" s="645" t="s">
        <v>1467</v>
      </c>
      <c r="M1322" s="236">
        <f t="shared" ref="M1322:U1322" si="289">M465+M479</f>
        <v>0</v>
      </c>
      <c r="N1322" s="236">
        <f t="shared" si="289"/>
        <v>0</v>
      </c>
      <c r="O1322" s="192">
        <f t="shared" si="289"/>
        <v>8975000</v>
      </c>
      <c r="P1322" s="192">
        <f t="shared" si="289"/>
        <v>2446503</v>
      </c>
      <c r="Q1322" s="236">
        <f t="shared" si="289"/>
        <v>8200000</v>
      </c>
      <c r="R1322" s="236">
        <f t="shared" si="289"/>
        <v>0</v>
      </c>
      <c r="S1322" s="236">
        <f t="shared" si="289"/>
        <v>0</v>
      </c>
      <c r="T1322" s="236">
        <f t="shared" si="289"/>
        <v>0</v>
      </c>
      <c r="U1322" s="236">
        <f t="shared" si="289"/>
        <v>0</v>
      </c>
    </row>
    <row r="1323" spans="1:21" s="645" customFormat="1" ht="24" customHeight="1">
      <c r="A1323" s="642"/>
      <c r="H1323" s="643"/>
      <c r="I1323" s="643"/>
      <c r="J1323" s="643"/>
      <c r="K1323" s="643"/>
      <c r="L1323" s="537" t="s">
        <v>1468</v>
      </c>
      <c r="M1323" s="293">
        <f>-M438</f>
        <v>0</v>
      </c>
      <c r="N1323" s="293">
        <f>-N438</f>
        <v>0</v>
      </c>
      <c r="O1323" s="294">
        <f>-O438+-O440</f>
        <v>-8707478</v>
      </c>
      <c r="P1323" s="294">
        <f>-P438+-P440+P456</f>
        <v>-9677976</v>
      </c>
      <c r="Q1323" s="293">
        <f>-Q438</f>
        <v>0</v>
      </c>
      <c r="R1323" s="293">
        <v>0</v>
      </c>
      <c r="S1323" s="293">
        <f>-S438</f>
        <v>0</v>
      </c>
      <c r="T1323" s="293">
        <f>-T438</f>
        <v>0</v>
      </c>
      <c r="U1323" s="293">
        <f>-U438</f>
        <v>0</v>
      </c>
    </row>
    <row r="1324" spans="1:21" s="645" customFormat="1" ht="24" customHeight="1">
      <c r="A1324" s="642"/>
      <c r="J1324" s="537"/>
      <c r="L1324" s="537"/>
      <c r="M1324" s="293"/>
      <c r="N1324" s="293"/>
      <c r="O1324" s="294"/>
      <c r="P1324" s="294"/>
      <c r="Q1324" s="293"/>
      <c r="R1324" s="293"/>
      <c r="S1324" s="293"/>
      <c r="T1324" s="293"/>
      <c r="U1324" s="293"/>
    </row>
    <row r="1325" spans="1:21" s="654" customFormat="1" ht="24" customHeight="1">
      <c r="A1325" s="653"/>
      <c r="B1325" s="115" t="s">
        <v>954</v>
      </c>
      <c r="C1325" s="115"/>
      <c r="D1325" s="115"/>
      <c r="E1325" s="115"/>
      <c r="F1325" s="115"/>
      <c r="G1325" s="115"/>
      <c r="H1325" s="115"/>
      <c r="I1325" s="115"/>
      <c r="J1325" s="115"/>
      <c r="K1325" s="115"/>
      <c r="L1325" s="115"/>
      <c r="M1325" s="202"/>
      <c r="N1325" s="202"/>
      <c r="O1325" s="202"/>
      <c r="P1325" s="202"/>
      <c r="Q1325" s="202"/>
      <c r="R1325" s="202"/>
      <c r="S1325" s="202"/>
      <c r="T1325" s="202"/>
      <c r="U1325" s="202"/>
    </row>
    <row r="1326" spans="1:21" s="645" customFormat="1" ht="24" customHeight="1">
      <c r="A1326" s="642"/>
      <c r="H1326" s="705" t="s">
        <v>1470</v>
      </c>
      <c r="I1326" s="705"/>
      <c r="J1326" s="705"/>
      <c r="K1326" s="705"/>
      <c r="L1326" s="705"/>
      <c r="M1326" s="446">
        <f>SUM(M1327:M1328)</f>
        <v>0</v>
      </c>
      <c r="N1326" s="446">
        <f>SUM(N1327:N1328)</f>
        <v>0</v>
      </c>
      <c r="O1326" s="463">
        <f t="shared" ref="O1326" si="290">SUM(O1327:O1328)</f>
        <v>0</v>
      </c>
      <c r="P1326" s="463">
        <f t="shared" ref="P1326" si="291">SUM(P1327:P1328)</f>
        <v>0</v>
      </c>
      <c r="Q1326" s="446">
        <f>SUM(Q1327:Q1328)</f>
        <v>1500000</v>
      </c>
      <c r="R1326" s="651">
        <f t="shared" ref="R1326" si="292">SUM(R1327:R1328)</f>
        <v>-12000000</v>
      </c>
      <c r="S1326" s="446">
        <f t="shared" ref="S1326" si="293">SUM(S1327:S1328)</f>
        <v>10500000</v>
      </c>
      <c r="T1326" s="446">
        <f t="shared" ref="T1326" si="294">SUM(T1327:T1328)</f>
        <v>0</v>
      </c>
      <c r="U1326" s="446">
        <f t="shared" ref="U1326" si="295">SUM(U1327:U1328)</f>
        <v>0</v>
      </c>
    </row>
    <row r="1327" spans="1:21" s="645" customFormat="1" ht="24" customHeight="1">
      <c r="A1327" s="642"/>
      <c r="H1327" s="643"/>
      <c r="I1327" s="643"/>
      <c r="J1327" s="643"/>
      <c r="K1327" s="643"/>
      <c r="L1327" s="645" t="s">
        <v>1467</v>
      </c>
      <c r="M1327" s="236">
        <f t="shared" ref="M1327:U1327" si="296">M466</f>
        <v>0</v>
      </c>
      <c r="N1327" s="236">
        <f t="shared" si="296"/>
        <v>0</v>
      </c>
      <c r="O1327" s="192">
        <f t="shared" si="296"/>
        <v>0</v>
      </c>
      <c r="P1327" s="192">
        <f t="shared" si="296"/>
        <v>0</v>
      </c>
      <c r="Q1327" s="236">
        <f t="shared" si="296"/>
        <v>1500000</v>
      </c>
      <c r="R1327" s="236">
        <f t="shared" si="296"/>
        <v>10000000</v>
      </c>
      <c r="S1327" s="236">
        <f t="shared" si="296"/>
        <v>10500000</v>
      </c>
      <c r="T1327" s="236">
        <f t="shared" si="296"/>
        <v>0</v>
      </c>
      <c r="U1327" s="236">
        <f t="shared" si="296"/>
        <v>0</v>
      </c>
    </row>
    <row r="1328" spans="1:21" s="645" customFormat="1" ht="24" customHeight="1">
      <c r="A1328" s="642"/>
      <c r="H1328" s="643"/>
      <c r="I1328" s="643"/>
      <c r="J1328" s="643"/>
      <c r="K1328" s="643"/>
      <c r="L1328" s="537" t="s">
        <v>1468</v>
      </c>
      <c r="M1328" s="293">
        <v>0</v>
      </c>
      <c r="N1328" s="293">
        <v>0</v>
      </c>
      <c r="O1328" s="294">
        <v>0</v>
      </c>
      <c r="P1328" s="294">
        <v>0</v>
      </c>
      <c r="Q1328" s="293">
        <v>0</v>
      </c>
      <c r="R1328" s="293">
        <f>-R438+-R440+R456</f>
        <v>-22000000</v>
      </c>
      <c r="S1328" s="293"/>
      <c r="T1328" s="293"/>
      <c r="U1328" s="293"/>
    </row>
    <row r="1329" spans="1:21" s="645" customFormat="1" ht="24" customHeight="1">
      <c r="A1329" s="642"/>
      <c r="J1329" s="537"/>
      <c r="L1329" s="537"/>
      <c r="M1329" s="293"/>
      <c r="N1329" s="293"/>
      <c r="O1329" s="294"/>
      <c r="P1329" s="294"/>
      <c r="Q1329" s="293"/>
      <c r="R1329" s="293"/>
      <c r="S1329" s="293"/>
      <c r="T1329" s="293"/>
      <c r="U1329" s="293"/>
    </row>
    <row r="1330" spans="1:21" s="645" customFormat="1" ht="24" customHeight="1">
      <c r="A1330" s="642"/>
      <c r="H1330" s="700" t="s">
        <v>571</v>
      </c>
      <c r="I1330" s="700"/>
      <c r="J1330" s="700"/>
      <c r="K1330" s="700"/>
      <c r="L1330" s="700"/>
      <c r="M1330" s="446">
        <f>SUM(M1331:M1332)</f>
        <v>59702</v>
      </c>
      <c r="N1330" s="446">
        <f>SUM(N1331:N1332)</f>
        <v>158102</v>
      </c>
      <c r="O1330" s="463">
        <f t="shared" ref="O1330:P1330" si="297">SUM(O1331:O1332)</f>
        <v>310000</v>
      </c>
      <c r="P1330" s="463">
        <f t="shared" si="297"/>
        <v>120259</v>
      </c>
      <c r="Q1330" s="446">
        <f>SUM(Q1331:Q1332)</f>
        <v>200000</v>
      </c>
      <c r="R1330" s="446">
        <f t="shared" ref="R1330:U1330" si="298">SUM(R1331:R1332)</f>
        <v>209000</v>
      </c>
      <c r="S1330" s="446">
        <f t="shared" si="298"/>
        <v>194400</v>
      </c>
      <c r="T1330" s="446">
        <f t="shared" si="298"/>
        <v>200700</v>
      </c>
      <c r="U1330" s="446">
        <f t="shared" si="298"/>
        <v>206550</v>
      </c>
    </row>
    <row r="1331" spans="1:21" s="645" customFormat="1" ht="24" customHeight="1">
      <c r="A1331" s="642"/>
      <c r="L1331" s="645" t="s">
        <v>1471</v>
      </c>
      <c r="M1331" s="236">
        <f t="shared" ref="M1331:U1331" si="299">M536</f>
        <v>59702</v>
      </c>
      <c r="N1331" s="236">
        <f t="shared" si="299"/>
        <v>113782</v>
      </c>
      <c r="O1331" s="192">
        <f t="shared" si="299"/>
        <v>260000</v>
      </c>
      <c r="P1331" s="192">
        <f t="shared" si="299"/>
        <v>120259</v>
      </c>
      <c r="Q1331" s="236">
        <f t="shared" si="299"/>
        <v>180000</v>
      </c>
      <c r="R1331" s="236">
        <f t="shared" si="299"/>
        <v>189000</v>
      </c>
      <c r="S1331" s="236">
        <f t="shared" si="299"/>
        <v>194400</v>
      </c>
      <c r="T1331" s="236">
        <f t="shared" si="299"/>
        <v>200700</v>
      </c>
      <c r="U1331" s="236">
        <f t="shared" si="299"/>
        <v>206550</v>
      </c>
    </row>
    <row r="1332" spans="1:21" s="645" customFormat="1" ht="24" customHeight="1">
      <c r="A1332" s="642"/>
      <c r="L1332" s="644" t="s">
        <v>1472</v>
      </c>
      <c r="M1332" s="236">
        <f t="shared" ref="M1332:U1332" si="300">M535</f>
        <v>0</v>
      </c>
      <c r="N1332" s="236">
        <f t="shared" si="300"/>
        <v>44320</v>
      </c>
      <c r="O1332" s="192">
        <f t="shared" si="300"/>
        <v>50000</v>
      </c>
      <c r="P1332" s="192">
        <f t="shared" si="300"/>
        <v>0</v>
      </c>
      <c r="Q1332" s="236">
        <f t="shared" si="300"/>
        <v>20000</v>
      </c>
      <c r="R1332" s="236">
        <f t="shared" si="300"/>
        <v>20000</v>
      </c>
      <c r="S1332" s="236">
        <f t="shared" si="300"/>
        <v>0</v>
      </c>
      <c r="T1332" s="236">
        <f t="shared" si="300"/>
        <v>0</v>
      </c>
      <c r="U1332" s="236">
        <f t="shared" si="300"/>
        <v>0</v>
      </c>
    </row>
    <row r="1333" spans="1:21" s="645" customFormat="1" ht="24" customHeight="1">
      <c r="A1333" s="642"/>
      <c r="J1333" s="537"/>
      <c r="L1333" s="537"/>
      <c r="M1333" s="293"/>
      <c r="N1333" s="293"/>
      <c r="O1333" s="294"/>
      <c r="P1333" s="294"/>
      <c r="Q1333" s="293"/>
      <c r="R1333" s="293"/>
      <c r="S1333" s="293"/>
      <c r="T1333" s="293"/>
      <c r="U1333" s="293"/>
    </row>
    <row r="1334" spans="1:21" s="645" customFormat="1" ht="24" customHeight="1">
      <c r="A1334" s="642"/>
      <c r="H1334" s="700" t="s">
        <v>647</v>
      </c>
      <c r="I1334" s="700"/>
      <c r="J1334" s="700"/>
      <c r="K1334" s="700"/>
      <c r="L1334" s="700"/>
      <c r="M1334" s="446">
        <f>SUM(M1335:M1336)</f>
        <v>353986</v>
      </c>
      <c r="N1334" s="446">
        <f>SUM(N1335:N1336)</f>
        <v>268731</v>
      </c>
      <c r="O1334" s="463">
        <f t="shared" ref="O1334" si="301">SUM(O1335:O1336)</f>
        <v>1144000</v>
      </c>
      <c r="P1334" s="463">
        <f t="shared" ref="P1334" si="302">SUM(P1335:P1336)</f>
        <v>368998</v>
      </c>
      <c r="Q1334" s="446">
        <f>SUM(Q1335:Q1336)</f>
        <v>1516214</v>
      </c>
      <c r="R1334" s="446">
        <f t="shared" ref="R1334" si="303">SUM(R1335:R1336)</f>
        <v>479000</v>
      </c>
      <c r="S1334" s="446">
        <f t="shared" ref="S1334" si="304">SUM(S1335:S1336)</f>
        <v>465000</v>
      </c>
      <c r="T1334" s="446">
        <f t="shared" ref="T1334" si="305">SUM(T1335:T1336)</f>
        <v>479000</v>
      </c>
      <c r="U1334" s="446">
        <f t="shared" ref="U1334" si="306">SUM(U1335:U1336)</f>
        <v>465000</v>
      </c>
    </row>
    <row r="1335" spans="1:21" s="645" customFormat="1" ht="24" customHeight="1">
      <c r="A1335" s="642"/>
      <c r="L1335" s="645" t="s">
        <v>1471</v>
      </c>
      <c r="M1335" s="236">
        <f t="shared" ref="M1335:U1335" si="307">M548+M688+M691</f>
        <v>277548</v>
      </c>
      <c r="N1335" s="236">
        <f t="shared" si="307"/>
        <v>197049</v>
      </c>
      <c r="O1335" s="192">
        <f t="shared" si="307"/>
        <v>1029000</v>
      </c>
      <c r="P1335" s="192">
        <f t="shared" si="307"/>
        <v>197062</v>
      </c>
      <c r="Q1335" s="236">
        <f t="shared" si="307"/>
        <v>929874</v>
      </c>
      <c r="R1335" s="236">
        <f t="shared" si="307"/>
        <v>372000</v>
      </c>
      <c r="S1335" s="236">
        <f t="shared" si="307"/>
        <v>365000</v>
      </c>
      <c r="T1335" s="236">
        <f t="shared" si="307"/>
        <v>372000</v>
      </c>
      <c r="U1335" s="236">
        <f t="shared" si="307"/>
        <v>365000</v>
      </c>
    </row>
    <row r="1336" spans="1:21" s="645" customFormat="1" ht="24" customHeight="1">
      <c r="A1336" s="642"/>
      <c r="L1336" s="644" t="s">
        <v>1472</v>
      </c>
      <c r="M1336" s="236">
        <f t="shared" ref="M1336:U1336" si="308">M547+M688+M790</f>
        <v>76438</v>
      </c>
      <c r="N1336" s="236">
        <f t="shared" si="308"/>
        <v>71682</v>
      </c>
      <c r="O1336" s="192">
        <f t="shared" si="308"/>
        <v>115000</v>
      </c>
      <c r="P1336" s="192">
        <f t="shared" si="308"/>
        <v>171936</v>
      </c>
      <c r="Q1336" s="236">
        <f t="shared" si="308"/>
        <v>586340</v>
      </c>
      <c r="R1336" s="236">
        <f t="shared" si="308"/>
        <v>107000</v>
      </c>
      <c r="S1336" s="236">
        <f t="shared" si="308"/>
        <v>100000</v>
      </c>
      <c r="T1336" s="236">
        <f t="shared" si="308"/>
        <v>107000</v>
      </c>
      <c r="U1336" s="236">
        <f t="shared" si="308"/>
        <v>100000</v>
      </c>
    </row>
    <row r="1337" spans="1:21" s="645" customFormat="1" ht="24" customHeight="1">
      <c r="A1337" s="642"/>
      <c r="L1337" s="644"/>
      <c r="M1337" s="236"/>
      <c r="N1337" s="236"/>
      <c r="O1337" s="192"/>
      <c r="P1337" s="192"/>
      <c r="Q1337" s="236"/>
      <c r="R1337" s="236"/>
      <c r="S1337" s="236"/>
      <c r="T1337" s="236"/>
      <c r="U1337" s="236"/>
    </row>
    <row r="1338" spans="1:21" s="645" customFormat="1" ht="24" customHeight="1">
      <c r="A1338" s="642"/>
      <c r="H1338" s="700" t="s">
        <v>755</v>
      </c>
      <c r="I1338" s="700"/>
      <c r="J1338" s="700"/>
      <c r="K1338" s="700"/>
      <c r="L1338" s="700"/>
      <c r="M1338" s="446">
        <f>SUM(M1339:M1341)</f>
        <v>109076</v>
      </c>
      <c r="N1338" s="446">
        <f>SUM(N1339:N1341)</f>
        <v>167024</v>
      </c>
      <c r="O1338" s="463">
        <f t="shared" ref="O1338:P1338" si="309">SUM(O1339:O1341)</f>
        <v>515096</v>
      </c>
      <c r="P1338" s="463">
        <f t="shared" si="309"/>
        <v>72493</v>
      </c>
      <c r="Q1338" s="446">
        <f>SUM(Q1339:Q1341)</f>
        <v>593656</v>
      </c>
      <c r="R1338" s="446">
        <f t="shared" ref="R1338:U1338" si="310">SUM(R1339:R1341)</f>
        <v>384096</v>
      </c>
      <c r="S1338" s="446">
        <f t="shared" si="310"/>
        <v>340000</v>
      </c>
      <c r="T1338" s="446">
        <f t="shared" si="310"/>
        <v>325000</v>
      </c>
      <c r="U1338" s="446">
        <f t="shared" si="310"/>
        <v>325000</v>
      </c>
    </row>
    <row r="1339" spans="1:21" s="645" customFormat="1" ht="24" customHeight="1">
      <c r="A1339" s="642"/>
      <c r="L1339" s="645" t="s">
        <v>1471</v>
      </c>
      <c r="M1339" s="236">
        <f t="shared" ref="M1339:U1339" si="311">M563</f>
        <v>67958</v>
      </c>
      <c r="N1339" s="236">
        <f t="shared" si="311"/>
        <v>59135</v>
      </c>
      <c r="O1339" s="192">
        <f t="shared" si="311"/>
        <v>313000</v>
      </c>
      <c r="P1339" s="192">
        <f t="shared" si="311"/>
        <v>0</v>
      </c>
      <c r="Q1339" s="236">
        <f t="shared" si="311"/>
        <v>210500</v>
      </c>
      <c r="R1339" s="236">
        <f t="shared" si="311"/>
        <v>50000</v>
      </c>
      <c r="S1339" s="236">
        <f t="shared" si="311"/>
        <v>50000</v>
      </c>
      <c r="T1339" s="236">
        <f t="shared" si="311"/>
        <v>50000</v>
      </c>
      <c r="U1339" s="236">
        <f t="shared" si="311"/>
        <v>50000</v>
      </c>
    </row>
    <row r="1340" spans="1:21" s="645" customFormat="1" ht="24" customHeight="1">
      <c r="A1340" s="642"/>
      <c r="L1340" s="644" t="s">
        <v>1472</v>
      </c>
      <c r="M1340" s="236">
        <f t="shared" ref="M1340:U1340" si="312">M562</f>
        <v>0</v>
      </c>
      <c r="N1340" s="236">
        <f t="shared" si="312"/>
        <v>57758</v>
      </c>
      <c r="O1340" s="192">
        <f t="shared" si="312"/>
        <v>50000</v>
      </c>
      <c r="P1340" s="192">
        <f t="shared" si="312"/>
        <v>48835</v>
      </c>
      <c r="Q1340" s="236">
        <f t="shared" si="312"/>
        <v>73156</v>
      </c>
      <c r="R1340" s="236">
        <f t="shared" si="312"/>
        <v>50000</v>
      </c>
      <c r="S1340" s="236">
        <f t="shared" si="312"/>
        <v>50000</v>
      </c>
      <c r="T1340" s="236">
        <f t="shared" si="312"/>
        <v>50000</v>
      </c>
      <c r="U1340" s="236">
        <f t="shared" si="312"/>
        <v>50000</v>
      </c>
    </row>
    <row r="1341" spans="1:21" s="645" customFormat="1" ht="24" customHeight="1">
      <c r="A1341" s="642"/>
      <c r="L1341" s="644" t="s">
        <v>1473</v>
      </c>
      <c r="M1341" s="236">
        <f t="shared" ref="M1341:U1341" si="313">M561</f>
        <v>41118</v>
      </c>
      <c r="N1341" s="236">
        <f t="shared" si="313"/>
        <v>50131</v>
      </c>
      <c r="O1341" s="192">
        <f t="shared" si="313"/>
        <v>152096</v>
      </c>
      <c r="P1341" s="192">
        <f t="shared" si="313"/>
        <v>23658</v>
      </c>
      <c r="Q1341" s="236">
        <f t="shared" si="313"/>
        <v>310000</v>
      </c>
      <c r="R1341" s="236">
        <f t="shared" si="313"/>
        <v>284096</v>
      </c>
      <c r="S1341" s="236">
        <f t="shared" si="313"/>
        <v>240000</v>
      </c>
      <c r="T1341" s="236">
        <f t="shared" si="313"/>
        <v>225000</v>
      </c>
      <c r="U1341" s="236">
        <f t="shared" si="313"/>
        <v>225000</v>
      </c>
    </row>
    <row r="1342" spans="1:21" s="645" customFormat="1" ht="24" customHeight="1">
      <c r="A1342" s="642"/>
      <c r="L1342" s="644"/>
      <c r="M1342" s="236"/>
      <c r="N1342" s="236"/>
      <c r="O1342" s="192"/>
      <c r="P1342" s="192"/>
      <c r="Q1342" s="236"/>
      <c r="R1342" s="236"/>
      <c r="S1342" s="236"/>
      <c r="T1342" s="236"/>
      <c r="U1342" s="236"/>
    </row>
    <row r="1343" spans="1:21" s="645" customFormat="1" ht="24" customHeight="1">
      <c r="A1343" s="642"/>
      <c r="H1343" s="700" t="s">
        <v>1474</v>
      </c>
      <c r="I1343" s="700"/>
      <c r="J1343" s="700"/>
      <c r="K1343" s="700"/>
      <c r="L1343" s="700"/>
      <c r="M1343" s="446">
        <f t="shared" ref="M1343:U1343" si="314">SUM(M1344:M1344)</f>
        <v>0</v>
      </c>
      <c r="N1343" s="446">
        <f t="shared" si="314"/>
        <v>0</v>
      </c>
      <c r="O1343" s="463">
        <f t="shared" si="314"/>
        <v>0</v>
      </c>
      <c r="P1343" s="463">
        <f t="shared" si="314"/>
        <v>0</v>
      </c>
      <c r="Q1343" s="446">
        <f t="shared" si="314"/>
        <v>35000</v>
      </c>
      <c r="R1343" s="446">
        <f t="shared" si="314"/>
        <v>639000</v>
      </c>
      <c r="S1343" s="446">
        <f t="shared" si="314"/>
        <v>0</v>
      </c>
      <c r="T1343" s="446">
        <f t="shared" si="314"/>
        <v>0</v>
      </c>
      <c r="U1343" s="446">
        <f t="shared" si="314"/>
        <v>0</v>
      </c>
    </row>
    <row r="1344" spans="1:21" s="645" customFormat="1" ht="24" customHeight="1">
      <c r="A1344" s="642"/>
      <c r="H1344" s="643"/>
      <c r="I1344" s="643"/>
      <c r="J1344" s="643"/>
      <c r="K1344" s="643"/>
      <c r="L1344" s="645" t="s">
        <v>648</v>
      </c>
      <c r="M1344" s="236">
        <f t="shared" ref="M1344:U1344" si="315">M401</f>
        <v>0</v>
      </c>
      <c r="N1344" s="236">
        <f t="shared" si="315"/>
        <v>0</v>
      </c>
      <c r="O1344" s="192">
        <f t="shared" si="315"/>
        <v>0</v>
      </c>
      <c r="P1344" s="192">
        <f t="shared" si="315"/>
        <v>0</v>
      </c>
      <c r="Q1344" s="236">
        <f t="shared" si="315"/>
        <v>35000</v>
      </c>
      <c r="R1344" s="236">
        <f t="shared" si="315"/>
        <v>639000</v>
      </c>
      <c r="S1344" s="236">
        <f t="shared" si="315"/>
        <v>0</v>
      </c>
      <c r="T1344" s="236">
        <f t="shared" si="315"/>
        <v>0</v>
      </c>
      <c r="U1344" s="236">
        <f t="shared" si="315"/>
        <v>0</v>
      </c>
    </row>
    <row r="1345" spans="1:21" s="645" customFormat="1" ht="24" customHeight="1">
      <c r="A1345" s="642"/>
      <c r="H1345" s="643"/>
      <c r="I1345" s="643"/>
      <c r="J1345" s="643"/>
      <c r="K1345" s="643"/>
      <c r="M1345" s="236"/>
      <c r="N1345" s="236"/>
      <c r="O1345" s="192"/>
      <c r="P1345" s="192"/>
      <c r="Q1345" s="236"/>
      <c r="R1345" s="236"/>
      <c r="S1345" s="236"/>
      <c r="T1345" s="236"/>
      <c r="U1345" s="236"/>
    </row>
    <row r="1346" spans="1:21" s="645" customFormat="1" ht="24" customHeight="1">
      <c r="A1346" s="642"/>
      <c r="H1346" s="700" t="s">
        <v>1475</v>
      </c>
      <c r="I1346" s="700"/>
      <c r="J1346" s="700"/>
      <c r="K1346" s="700"/>
      <c r="L1346" s="700"/>
      <c r="M1346" s="446">
        <f t="shared" ref="M1346:U1346" si="316">SUM(M1347:M1350)</f>
        <v>0</v>
      </c>
      <c r="N1346" s="446">
        <f t="shared" si="316"/>
        <v>6709</v>
      </c>
      <c r="O1346" s="463">
        <f t="shared" si="316"/>
        <v>300000</v>
      </c>
      <c r="P1346" s="463">
        <f t="shared" si="316"/>
        <v>172500</v>
      </c>
      <c r="Q1346" s="446">
        <f t="shared" si="316"/>
        <v>841000</v>
      </c>
      <c r="R1346" s="446">
        <f t="shared" si="316"/>
        <v>841000</v>
      </c>
      <c r="S1346" s="446">
        <f t="shared" si="316"/>
        <v>841000</v>
      </c>
      <c r="T1346" s="446">
        <f t="shared" si="316"/>
        <v>841000</v>
      </c>
      <c r="U1346" s="446">
        <f t="shared" si="316"/>
        <v>491000</v>
      </c>
    </row>
    <row r="1347" spans="1:21" s="645" customFormat="1" ht="24" customHeight="1">
      <c r="A1347" s="642"/>
      <c r="L1347" s="310" t="s">
        <v>1476</v>
      </c>
      <c r="M1347" s="220">
        <f t="shared" ref="M1347:U1347" si="317">M393</f>
        <v>0</v>
      </c>
      <c r="N1347" s="220">
        <f t="shared" si="317"/>
        <v>0</v>
      </c>
      <c r="O1347" s="166">
        <f t="shared" si="317"/>
        <v>0</v>
      </c>
      <c r="P1347" s="166">
        <f t="shared" si="317"/>
        <v>0</v>
      </c>
      <c r="Q1347" s="220">
        <f t="shared" si="317"/>
        <v>140000</v>
      </c>
      <c r="R1347" s="220">
        <f t="shared" si="317"/>
        <v>140000</v>
      </c>
      <c r="S1347" s="220">
        <f t="shared" si="317"/>
        <v>140000</v>
      </c>
      <c r="T1347" s="220">
        <f t="shared" si="317"/>
        <v>140000</v>
      </c>
      <c r="U1347" s="220">
        <f t="shared" si="317"/>
        <v>140000</v>
      </c>
    </row>
    <row r="1348" spans="1:21" s="645" customFormat="1" ht="24" customHeight="1">
      <c r="A1348" s="642"/>
      <c r="L1348" s="96" t="s">
        <v>1477</v>
      </c>
      <c r="M1348" s="220">
        <f t="shared" ref="M1348:U1348" si="318">M396</f>
        <v>0</v>
      </c>
      <c r="N1348" s="220">
        <f t="shared" si="318"/>
        <v>0</v>
      </c>
      <c r="O1348" s="166">
        <f t="shared" si="318"/>
        <v>0</v>
      </c>
      <c r="P1348" s="166">
        <f t="shared" si="318"/>
        <v>0</v>
      </c>
      <c r="Q1348" s="220">
        <f t="shared" si="318"/>
        <v>151000</v>
      </c>
      <c r="R1348" s="220">
        <f t="shared" si="318"/>
        <v>151000</v>
      </c>
      <c r="S1348" s="220">
        <f t="shared" si="318"/>
        <v>151000</v>
      </c>
      <c r="T1348" s="220">
        <f t="shared" si="318"/>
        <v>151000</v>
      </c>
      <c r="U1348" s="220">
        <f t="shared" si="318"/>
        <v>151000</v>
      </c>
    </row>
    <row r="1349" spans="1:21" s="645" customFormat="1" ht="24" customHeight="1">
      <c r="A1349" s="642"/>
      <c r="L1349" s="96" t="s">
        <v>1478</v>
      </c>
      <c r="M1349" s="220">
        <f t="shared" ref="M1349:U1349" si="319">M397</f>
        <v>0</v>
      </c>
      <c r="N1349" s="220">
        <f t="shared" si="319"/>
        <v>6709</v>
      </c>
      <c r="O1349" s="166">
        <f t="shared" si="319"/>
        <v>300000</v>
      </c>
      <c r="P1349" s="166">
        <f t="shared" si="319"/>
        <v>172500</v>
      </c>
      <c r="Q1349" s="220">
        <f t="shared" si="319"/>
        <v>200000</v>
      </c>
      <c r="R1349" s="220">
        <f t="shared" si="319"/>
        <v>200000</v>
      </c>
      <c r="S1349" s="220">
        <f t="shared" si="319"/>
        <v>200000</v>
      </c>
      <c r="T1349" s="220">
        <f t="shared" si="319"/>
        <v>200000</v>
      </c>
      <c r="U1349" s="220">
        <f t="shared" si="319"/>
        <v>200000</v>
      </c>
    </row>
    <row r="1350" spans="1:21" s="645" customFormat="1" ht="24" customHeight="1">
      <c r="A1350" s="642"/>
      <c r="L1350" s="96" t="s">
        <v>1479</v>
      </c>
      <c r="M1350" s="220">
        <f t="shared" ref="M1350:U1350" si="320">M650</f>
        <v>0</v>
      </c>
      <c r="N1350" s="220">
        <f t="shared" si="320"/>
        <v>0</v>
      </c>
      <c r="O1350" s="166">
        <f t="shared" si="320"/>
        <v>0</v>
      </c>
      <c r="P1350" s="166">
        <f t="shared" si="320"/>
        <v>0</v>
      </c>
      <c r="Q1350" s="220">
        <f t="shared" si="320"/>
        <v>350000</v>
      </c>
      <c r="R1350" s="220">
        <f t="shared" si="320"/>
        <v>350000</v>
      </c>
      <c r="S1350" s="220">
        <f t="shared" si="320"/>
        <v>350000</v>
      </c>
      <c r="T1350" s="220">
        <f t="shared" si="320"/>
        <v>350000</v>
      </c>
      <c r="U1350" s="220">
        <f t="shared" si="320"/>
        <v>0</v>
      </c>
    </row>
    <row r="1351" spans="1:21" s="645" customFormat="1" ht="24" customHeight="1">
      <c r="A1351" s="642"/>
      <c r="H1351" s="643"/>
      <c r="I1351" s="643"/>
      <c r="J1351" s="643"/>
      <c r="K1351" s="643"/>
      <c r="L1351" s="96"/>
      <c r="M1351" s="236"/>
      <c r="N1351" s="236"/>
      <c r="O1351" s="192"/>
      <c r="P1351" s="192"/>
      <c r="Q1351" s="236"/>
      <c r="R1351" s="236"/>
      <c r="S1351" s="236"/>
      <c r="T1351" s="236"/>
      <c r="U1351" s="236"/>
    </row>
    <row r="1352" spans="1:21" ht="24" customHeight="1">
      <c r="K1352" s="89"/>
      <c r="L1352" s="89"/>
      <c r="M1352" s="257"/>
      <c r="N1352" s="257"/>
      <c r="O1352" s="297"/>
      <c r="P1352" s="297"/>
    </row>
    <row r="1353" spans="1:21" s="127" customFormat="1" ht="35.1" customHeight="1">
      <c r="A1353" s="592"/>
      <c r="B1353" s="699" t="s">
        <v>1377</v>
      </c>
      <c r="C1353" s="699"/>
      <c r="D1353" s="699"/>
      <c r="E1353" s="699"/>
      <c r="F1353" s="699"/>
      <c r="G1353" s="699"/>
      <c r="H1353" s="699"/>
      <c r="I1353" s="699"/>
      <c r="J1353" s="699"/>
      <c r="K1353" s="699"/>
      <c r="L1353" s="699"/>
      <c r="M1353" s="699"/>
      <c r="N1353" s="699"/>
      <c r="O1353" s="699"/>
      <c r="P1353" s="699"/>
      <c r="Q1353" s="699"/>
      <c r="R1353" s="699"/>
      <c r="S1353" s="699"/>
      <c r="T1353" s="699"/>
      <c r="U1353" s="699"/>
    </row>
    <row r="1354" spans="1:21" ht="24" customHeight="1">
      <c r="O1354" s="209"/>
      <c r="P1354" s="209"/>
    </row>
    <row r="1355" spans="1:21" ht="24" customHeight="1">
      <c r="O1355" s="209"/>
      <c r="P1355" s="209"/>
    </row>
    <row r="1356" spans="1:21" ht="24" customHeight="1">
      <c r="O1356" s="209"/>
      <c r="P1356" s="209"/>
    </row>
    <row r="1357" spans="1:21" ht="24" customHeight="1">
      <c r="O1357" s="209"/>
      <c r="P1357" s="209"/>
    </row>
    <row r="1358" spans="1:21" ht="24" customHeight="1">
      <c r="O1358" s="209"/>
      <c r="P1358" s="209"/>
    </row>
    <row r="1359" spans="1:21" ht="24" customHeight="1">
      <c r="O1359" s="209"/>
      <c r="P1359" s="209"/>
    </row>
    <row r="1360" spans="1:21" ht="24" customHeight="1">
      <c r="O1360" s="209"/>
      <c r="P1360" s="209"/>
    </row>
    <row r="1361" spans="15:16" ht="24" customHeight="1">
      <c r="O1361" s="209"/>
      <c r="P1361" s="209"/>
    </row>
    <row r="1362" spans="15:16" ht="24" customHeight="1">
      <c r="O1362" s="209"/>
      <c r="P1362" s="209"/>
    </row>
    <row r="1363" spans="15:16" ht="24" customHeight="1">
      <c r="O1363" s="209"/>
      <c r="P1363" s="209"/>
    </row>
    <row r="1364" spans="15:16" ht="24" customHeight="1">
      <c r="O1364" s="209"/>
      <c r="P1364" s="209"/>
    </row>
    <row r="1365" spans="15:16" ht="24" customHeight="1">
      <c r="O1365" s="209"/>
      <c r="P1365" s="209"/>
    </row>
    <row r="1366" spans="15:16" ht="24" customHeight="1">
      <c r="O1366" s="209"/>
      <c r="P1366" s="209"/>
    </row>
    <row r="1367" spans="15:16" ht="24" customHeight="1">
      <c r="O1367" s="209"/>
      <c r="P1367" s="209"/>
    </row>
    <row r="1368" spans="15:16" ht="24" customHeight="1">
      <c r="O1368" s="209"/>
      <c r="P1368" s="209"/>
    </row>
    <row r="1369" spans="15:16" ht="24" customHeight="1">
      <c r="O1369" s="209"/>
      <c r="P1369" s="209"/>
    </row>
    <row r="1370" spans="15:16" ht="24" customHeight="1">
      <c r="O1370" s="209"/>
      <c r="P1370" s="209"/>
    </row>
    <row r="1371" spans="15:16" ht="24" customHeight="1">
      <c r="O1371" s="209"/>
      <c r="P1371" s="209"/>
    </row>
    <row r="1372" spans="15:16" ht="24" customHeight="1">
      <c r="O1372" s="209"/>
      <c r="P1372" s="209"/>
    </row>
    <row r="1373" spans="15:16" ht="24" customHeight="1">
      <c r="O1373" s="209"/>
      <c r="P1373" s="209"/>
    </row>
    <row r="1374" spans="15:16" ht="24" customHeight="1">
      <c r="O1374" s="209"/>
      <c r="P1374" s="209"/>
    </row>
    <row r="1375" spans="15:16" ht="24" customHeight="1">
      <c r="O1375" s="209"/>
      <c r="P1375" s="209"/>
    </row>
    <row r="1376" spans="15:16" ht="24" customHeight="1">
      <c r="O1376" s="209"/>
      <c r="P1376" s="209"/>
    </row>
    <row r="1377" spans="15:16" ht="24" customHeight="1">
      <c r="O1377" s="209"/>
      <c r="P1377" s="209"/>
    </row>
    <row r="1378" spans="15:16" ht="24" customHeight="1">
      <c r="O1378" s="209"/>
      <c r="P1378" s="209"/>
    </row>
    <row r="1379" spans="15:16" ht="24" customHeight="1">
      <c r="O1379" s="209"/>
      <c r="P1379" s="209"/>
    </row>
    <row r="1380" spans="15:16" ht="24" customHeight="1">
      <c r="O1380" s="209"/>
      <c r="P1380" s="209"/>
    </row>
    <row r="1381" spans="15:16" ht="24" customHeight="1">
      <c r="O1381" s="209"/>
      <c r="P1381" s="209"/>
    </row>
    <row r="1382" spans="15:16" ht="24" customHeight="1">
      <c r="O1382" s="209"/>
      <c r="P1382" s="209"/>
    </row>
    <row r="1383" spans="15:16" ht="24" customHeight="1">
      <c r="O1383" s="209"/>
      <c r="P1383" s="209"/>
    </row>
    <row r="1384" spans="15:16" ht="24" customHeight="1">
      <c r="O1384" s="209"/>
      <c r="P1384" s="209"/>
    </row>
    <row r="1385" spans="15:16" ht="24" customHeight="1">
      <c r="O1385" s="209"/>
      <c r="P1385" s="209"/>
    </row>
    <row r="1386" spans="15:16" ht="24" customHeight="1">
      <c r="O1386" s="209"/>
      <c r="P1386" s="209"/>
    </row>
    <row r="1387" spans="15:16" ht="24" customHeight="1">
      <c r="O1387" s="209"/>
      <c r="P1387" s="209"/>
    </row>
    <row r="1388" spans="15:16" ht="24" customHeight="1">
      <c r="O1388" s="209"/>
      <c r="P1388" s="209"/>
    </row>
    <row r="1389" spans="15:16" ht="24" customHeight="1">
      <c r="O1389" s="209"/>
      <c r="P1389" s="209"/>
    </row>
    <row r="1390" spans="15:16" ht="24" customHeight="1">
      <c r="O1390" s="209"/>
      <c r="P1390" s="209"/>
    </row>
    <row r="1391" spans="15:16" ht="24" customHeight="1">
      <c r="O1391" s="209"/>
      <c r="P1391" s="209"/>
    </row>
    <row r="1392" spans="15:16" ht="24" customHeight="1">
      <c r="O1392" s="209"/>
      <c r="P1392" s="209"/>
    </row>
    <row r="1393" spans="15:16" ht="24" customHeight="1">
      <c r="O1393" s="209"/>
      <c r="P1393" s="209"/>
    </row>
    <row r="1394" spans="15:16" ht="24" customHeight="1">
      <c r="O1394" s="209"/>
      <c r="P1394" s="209"/>
    </row>
    <row r="1395" spans="15:16" ht="24" customHeight="1">
      <c r="O1395" s="209"/>
      <c r="P1395" s="209"/>
    </row>
    <row r="1396" spans="15:16" ht="24" customHeight="1">
      <c r="O1396" s="209"/>
      <c r="P1396" s="209"/>
    </row>
    <row r="1397" spans="15:16" ht="24" customHeight="1">
      <c r="O1397" s="209"/>
      <c r="P1397" s="209"/>
    </row>
    <row r="1398" spans="15:16" ht="24" customHeight="1">
      <c r="O1398" s="209"/>
      <c r="P1398" s="209"/>
    </row>
    <row r="1399" spans="15:16" ht="24" customHeight="1">
      <c r="O1399" s="209"/>
      <c r="P1399" s="209"/>
    </row>
    <row r="1400" spans="15:16" ht="24" customHeight="1">
      <c r="O1400" s="209"/>
      <c r="P1400" s="209"/>
    </row>
    <row r="1401" spans="15:16" ht="24" customHeight="1">
      <c r="O1401" s="209"/>
      <c r="P1401" s="209"/>
    </row>
    <row r="1402" spans="15:16" ht="24" customHeight="1">
      <c r="O1402" s="209"/>
      <c r="P1402" s="209"/>
    </row>
    <row r="1403" spans="15:16" ht="24" customHeight="1">
      <c r="O1403" s="209"/>
      <c r="P1403" s="209"/>
    </row>
    <row r="1404" spans="15:16" ht="24" customHeight="1">
      <c r="O1404" s="209"/>
      <c r="P1404" s="209"/>
    </row>
    <row r="1405" spans="15:16" ht="24" customHeight="1">
      <c r="O1405" s="209"/>
      <c r="P1405" s="209"/>
    </row>
    <row r="1406" spans="15:16" ht="24" customHeight="1">
      <c r="O1406" s="209"/>
      <c r="P1406" s="209"/>
    </row>
    <row r="1407" spans="15:16" ht="24" customHeight="1">
      <c r="O1407" s="209"/>
      <c r="P1407" s="209"/>
    </row>
    <row r="1408" spans="15:16" ht="24" customHeight="1">
      <c r="O1408" s="209"/>
      <c r="P1408" s="209"/>
    </row>
    <row r="1409" spans="15:16" ht="24" customHeight="1">
      <c r="O1409" s="209"/>
      <c r="P1409" s="209"/>
    </row>
    <row r="1410" spans="15:16" ht="24" customHeight="1">
      <c r="O1410" s="209"/>
      <c r="P1410" s="209"/>
    </row>
    <row r="1411" spans="15:16" ht="24" customHeight="1">
      <c r="O1411" s="209"/>
      <c r="P1411" s="209"/>
    </row>
    <row r="1412" spans="15:16" ht="24" customHeight="1">
      <c r="O1412" s="209"/>
      <c r="P1412" s="209"/>
    </row>
    <row r="1413" spans="15:16" ht="24" customHeight="1">
      <c r="O1413" s="209"/>
      <c r="P1413" s="209"/>
    </row>
    <row r="1414" spans="15:16" ht="24" customHeight="1">
      <c r="O1414" s="209"/>
      <c r="P1414" s="209"/>
    </row>
    <row r="1415" spans="15:16" ht="24" customHeight="1">
      <c r="O1415" s="209"/>
      <c r="P1415" s="209"/>
    </row>
    <row r="1416" spans="15:16" ht="24" customHeight="1">
      <c r="O1416" s="209"/>
      <c r="P1416" s="209"/>
    </row>
    <row r="1417" spans="15:16" ht="24" customHeight="1">
      <c r="O1417" s="209"/>
      <c r="P1417" s="209"/>
    </row>
    <row r="1418" spans="15:16" ht="24" customHeight="1">
      <c r="O1418" s="209"/>
      <c r="P1418" s="209"/>
    </row>
    <row r="1419" spans="15:16" ht="24" customHeight="1">
      <c r="O1419" s="209"/>
      <c r="P1419" s="209"/>
    </row>
    <row r="1420" spans="15:16" ht="24" customHeight="1">
      <c r="O1420" s="209"/>
      <c r="P1420" s="209"/>
    </row>
    <row r="1421" spans="15:16" ht="24" customHeight="1">
      <c r="O1421" s="209"/>
      <c r="P1421" s="209"/>
    </row>
    <row r="1422" spans="15:16" ht="24" customHeight="1">
      <c r="O1422" s="209"/>
      <c r="P1422" s="209"/>
    </row>
    <row r="1423" spans="15:16" ht="24" customHeight="1">
      <c r="O1423" s="209"/>
      <c r="P1423" s="209"/>
    </row>
    <row r="1424" spans="15:16" ht="24" customHeight="1">
      <c r="O1424" s="209"/>
      <c r="P1424" s="209"/>
    </row>
    <row r="1425" spans="15:16" ht="24" customHeight="1">
      <c r="O1425" s="209"/>
      <c r="P1425" s="209"/>
    </row>
    <row r="1426" spans="15:16" ht="24" customHeight="1">
      <c r="O1426" s="209"/>
      <c r="P1426" s="209"/>
    </row>
    <row r="1427" spans="15:16" ht="24" customHeight="1">
      <c r="O1427" s="209"/>
      <c r="P1427" s="209"/>
    </row>
    <row r="1428" spans="15:16" ht="24" customHeight="1">
      <c r="O1428" s="209"/>
      <c r="P1428" s="209"/>
    </row>
    <row r="1429" spans="15:16" ht="24" customHeight="1">
      <c r="O1429" s="209"/>
      <c r="P1429" s="209"/>
    </row>
    <row r="1430" spans="15:16" ht="24" customHeight="1">
      <c r="O1430" s="209"/>
      <c r="P1430" s="209"/>
    </row>
    <row r="1431" spans="15:16" ht="24" customHeight="1">
      <c r="O1431" s="209"/>
      <c r="P1431" s="209"/>
    </row>
    <row r="1432" spans="15:16" ht="24" customHeight="1">
      <c r="O1432" s="209"/>
      <c r="P1432" s="209"/>
    </row>
    <row r="1433" spans="15:16" ht="24" customHeight="1">
      <c r="O1433" s="209"/>
      <c r="P1433" s="209"/>
    </row>
    <row r="1434" spans="15:16" ht="24" customHeight="1">
      <c r="O1434" s="209"/>
      <c r="P1434" s="209"/>
    </row>
    <row r="1435" spans="15:16" ht="24" customHeight="1">
      <c r="O1435" s="209"/>
      <c r="P1435" s="209"/>
    </row>
    <row r="1436" spans="15:16" ht="24" customHeight="1">
      <c r="O1436" s="209"/>
      <c r="P1436" s="209"/>
    </row>
    <row r="1437" spans="15:16" ht="24" customHeight="1">
      <c r="O1437" s="209"/>
      <c r="P1437" s="209"/>
    </row>
    <row r="1438" spans="15:16" ht="24" customHeight="1">
      <c r="O1438" s="209"/>
      <c r="P1438" s="209"/>
    </row>
    <row r="1439" spans="15:16" ht="24" customHeight="1">
      <c r="O1439" s="209"/>
      <c r="P1439" s="209"/>
    </row>
    <row r="1440" spans="15:16" ht="24" customHeight="1">
      <c r="O1440" s="209"/>
      <c r="P1440" s="209"/>
    </row>
    <row r="1441" spans="15:16" ht="24" customHeight="1">
      <c r="O1441" s="209"/>
      <c r="P1441" s="209"/>
    </row>
    <row r="1442" spans="15:16" ht="24" customHeight="1">
      <c r="O1442" s="209"/>
      <c r="P1442" s="209"/>
    </row>
    <row r="1443" spans="15:16" ht="24" customHeight="1">
      <c r="O1443" s="209"/>
      <c r="P1443" s="209"/>
    </row>
    <row r="1444" spans="15:16" ht="24" customHeight="1">
      <c r="O1444" s="209"/>
      <c r="P1444" s="209"/>
    </row>
    <row r="1445" spans="15:16" ht="24" customHeight="1">
      <c r="O1445" s="209"/>
      <c r="P1445" s="209"/>
    </row>
    <row r="1446" spans="15:16" ht="24" customHeight="1">
      <c r="O1446" s="209"/>
      <c r="P1446" s="209"/>
    </row>
    <row r="1447" spans="15:16" ht="24" customHeight="1">
      <c r="O1447" s="209"/>
      <c r="P1447" s="209"/>
    </row>
    <row r="1448" spans="15:16" ht="24" customHeight="1">
      <c r="O1448" s="209"/>
      <c r="P1448" s="209"/>
    </row>
    <row r="1449" spans="15:16" ht="24" customHeight="1">
      <c r="O1449" s="209"/>
      <c r="P1449" s="209"/>
    </row>
    <row r="1450" spans="15:16" ht="24" customHeight="1">
      <c r="O1450" s="209"/>
      <c r="P1450" s="209"/>
    </row>
    <row r="1451" spans="15:16" ht="24" customHeight="1">
      <c r="O1451" s="209"/>
      <c r="P1451" s="209"/>
    </row>
    <row r="1452" spans="15:16" ht="24" customHeight="1">
      <c r="O1452" s="209"/>
      <c r="P1452" s="209"/>
    </row>
    <row r="1453" spans="15:16" ht="24" customHeight="1">
      <c r="O1453" s="209"/>
      <c r="P1453" s="209"/>
    </row>
    <row r="1454" spans="15:16" ht="24" customHeight="1">
      <c r="O1454" s="209"/>
      <c r="P1454" s="209"/>
    </row>
    <row r="1455" spans="15:16" ht="24" customHeight="1">
      <c r="O1455" s="209"/>
      <c r="P1455" s="209"/>
    </row>
    <row r="1456" spans="15:16" ht="24" customHeight="1">
      <c r="O1456" s="209"/>
      <c r="P1456" s="209"/>
    </row>
    <row r="1457" spans="15:16" ht="24" customHeight="1">
      <c r="O1457" s="209"/>
      <c r="P1457" s="209"/>
    </row>
    <row r="1458" spans="15:16" ht="24" customHeight="1">
      <c r="O1458" s="209"/>
      <c r="P1458" s="209"/>
    </row>
    <row r="1459" spans="15:16" ht="24" customHeight="1">
      <c r="O1459" s="209"/>
      <c r="P1459" s="209"/>
    </row>
    <row r="1460" spans="15:16" ht="24" customHeight="1">
      <c r="O1460" s="209"/>
      <c r="P1460" s="209"/>
    </row>
    <row r="1461" spans="15:16" ht="24" customHeight="1">
      <c r="O1461" s="209"/>
      <c r="P1461" s="209"/>
    </row>
    <row r="1462" spans="15:16" ht="24" customHeight="1">
      <c r="O1462" s="209"/>
      <c r="P1462" s="209"/>
    </row>
    <row r="1463" spans="15:16" ht="24" customHeight="1">
      <c r="O1463" s="209"/>
      <c r="P1463" s="209"/>
    </row>
    <row r="1464" spans="15:16" ht="24" customHeight="1">
      <c r="O1464" s="209"/>
      <c r="P1464" s="209"/>
    </row>
    <row r="1465" spans="15:16" ht="24" customHeight="1">
      <c r="O1465" s="209"/>
      <c r="P1465" s="209"/>
    </row>
    <row r="1466" spans="15:16" ht="24" customHeight="1">
      <c r="O1466" s="209"/>
      <c r="P1466" s="209"/>
    </row>
    <row r="1467" spans="15:16" ht="24" customHeight="1">
      <c r="O1467" s="209"/>
      <c r="P1467" s="209"/>
    </row>
    <row r="1468" spans="15:16" ht="24" customHeight="1">
      <c r="O1468" s="209"/>
      <c r="P1468" s="209"/>
    </row>
    <row r="1469" spans="15:16" ht="24" customHeight="1">
      <c r="O1469" s="209"/>
      <c r="P1469" s="209"/>
    </row>
    <row r="1470" spans="15:16" ht="24" customHeight="1">
      <c r="O1470" s="209"/>
      <c r="P1470" s="209"/>
    </row>
    <row r="1471" spans="15:16" ht="24" customHeight="1">
      <c r="O1471" s="209"/>
      <c r="P1471" s="209"/>
    </row>
    <row r="1472" spans="15:16" ht="24" customHeight="1">
      <c r="O1472" s="209"/>
      <c r="P1472" s="209"/>
    </row>
    <row r="1473" spans="15:16" ht="24" customHeight="1">
      <c r="O1473" s="209"/>
      <c r="P1473" s="209"/>
    </row>
    <row r="1474" spans="15:16" ht="24" customHeight="1">
      <c r="O1474" s="209"/>
      <c r="P1474" s="209"/>
    </row>
    <row r="1475" spans="15:16" ht="24" customHeight="1">
      <c r="O1475" s="209"/>
      <c r="P1475" s="209"/>
    </row>
    <row r="1476" spans="15:16" ht="24" customHeight="1">
      <c r="O1476" s="209"/>
      <c r="P1476" s="209"/>
    </row>
    <row r="1477" spans="15:16" ht="24" customHeight="1">
      <c r="O1477" s="209"/>
      <c r="P1477" s="209"/>
    </row>
    <row r="1478" spans="15:16" ht="24" customHeight="1">
      <c r="O1478" s="209"/>
      <c r="P1478" s="209"/>
    </row>
    <row r="1479" spans="15:16" ht="24" customHeight="1">
      <c r="O1479" s="209"/>
      <c r="P1479" s="209"/>
    </row>
    <row r="1480" spans="15:16" ht="24" customHeight="1">
      <c r="O1480" s="209"/>
      <c r="P1480" s="209"/>
    </row>
    <row r="1481" spans="15:16" ht="24" customHeight="1">
      <c r="O1481" s="209"/>
      <c r="P1481" s="209"/>
    </row>
    <row r="1482" spans="15:16" ht="24" customHeight="1">
      <c r="O1482" s="209"/>
      <c r="P1482" s="209"/>
    </row>
    <row r="1483" spans="15:16" ht="24" customHeight="1">
      <c r="O1483" s="209"/>
      <c r="P1483" s="209"/>
    </row>
    <row r="1484" spans="15:16" ht="24" customHeight="1">
      <c r="O1484" s="209"/>
      <c r="P1484" s="209"/>
    </row>
    <row r="1485" spans="15:16" ht="24" customHeight="1">
      <c r="O1485" s="209"/>
      <c r="P1485" s="209"/>
    </row>
    <row r="1486" spans="15:16" ht="24" customHeight="1">
      <c r="O1486" s="209"/>
      <c r="P1486" s="209"/>
    </row>
    <row r="1487" spans="15:16" ht="24" customHeight="1">
      <c r="O1487" s="209"/>
      <c r="P1487" s="209"/>
    </row>
    <row r="1488" spans="15:16" ht="24" customHeight="1">
      <c r="O1488" s="209"/>
      <c r="P1488" s="209"/>
    </row>
    <row r="1489" spans="15:16" ht="24" customHeight="1">
      <c r="O1489" s="209"/>
      <c r="P1489" s="209"/>
    </row>
    <row r="1490" spans="15:16" ht="24" customHeight="1">
      <c r="O1490" s="209"/>
      <c r="P1490" s="209"/>
    </row>
    <row r="1491" spans="15:16" ht="24" customHeight="1">
      <c r="O1491" s="209"/>
      <c r="P1491" s="209"/>
    </row>
    <row r="1492" spans="15:16" ht="24" customHeight="1">
      <c r="O1492" s="209"/>
      <c r="P1492" s="209"/>
    </row>
    <row r="1493" spans="15:16" ht="24" customHeight="1">
      <c r="O1493" s="209"/>
      <c r="P1493" s="209"/>
    </row>
    <row r="1494" spans="15:16" ht="24" customHeight="1">
      <c r="O1494" s="209"/>
      <c r="P1494" s="209"/>
    </row>
    <row r="1495" spans="15:16" ht="24" customHeight="1">
      <c r="O1495" s="209"/>
      <c r="P1495" s="209"/>
    </row>
    <row r="1496" spans="15:16" ht="24" customHeight="1">
      <c r="O1496" s="209"/>
      <c r="P1496" s="209"/>
    </row>
    <row r="1497" spans="15:16" ht="24" customHeight="1">
      <c r="O1497" s="209"/>
      <c r="P1497" s="209"/>
    </row>
    <row r="1498" spans="15:16" ht="24" customHeight="1">
      <c r="O1498" s="209"/>
      <c r="P1498" s="209"/>
    </row>
    <row r="1499" spans="15:16" ht="24" customHeight="1">
      <c r="O1499" s="209"/>
      <c r="P1499" s="209"/>
    </row>
    <row r="1500" spans="15:16" ht="24" customHeight="1">
      <c r="O1500" s="209"/>
      <c r="P1500" s="209"/>
    </row>
    <row r="1501" spans="15:16" ht="24" customHeight="1">
      <c r="O1501" s="209"/>
      <c r="P1501" s="209"/>
    </row>
    <row r="1502" spans="15:16" ht="24" customHeight="1">
      <c r="O1502" s="209"/>
      <c r="P1502" s="209"/>
    </row>
    <row r="1503" spans="15:16" ht="24" customHeight="1">
      <c r="O1503" s="209"/>
      <c r="P1503" s="209"/>
    </row>
    <row r="1504" spans="15:16" ht="24" customHeight="1">
      <c r="O1504" s="209"/>
      <c r="P1504" s="209"/>
    </row>
    <row r="1505" spans="15:16" ht="24" customHeight="1">
      <c r="O1505" s="209"/>
      <c r="P1505" s="209"/>
    </row>
    <row r="1506" spans="15:16" ht="24" customHeight="1">
      <c r="O1506" s="209"/>
      <c r="P1506" s="209"/>
    </row>
    <row r="1507" spans="15:16" ht="24" customHeight="1">
      <c r="O1507" s="209"/>
      <c r="P1507" s="209"/>
    </row>
    <row r="1508" spans="15:16" ht="24" customHeight="1">
      <c r="O1508" s="209"/>
      <c r="P1508" s="209"/>
    </row>
    <row r="1509" spans="15:16" ht="24" customHeight="1">
      <c r="O1509" s="209"/>
      <c r="P1509" s="209"/>
    </row>
    <row r="1510" spans="15:16" ht="24" customHeight="1">
      <c r="O1510" s="209"/>
      <c r="P1510" s="209"/>
    </row>
    <row r="1511" spans="15:16" ht="24" customHeight="1">
      <c r="O1511" s="209"/>
      <c r="P1511" s="209"/>
    </row>
    <row r="1512" spans="15:16" ht="24" customHeight="1">
      <c r="O1512" s="209"/>
      <c r="P1512" s="209"/>
    </row>
    <row r="1513" spans="15:16" ht="24" customHeight="1">
      <c r="O1513" s="209"/>
      <c r="P1513" s="209"/>
    </row>
    <row r="1514" spans="15:16" ht="24" customHeight="1">
      <c r="O1514" s="209"/>
      <c r="P1514" s="209"/>
    </row>
    <row r="1515" spans="15:16" ht="24" customHeight="1">
      <c r="O1515" s="209"/>
      <c r="P1515" s="209"/>
    </row>
    <row r="1516" spans="15:16" ht="24" customHeight="1">
      <c r="O1516" s="209"/>
      <c r="P1516" s="209"/>
    </row>
    <row r="1517" spans="15:16" ht="24" customHeight="1">
      <c r="O1517" s="209"/>
      <c r="P1517" s="209"/>
    </row>
    <row r="1518" spans="15:16" ht="24" customHeight="1">
      <c r="O1518" s="209"/>
      <c r="P1518" s="209"/>
    </row>
    <row r="1519" spans="15:16" ht="24" customHeight="1">
      <c r="O1519" s="209"/>
      <c r="P1519" s="209"/>
    </row>
    <row r="1520" spans="15:16" ht="24" customHeight="1">
      <c r="O1520" s="209"/>
      <c r="P1520" s="209"/>
    </row>
    <row r="1521" spans="15:16" ht="24" customHeight="1">
      <c r="O1521" s="209"/>
      <c r="P1521" s="209"/>
    </row>
    <row r="1522" spans="15:16" ht="24" customHeight="1">
      <c r="O1522" s="209"/>
      <c r="P1522" s="209"/>
    </row>
    <row r="1523" spans="15:16" ht="24" customHeight="1">
      <c r="O1523" s="209"/>
      <c r="P1523" s="209"/>
    </row>
    <row r="1524" spans="15:16" ht="24" customHeight="1">
      <c r="O1524" s="209"/>
      <c r="P1524" s="209"/>
    </row>
    <row r="1525" spans="15:16" ht="24" customHeight="1">
      <c r="O1525" s="209"/>
      <c r="P1525" s="209"/>
    </row>
    <row r="1526" spans="15:16" ht="24" customHeight="1">
      <c r="O1526" s="209"/>
      <c r="P1526" s="209"/>
    </row>
    <row r="1527" spans="15:16" ht="24" customHeight="1">
      <c r="O1527" s="209"/>
      <c r="P1527" s="209"/>
    </row>
    <row r="1528" spans="15:16" ht="24" customHeight="1">
      <c r="O1528" s="209"/>
      <c r="P1528" s="209"/>
    </row>
    <row r="1529" spans="15:16" ht="24" customHeight="1">
      <c r="O1529" s="209"/>
      <c r="P1529" s="209"/>
    </row>
    <row r="1530" spans="15:16" ht="24" customHeight="1">
      <c r="O1530" s="209"/>
      <c r="P1530" s="209"/>
    </row>
    <row r="1531" spans="15:16" ht="24" customHeight="1">
      <c r="O1531" s="209"/>
      <c r="P1531" s="209"/>
    </row>
    <row r="1532" spans="15:16" ht="24" customHeight="1">
      <c r="O1532" s="209"/>
      <c r="P1532" s="209"/>
    </row>
    <row r="1533" spans="15:16" ht="24" customHeight="1">
      <c r="O1533" s="209"/>
      <c r="P1533" s="209"/>
    </row>
    <row r="1534" spans="15:16" ht="24" customHeight="1">
      <c r="O1534" s="209"/>
      <c r="P1534" s="209"/>
    </row>
    <row r="1535" spans="15:16" ht="24" customHeight="1">
      <c r="O1535" s="209"/>
      <c r="P1535" s="209"/>
    </row>
    <row r="1536" spans="15:16" ht="24" customHeight="1">
      <c r="O1536" s="209"/>
      <c r="P1536" s="209"/>
    </row>
    <row r="1537" spans="15:16" ht="24" customHeight="1">
      <c r="O1537" s="209"/>
      <c r="P1537" s="209"/>
    </row>
    <row r="1538" spans="15:16" ht="24" customHeight="1">
      <c r="O1538" s="209"/>
      <c r="P1538" s="209"/>
    </row>
    <row r="1539" spans="15:16" ht="24" customHeight="1">
      <c r="O1539" s="209"/>
      <c r="P1539" s="209"/>
    </row>
    <row r="1540" spans="15:16" ht="24" customHeight="1">
      <c r="O1540" s="209"/>
      <c r="P1540" s="209"/>
    </row>
    <row r="1541" spans="15:16" ht="24" customHeight="1">
      <c r="O1541" s="209"/>
      <c r="P1541" s="209"/>
    </row>
    <row r="1542" spans="15:16" ht="24" customHeight="1">
      <c r="O1542" s="209"/>
      <c r="P1542" s="209"/>
    </row>
    <row r="1543" spans="15:16" ht="24" customHeight="1">
      <c r="O1543" s="209"/>
      <c r="P1543" s="209"/>
    </row>
    <row r="1544" spans="15:16" ht="24" customHeight="1">
      <c r="O1544" s="209"/>
      <c r="P1544" s="209"/>
    </row>
    <row r="1545" spans="15:16" ht="24" customHeight="1">
      <c r="O1545" s="209"/>
      <c r="P1545" s="209"/>
    </row>
    <row r="1546" spans="15:16" ht="24" customHeight="1">
      <c r="O1546" s="209"/>
      <c r="P1546" s="209"/>
    </row>
    <row r="1547" spans="15:16" ht="24" customHeight="1">
      <c r="O1547" s="209"/>
      <c r="P1547" s="209"/>
    </row>
    <row r="1548" spans="15:16" ht="24" customHeight="1">
      <c r="O1548" s="209"/>
      <c r="P1548" s="209"/>
    </row>
    <row r="1549" spans="15:16" ht="24" customHeight="1">
      <c r="O1549" s="209"/>
      <c r="P1549" s="209"/>
    </row>
    <row r="1550" spans="15:16" ht="24" customHeight="1">
      <c r="O1550" s="209"/>
      <c r="P1550" s="209"/>
    </row>
    <row r="1551" spans="15:16" ht="24" customHeight="1">
      <c r="O1551" s="209"/>
      <c r="P1551" s="209"/>
    </row>
    <row r="1552" spans="15:16" ht="24" customHeight="1">
      <c r="O1552" s="209"/>
      <c r="P1552" s="209"/>
    </row>
    <row r="1553" spans="15:16" ht="24" customHeight="1">
      <c r="O1553" s="209"/>
      <c r="P1553" s="209"/>
    </row>
    <row r="1554" spans="15:16" ht="24" customHeight="1">
      <c r="O1554" s="209"/>
      <c r="P1554" s="209"/>
    </row>
    <row r="1555" spans="15:16" ht="24" customHeight="1">
      <c r="O1555" s="209"/>
      <c r="P1555" s="209"/>
    </row>
    <row r="1556" spans="15:16" ht="24" customHeight="1">
      <c r="O1556" s="209"/>
      <c r="P1556" s="209"/>
    </row>
    <row r="1557" spans="15:16" ht="24" customHeight="1">
      <c r="O1557" s="209"/>
      <c r="P1557" s="209"/>
    </row>
    <row r="1558" spans="15:16" ht="12.75" customHeight="1">
      <c r="O1558" s="211"/>
      <c r="P1558" s="211"/>
    </row>
    <row r="1559" spans="15:16" ht="12.75" customHeight="1">
      <c r="O1559" s="211"/>
      <c r="P1559" s="211"/>
    </row>
    <row r="1560" spans="15:16" ht="12.75" customHeight="1">
      <c r="O1560" s="211"/>
      <c r="P1560" s="211"/>
    </row>
    <row r="1561" spans="15:16" ht="12.75" customHeight="1">
      <c r="O1561" s="211"/>
      <c r="P1561" s="211"/>
    </row>
    <row r="1562" spans="15:16" ht="12.75" customHeight="1">
      <c r="O1562" s="211"/>
      <c r="P1562" s="211"/>
    </row>
    <row r="1563" spans="15:16" ht="12.75" customHeight="1">
      <c r="O1563" s="211"/>
      <c r="P1563" s="211"/>
    </row>
    <row r="1564" spans="15:16" ht="12.75" customHeight="1">
      <c r="O1564" s="211"/>
      <c r="P1564" s="211"/>
    </row>
    <row r="1565" spans="15:16" ht="12.75" customHeight="1">
      <c r="O1565" s="211"/>
      <c r="P1565" s="211"/>
    </row>
    <row r="1566" spans="15:16" ht="12.75" customHeight="1">
      <c r="O1566" s="211"/>
      <c r="P1566" s="211"/>
    </row>
    <row r="1567" spans="15:16" ht="12.75" customHeight="1">
      <c r="O1567" s="211"/>
      <c r="P1567" s="211"/>
    </row>
    <row r="1568" spans="15:16" ht="12.75" customHeight="1">
      <c r="O1568" s="211"/>
      <c r="P1568" s="211"/>
    </row>
    <row r="1569" spans="15:16" ht="12.75" customHeight="1">
      <c r="O1569" s="211"/>
      <c r="P1569" s="211"/>
    </row>
    <row r="1570" spans="15:16" ht="12.75" customHeight="1">
      <c r="O1570" s="211"/>
      <c r="P1570" s="211"/>
    </row>
    <row r="1571" spans="15:16" ht="12.75" customHeight="1">
      <c r="O1571" s="211"/>
      <c r="P1571" s="211"/>
    </row>
    <row r="1572" spans="15:16" ht="12.75" customHeight="1">
      <c r="O1572" s="211"/>
      <c r="P1572" s="211"/>
    </row>
    <row r="1573" spans="15:16" ht="12.75" customHeight="1">
      <c r="O1573" s="211"/>
      <c r="P1573" s="211"/>
    </row>
    <row r="1574" spans="15:16" ht="12.75" customHeight="1">
      <c r="O1574" s="211"/>
      <c r="P1574" s="211"/>
    </row>
    <row r="1575" spans="15:16" ht="12.75" customHeight="1">
      <c r="O1575" s="211"/>
      <c r="P1575" s="211"/>
    </row>
    <row r="1576" spans="15:16" ht="12.75" customHeight="1">
      <c r="O1576" s="211"/>
      <c r="P1576" s="211"/>
    </row>
    <row r="1577" spans="15:16" ht="12.75" customHeight="1">
      <c r="O1577" s="211"/>
      <c r="P1577" s="211"/>
    </row>
    <row r="1578" spans="15:16" ht="12.75" customHeight="1">
      <c r="O1578" s="211"/>
      <c r="P1578" s="211"/>
    </row>
    <row r="1579" spans="15:16" ht="12.75" customHeight="1">
      <c r="O1579" s="211"/>
      <c r="P1579" s="211"/>
    </row>
    <row r="1580" spans="15:16" ht="12.75" customHeight="1">
      <c r="O1580" s="211"/>
      <c r="P1580" s="211"/>
    </row>
    <row r="1581" spans="15:16" ht="12.75" customHeight="1">
      <c r="O1581" s="211"/>
      <c r="P1581" s="211"/>
    </row>
    <row r="1582" spans="15:16" ht="12.75" customHeight="1">
      <c r="O1582" s="211"/>
      <c r="P1582" s="211"/>
    </row>
    <row r="1583" spans="15:16" ht="12.75" customHeight="1">
      <c r="O1583" s="211"/>
      <c r="P1583" s="211"/>
    </row>
    <row r="1584" spans="15:16" ht="12.75" customHeight="1">
      <c r="O1584" s="211"/>
      <c r="P1584" s="211"/>
    </row>
    <row r="1585" spans="15:16" ht="12.75" customHeight="1">
      <c r="O1585" s="211"/>
      <c r="P1585" s="211"/>
    </row>
    <row r="1586" spans="15:16" ht="12.75" customHeight="1">
      <c r="O1586" s="211"/>
      <c r="P1586" s="211"/>
    </row>
    <row r="1587" spans="15:16" ht="12.75" customHeight="1">
      <c r="O1587" s="211"/>
      <c r="P1587" s="211"/>
    </row>
    <row r="1588" spans="15:16" ht="12.75" customHeight="1">
      <c r="O1588" s="211"/>
      <c r="P1588" s="211"/>
    </row>
    <row r="1589" spans="15:16" ht="12.75" customHeight="1">
      <c r="O1589" s="211"/>
      <c r="P1589" s="211"/>
    </row>
    <row r="1590" spans="15:16" ht="12.75" customHeight="1">
      <c r="O1590" s="211"/>
      <c r="P1590" s="211"/>
    </row>
    <row r="1591" spans="15:16" ht="12.75" customHeight="1">
      <c r="O1591" s="211"/>
      <c r="P1591" s="211"/>
    </row>
    <row r="1592" spans="15:16" ht="12.75" customHeight="1">
      <c r="O1592" s="211"/>
      <c r="P1592" s="211"/>
    </row>
    <row r="1593" spans="15:16" ht="12.75" customHeight="1">
      <c r="O1593" s="211"/>
      <c r="P1593" s="211"/>
    </row>
    <row r="1594" spans="15:16" ht="12.75" customHeight="1">
      <c r="O1594" s="211"/>
      <c r="P1594" s="211"/>
    </row>
    <row r="1595" spans="15:16" ht="12.75" customHeight="1">
      <c r="O1595" s="211"/>
      <c r="P1595" s="211"/>
    </row>
    <row r="1596" spans="15:16" ht="12.75" customHeight="1">
      <c r="O1596" s="211"/>
      <c r="P1596" s="211"/>
    </row>
    <row r="1597" spans="15:16" ht="12.75" customHeight="1">
      <c r="O1597" s="211"/>
      <c r="P1597" s="211"/>
    </row>
    <row r="1598" spans="15:16" ht="12.75" customHeight="1">
      <c r="O1598" s="211"/>
      <c r="P1598" s="211"/>
    </row>
    <row r="1599" spans="15:16" ht="12.75" customHeight="1">
      <c r="O1599" s="211"/>
      <c r="P1599" s="211"/>
    </row>
    <row r="1600" spans="15:16" ht="12.75" customHeight="1">
      <c r="O1600" s="211"/>
      <c r="P1600" s="211"/>
    </row>
    <row r="1601" spans="15:16" ht="12.75" customHeight="1">
      <c r="O1601" s="211"/>
      <c r="P1601" s="211"/>
    </row>
    <row r="1602" spans="15:16" ht="12.75" customHeight="1">
      <c r="O1602" s="211"/>
      <c r="P1602" s="211"/>
    </row>
    <row r="1603" spans="15:16" ht="12.75" customHeight="1">
      <c r="O1603" s="211"/>
      <c r="P1603" s="211"/>
    </row>
    <row r="1604" spans="15:16" ht="12.75" customHeight="1">
      <c r="O1604" s="211"/>
      <c r="P1604" s="211"/>
    </row>
    <row r="1605" spans="15:16" ht="12.75" customHeight="1">
      <c r="O1605" s="211"/>
      <c r="P1605" s="211"/>
    </row>
    <row r="1606" spans="15:16" ht="12.75" customHeight="1">
      <c r="O1606" s="211"/>
      <c r="P1606" s="211"/>
    </row>
    <row r="1607" spans="15:16" ht="12.75" customHeight="1">
      <c r="O1607" s="211"/>
      <c r="P1607" s="211"/>
    </row>
    <row r="1608" spans="15:16" ht="12.75" customHeight="1">
      <c r="O1608" s="211"/>
      <c r="P1608" s="211"/>
    </row>
    <row r="1609" spans="15:16" ht="12.75" customHeight="1">
      <c r="O1609" s="211"/>
      <c r="P1609" s="211"/>
    </row>
    <row r="1610" spans="15:16" ht="12.75" customHeight="1">
      <c r="O1610" s="211"/>
      <c r="P1610" s="211"/>
    </row>
    <row r="1611" spans="15:16" ht="12.75" customHeight="1">
      <c r="O1611" s="211"/>
      <c r="P1611" s="211"/>
    </row>
    <row r="1612" spans="15:16" ht="12.75" customHeight="1">
      <c r="O1612" s="211"/>
      <c r="P1612" s="211"/>
    </row>
    <row r="1613" spans="15:16" ht="12.75" customHeight="1">
      <c r="O1613" s="211"/>
      <c r="P1613" s="211"/>
    </row>
    <row r="1614" spans="15:16" ht="12.75" customHeight="1">
      <c r="O1614" s="211"/>
      <c r="P1614" s="211"/>
    </row>
    <row r="1615" spans="15:16" ht="12.75" customHeight="1">
      <c r="O1615" s="211"/>
      <c r="P1615" s="211"/>
    </row>
    <row r="1616" spans="15:16" ht="12.75" customHeight="1">
      <c r="O1616" s="211"/>
      <c r="P1616" s="211"/>
    </row>
    <row r="1617" spans="15:16" ht="12.75" customHeight="1">
      <c r="O1617" s="211"/>
      <c r="P1617" s="211"/>
    </row>
    <row r="1618" spans="15:16" ht="12.75" customHeight="1">
      <c r="O1618" s="211"/>
      <c r="P1618" s="211"/>
    </row>
    <row r="1619" spans="15:16" ht="12.75" customHeight="1">
      <c r="O1619" s="211"/>
      <c r="P1619" s="211"/>
    </row>
    <row r="1620" spans="15:16" ht="12.75" customHeight="1">
      <c r="O1620" s="211"/>
      <c r="P1620" s="211"/>
    </row>
    <row r="1621" spans="15:16" ht="12.75" customHeight="1">
      <c r="O1621" s="211"/>
      <c r="P1621" s="211"/>
    </row>
    <row r="1622" spans="15:16" ht="12.75" customHeight="1">
      <c r="O1622" s="211"/>
      <c r="P1622" s="211"/>
    </row>
    <row r="1623" spans="15:16" ht="12.75" customHeight="1">
      <c r="O1623" s="211"/>
      <c r="P1623" s="211"/>
    </row>
    <row r="1624" spans="15:16" ht="12.75" customHeight="1">
      <c r="O1624" s="211"/>
      <c r="P1624" s="211"/>
    </row>
    <row r="1625" spans="15:16" ht="12.75" customHeight="1">
      <c r="O1625" s="211"/>
      <c r="P1625" s="211"/>
    </row>
    <row r="1626" spans="15:16" ht="12.75" customHeight="1">
      <c r="O1626" s="211"/>
      <c r="P1626" s="211"/>
    </row>
    <row r="1627" spans="15:16" ht="12.75" customHeight="1">
      <c r="O1627" s="211"/>
      <c r="P1627" s="211"/>
    </row>
    <row r="1628" spans="15:16" ht="12.75" customHeight="1">
      <c r="O1628" s="211"/>
      <c r="P1628" s="211"/>
    </row>
    <row r="1629" spans="15:16" ht="12.75" customHeight="1">
      <c r="O1629" s="211"/>
      <c r="P1629" s="211"/>
    </row>
    <row r="1630" spans="15:16" ht="12.75" customHeight="1">
      <c r="O1630" s="211"/>
      <c r="P1630" s="211"/>
    </row>
    <row r="1631" spans="15:16" ht="12.75" customHeight="1">
      <c r="O1631" s="211"/>
      <c r="P1631" s="211"/>
    </row>
    <row r="1632" spans="15:16" ht="12.75" customHeight="1">
      <c r="O1632" s="211"/>
      <c r="P1632" s="211"/>
    </row>
    <row r="1633" spans="15:16" ht="12.75" customHeight="1">
      <c r="O1633" s="211"/>
      <c r="P1633" s="211"/>
    </row>
    <row r="1634" spans="15:16" ht="12.75" customHeight="1">
      <c r="O1634" s="211"/>
      <c r="P1634" s="211"/>
    </row>
    <row r="1635" spans="15:16" ht="12.75" customHeight="1">
      <c r="O1635" s="211"/>
      <c r="P1635" s="211"/>
    </row>
    <row r="1636" spans="15:16" ht="12.75" customHeight="1">
      <c r="O1636" s="211"/>
      <c r="P1636" s="211"/>
    </row>
    <row r="1637" spans="15:16" ht="12.75" customHeight="1">
      <c r="O1637" s="211"/>
      <c r="P1637" s="211"/>
    </row>
    <row r="1638" spans="15:16" ht="12.75" customHeight="1">
      <c r="O1638" s="211"/>
      <c r="P1638" s="211"/>
    </row>
    <row r="1639" spans="15:16" ht="12.75" customHeight="1">
      <c r="O1639" s="211"/>
      <c r="P1639" s="211"/>
    </row>
    <row r="1640" spans="15:16" ht="12.75" customHeight="1">
      <c r="O1640" s="211"/>
      <c r="P1640" s="211"/>
    </row>
    <row r="1641" spans="15:16" ht="12.75" customHeight="1">
      <c r="O1641" s="211"/>
      <c r="P1641" s="211"/>
    </row>
    <row r="1642" spans="15:16" ht="12.75" customHeight="1">
      <c r="O1642" s="211"/>
      <c r="P1642" s="211"/>
    </row>
    <row r="1643" spans="15:16" ht="12.75" customHeight="1">
      <c r="O1643" s="211"/>
      <c r="P1643" s="211"/>
    </row>
    <row r="1644" spans="15:16" ht="12.75" customHeight="1">
      <c r="O1644" s="211"/>
      <c r="P1644" s="211"/>
    </row>
    <row r="1645" spans="15:16" ht="12.75" customHeight="1">
      <c r="O1645" s="211"/>
      <c r="P1645" s="211"/>
    </row>
    <row r="1646" spans="15:16" ht="12.75" customHeight="1">
      <c r="O1646" s="211"/>
      <c r="P1646" s="211"/>
    </row>
    <row r="1647" spans="15:16" ht="12.75" customHeight="1">
      <c r="O1647" s="211"/>
      <c r="P1647" s="211"/>
    </row>
    <row r="1648" spans="15:16" ht="12.75" customHeight="1">
      <c r="O1648" s="211"/>
      <c r="P1648" s="211"/>
    </row>
    <row r="1649" spans="15:16" ht="12.75" customHeight="1">
      <c r="O1649" s="211"/>
      <c r="P1649" s="211"/>
    </row>
    <row r="1650" spans="15:16" ht="12.75" customHeight="1">
      <c r="O1650" s="211"/>
      <c r="P1650" s="211"/>
    </row>
    <row r="1651" spans="15:16" ht="12.75" customHeight="1">
      <c r="O1651" s="211"/>
      <c r="P1651" s="211"/>
    </row>
    <row r="1652" spans="15:16" ht="12.75" customHeight="1">
      <c r="O1652" s="211"/>
      <c r="P1652" s="211"/>
    </row>
    <row r="1653" spans="15:16" ht="12.75" customHeight="1">
      <c r="O1653" s="211"/>
      <c r="P1653" s="211"/>
    </row>
    <row r="1654" spans="15:16" ht="12.75" customHeight="1">
      <c r="O1654" s="211"/>
      <c r="P1654" s="211"/>
    </row>
    <row r="1655" spans="15:16" ht="12.75" customHeight="1">
      <c r="O1655" s="211"/>
      <c r="P1655" s="211"/>
    </row>
    <row r="1656" spans="15:16" ht="12.75" customHeight="1">
      <c r="O1656" s="211"/>
      <c r="P1656" s="211"/>
    </row>
    <row r="1657" spans="15:16" ht="12.75" customHeight="1">
      <c r="O1657" s="211"/>
      <c r="P1657" s="211"/>
    </row>
    <row r="1658" spans="15:16" ht="12.75" customHeight="1">
      <c r="O1658" s="211"/>
      <c r="P1658" s="211"/>
    </row>
    <row r="1659" spans="15:16" ht="12.75" customHeight="1">
      <c r="O1659" s="211"/>
      <c r="P1659" s="211"/>
    </row>
    <row r="1660" spans="15:16" ht="12.75" customHeight="1">
      <c r="O1660" s="211"/>
      <c r="P1660" s="211"/>
    </row>
    <row r="1661" spans="15:16" ht="12.75" customHeight="1">
      <c r="O1661" s="211"/>
      <c r="P1661" s="211"/>
    </row>
    <row r="1662" spans="15:16" ht="12.75" customHeight="1">
      <c r="O1662" s="211"/>
      <c r="P1662" s="211"/>
    </row>
    <row r="1663" spans="15:16" ht="12.75" customHeight="1">
      <c r="O1663" s="211"/>
      <c r="P1663" s="211"/>
    </row>
    <row r="1664" spans="15:16" ht="12.75" customHeight="1">
      <c r="O1664" s="211"/>
      <c r="P1664" s="211"/>
    </row>
    <row r="1665" spans="15:16" ht="12.75" customHeight="1">
      <c r="O1665" s="211"/>
      <c r="P1665" s="211"/>
    </row>
    <row r="1666" spans="15:16" ht="12.75" customHeight="1">
      <c r="O1666" s="211"/>
      <c r="P1666" s="211"/>
    </row>
    <row r="1667" spans="15:16" ht="12.75" customHeight="1">
      <c r="O1667" s="211"/>
      <c r="P1667" s="211"/>
    </row>
    <row r="1668" spans="15:16" ht="12.75" customHeight="1">
      <c r="O1668" s="211"/>
      <c r="P1668" s="211"/>
    </row>
    <row r="1669" spans="15:16" ht="12.75" customHeight="1">
      <c r="O1669" s="211"/>
      <c r="P1669" s="211"/>
    </row>
    <row r="1670" spans="15:16" ht="12.75" customHeight="1">
      <c r="O1670" s="211"/>
      <c r="P1670" s="211"/>
    </row>
    <row r="1671" spans="15:16" ht="12.75" customHeight="1">
      <c r="O1671" s="211"/>
      <c r="P1671" s="211"/>
    </row>
    <row r="1672" spans="15:16" ht="12.75" customHeight="1">
      <c r="O1672" s="211"/>
      <c r="P1672" s="211"/>
    </row>
    <row r="1673" spans="15:16" ht="12.75" customHeight="1">
      <c r="O1673" s="211"/>
      <c r="P1673" s="211"/>
    </row>
    <row r="1674" spans="15:16" ht="12.75" customHeight="1">
      <c r="O1674" s="211"/>
      <c r="P1674" s="211"/>
    </row>
    <row r="1675" spans="15:16" ht="12.75" customHeight="1">
      <c r="O1675" s="211"/>
      <c r="P1675" s="211"/>
    </row>
    <row r="1676" spans="15:16" ht="12.75" customHeight="1">
      <c r="O1676" s="211"/>
      <c r="P1676" s="211"/>
    </row>
    <row r="1677" spans="15:16" ht="12.75" customHeight="1">
      <c r="O1677" s="211"/>
      <c r="P1677" s="211"/>
    </row>
    <row r="1678" spans="15:16" ht="12.75" customHeight="1">
      <c r="O1678" s="211"/>
      <c r="P1678" s="211"/>
    </row>
    <row r="1679" spans="15:16" ht="12.75" customHeight="1">
      <c r="O1679" s="211"/>
      <c r="P1679" s="211"/>
    </row>
    <row r="1680" spans="15:16" ht="12.75" customHeight="1">
      <c r="O1680" s="211"/>
      <c r="P1680" s="211"/>
    </row>
    <row r="1681" spans="15:16" ht="12.75" customHeight="1">
      <c r="O1681" s="211"/>
      <c r="P1681" s="211"/>
    </row>
    <row r="1682" spans="15:16" ht="12.75" customHeight="1">
      <c r="O1682" s="211"/>
      <c r="P1682" s="211"/>
    </row>
    <row r="1683" spans="15:16" ht="12.75" customHeight="1">
      <c r="O1683" s="211"/>
      <c r="P1683" s="211"/>
    </row>
    <row r="1684" spans="15:16" ht="12.75" customHeight="1">
      <c r="O1684" s="211"/>
      <c r="P1684" s="211"/>
    </row>
    <row r="1685" spans="15:16" ht="12.75" customHeight="1">
      <c r="O1685" s="211"/>
      <c r="P1685" s="211"/>
    </row>
    <row r="1686" spans="15:16" ht="12.75" customHeight="1">
      <c r="O1686" s="211"/>
      <c r="P1686" s="211"/>
    </row>
    <row r="1687" spans="15:16" ht="12.75" customHeight="1">
      <c r="O1687" s="211"/>
      <c r="P1687" s="211"/>
    </row>
    <row r="1688" spans="15:16" ht="12.75" customHeight="1">
      <c r="O1688" s="211"/>
      <c r="P1688" s="211"/>
    </row>
    <row r="1689" spans="15:16" ht="12.75" customHeight="1">
      <c r="O1689" s="211"/>
      <c r="P1689" s="211"/>
    </row>
    <row r="1690" spans="15:16" ht="12.75" customHeight="1">
      <c r="O1690" s="211"/>
      <c r="P1690" s="211"/>
    </row>
    <row r="1691" spans="15:16" ht="12.75" customHeight="1">
      <c r="O1691" s="211"/>
      <c r="P1691" s="211"/>
    </row>
    <row r="1692" spans="15:16" ht="12.75" customHeight="1">
      <c r="O1692" s="211"/>
      <c r="P1692" s="211"/>
    </row>
    <row r="1693" spans="15:16" ht="12.75" customHeight="1">
      <c r="O1693" s="211"/>
      <c r="P1693" s="211"/>
    </row>
    <row r="1694" spans="15:16" ht="12.75" customHeight="1">
      <c r="O1694" s="211"/>
      <c r="P1694" s="211"/>
    </row>
    <row r="1695" spans="15:16" ht="12.75" customHeight="1">
      <c r="O1695" s="211"/>
      <c r="P1695" s="211"/>
    </row>
    <row r="1696" spans="15:16" ht="12.75" customHeight="1">
      <c r="O1696" s="211"/>
      <c r="P1696" s="211"/>
    </row>
    <row r="1697" spans="15:16" ht="12.75" customHeight="1">
      <c r="O1697" s="211"/>
      <c r="P1697" s="211"/>
    </row>
    <row r="1698" spans="15:16" ht="12.75" customHeight="1">
      <c r="O1698" s="211"/>
      <c r="P1698" s="211"/>
    </row>
    <row r="1699" spans="15:16" ht="12.75" customHeight="1">
      <c r="O1699" s="211"/>
      <c r="P1699" s="211"/>
    </row>
    <row r="1700" spans="15:16" ht="12.75" customHeight="1">
      <c r="O1700" s="211"/>
      <c r="P1700" s="211"/>
    </row>
    <row r="1701" spans="15:16" ht="12.75" customHeight="1">
      <c r="O1701" s="211"/>
      <c r="P1701" s="211"/>
    </row>
    <row r="1702" spans="15:16" ht="12.75" customHeight="1">
      <c r="O1702" s="211"/>
      <c r="P1702" s="211"/>
    </row>
    <row r="1703" spans="15:16" ht="12.75" customHeight="1">
      <c r="O1703" s="211"/>
      <c r="P1703" s="211"/>
    </row>
    <row r="1704" spans="15:16" ht="12.75" customHeight="1">
      <c r="O1704" s="211"/>
      <c r="P1704" s="211"/>
    </row>
    <row r="1705" spans="15:16" ht="12.75" customHeight="1">
      <c r="O1705" s="211"/>
      <c r="P1705" s="211"/>
    </row>
    <row r="1706" spans="15:16" ht="12.75" customHeight="1">
      <c r="O1706" s="211"/>
      <c r="P1706" s="211"/>
    </row>
    <row r="1707" spans="15:16" ht="12.75" customHeight="1">
      <c r="O1707" s="211"/>
      <c r="P1707" s="211"/>
    </row>
    <row r="1708" spans="15:16" ht="12.75" customHeight="1">
      <c r="O1708" s="211"/>
      <c r="P1708" s="211"/>
    </row>
    <row r="1709" spans="15:16" ht="12.75" customHeight="1">
      <c r="O1709" s="211"/>
      <c r="P1709" s="211"/>
    </row>
    <row r="1710" spans="15:16" ht="12.75" customHeight="1">
      <c r="O1710" s="211"/>
      <c r="P1710" s="211"/>
    </row>
    <row r="1711" spans="15:16" ht="12.75" customHeight="1">
      <c r="O1711" s="211"/>
      <c r="P1711" s="211"/>
    </row>
    <row r="1712" spans="15:16" ht="12.75" customHeight="1">
      <c r="O1712" s="211"/>
      <c r="P1712" s="211"/>
    </row>
    <row r="1713" spans="15:16" ht="12.75" customHeight="1">
      <c r="O1713" s="211"/>
      <c r="P1713" s="211"/>
    </row>
    <row r="1714" spans="15:16" ht="12.75" customHeight="1">
      <c r="O1714" s="211"/>
      <c r="P1714" s="211"/>
    </row>
    <row r="1715" spans="15:16" ht="12.75" customHeight="1">
      <c r="O1715" s="211"/>
      <c r="P1715" s="211"/>
    </row>
    <row r="1716" spans="15:16" ht="12.75" customHeight="1">
      <c r="O1716" s="211"/>
      <c r="P1716" s="211"/>
    </row>
    <row r="1717" spans="15:16" ht="12.75" customHeight="1">
      <c r="O1717" s="211"/>
      <c r="P1717" s="211"/>
    </row>
    <row r="1718" spans="15:16" ht="12.75" customHeight="1">
      <c r="O1718" s="211"/>
      <c r="P1718" s="211"/>
    </row>
    <row r="1719" spans="15:16" ht="12.75" customHeight="1">
      <c r="O1719" s="211"/>
      <c r="P1719" s="211"/>
    </row>
    <row r="1720" spans="15:16" ht="12.75" customHeight="1">
      <c r="O1720" s="211"/>
      <c r="P1720" s="211"/>
    </row>
    <row r="1721" spans="15:16" ht="12.75" customHeight="1">
      <c r="O1721" s="211"/>
      <c r="P1721" s="211"/>
    </row>
    <row r="1722" spans="15:16" ht="12.75" customHeight="1">
      <c r="O1722" s="211"/>
      <c r="P1722" s="211"/>
    </row>
    <row r="1723" spans="15:16" ht="12.75" customHeight="1">
      <c r="O1723" s="211"/>
      <c r="P1723" s="211"/>
    </row>
    <row r="1724" spans="15:16" ht="12.75" customHeight="1">
      <c r="O1724" s="211"/>
      <c r="P1724" s="211"/>
    </row>
    <row r="1725" spans="15:16" ht="12.75" customHeight="1">
      <c r="O1725" s="211"/>
      <c r="P1725" s="211"/>
    </row>
    <row r="1726" spans="15:16" ht="12.75" customHeight="1">
      <c r="O1726" s="211"/>
      <c r="P1726" s="211"/>
    </row>
    <row r="1727" spans="15:16" ht="12.75" customHeight="1">
      <c r="O1727" s="211"/>
      <c r="P1727" s="211"/>
    </row>
    <row r="1728" spans="15:16" ht="12.75" customHeight="1">
      <c r="O1728" s="211"/>
      <c r="P1728" s="211"/>
    </row>
    <row r="1729" spans="15:16" ht="12.75" customHeight="1">
      <c r="O1729" s="211"/>
      <c r="P1729" s="211"/>
    </row>
    <row r="1730" spans="15:16" ht="12.75" customHeight="1">
      <c r="O1730" s="211"/>
      <c r="P1730" s="211"/>
    </row>
    <row r="1731" spans="15:16" ht="12.75" customHeight="1">
      <c r="O1731" s="211"/>
      <c r="P1731" s="211"/>
    </row>
    <row r="1732" spans="15:16" ht="12.75" customHeight="1">
      <c r="O1732" s="211"/>
      <c r="P1732" s="211"/>
    </row>
    <row r="1733" spans="15:16" ht="12.75" customHeight="1">
      <c r="O1733" s="211"/>
      <c r="P1733" s="211"/>
    </row>
    <row r="1734" spans="15:16" ht="12.75" customHeight="1">
      <c r="O1734" s="211"/>
      <c r="P1734" s="211"/>
    </row>
    <row r="1735" spans="15:16" ht="12.75" customHeight="1">
      <c r="O1735" s="211"/>
      <c r="P1735" s="211"/>
    </row>
    <row r="1736" spans="15:16" ht="12.75" customHeight="1">
      <c r="O1736" s="211"/>
      <c r="P1736" s="211"/>
    </row>
    <row r="1737" spans="15:16" ht="12.75" customHeight="1">
      <c r="O1737" s="211"/>
      <c r="P1737" s="211"/>
    </row>
    <row r="1738" spans="15:16" ht="12.75" customHeight="1">
      <c r="O1738" s="211"/>
      <c r="P1738" s="211"/>
    </row>
    <row r="1739" spans="15:16" ht="12.75" customHeight="1">
      <c r="O1739" s="211"/>
      <c r="P1739" s="211"/>
    </row>
    <row r="1740" spans="15:16" ht="12.75" customHeight="1">
      <c r="O1740" s="211"/>
      <c r="P1740" s="211"/>
    </row>
    <row r="1741" spans="15:16" ht="12.75" customHeight="1">
      <c r="O1741" s="211"/>
      <c r="P1741" s="211"/>
    </row>
    <row r="1742" spans="15:16" ht="12.75" customHeight="1">
      <c r="O1742" s="211"/>
      <c r="P1742" s="211"/>
    </row>
    <row r="1743" spans="15:16" ht="12.75" customHeight="1">
      <c r="O1743" s="211"/>
      <c r="P1743" s="211"/>
    </row>
    <row r="1744" spans="15:16" ht="12.75" customHeight="1">
      <c r="O1744" s="211"/>
      <c r="P1744" s="211"/>
    </row>
    <row r="1745" spans="15:16" ht="12.75" customHeight="1">
      <c r="O1745" s="211"/>
      <c r="P1745" s="211"/>
    </row>
    <row r="1746" spans="15:16" ht="12.75" customHeight="1">
      <c r="O1746" s="211"/>
      <c r="P1746" s="211"/>
    </row>
    <row r="1747" spans="15:16" ht="12.75" customHeight="1">
      <c r="O1747" s="211"/>
      <c r="P1747" s="211"/>
    </row>
    <row r="1748" spans="15:16" ht="12.75" customHeight="1">
      <c r="O1748" s="211"/>
      <c r="P1748" s="211"/>
    </row>
    <row r="1749" spans="15:16" ht="12.75" customHeight="1">
      <c r="O1749" s="211"/>
      <c r="P1749" s="211"/>
    </row>
    <row r="1750" spans="15:16" ht="12.75" customHeight="1">
      <c r="O1750" s="211"/>
      <c r="P1750" s="211"/>
    </row>
    <row r="1751" spans="15:16" ht="12.75" customHeight="1">
      <c r="O1751" s="211"/>
      <c r="P1751" s="211"/>
    </row>
    <row r="1752" spans="15:16" ht="12.75" customHeight="1">
      <c r="O1752" s="211"/>
      <c r="P1752" s="211"/>
    </row>
    <row r="1753" spans="15:16" ht="12.75" customHeight="1">
      <c r="O1753" s="211"/>
      <c r="P1753" s="211"/>
    </row>
    <row r="1754" spans="15:16" ht="12.75" customHeight="1">
      <c r="O1754" s="211"/>
      <c r="P1754" s="211"/>
    </row>
    <row r="1755" spans="15:16" ht="12.75" customHeight="1">
      <c r="O1755" s="211"/>
      <c r="P1755" s="211"/>
    </row>
    <row r="1756" spans="15:16" ht="12.75" customHeight="1">
      <c r="O1756" s="211"/>
      <c r="P1756" s="211"/>
    </row>
    <row r="1757" spans="15:16" ht="12.75" customHeight="1">
      <c r="O1757" s="211"/>
      <c r="P1757" s="211"/>
    </row>
    <row r="1758" spans="15:16" ht="12.75" customHeight="1">
      <c r="O1758" s="211"/>
      <c r="P1758" s="211"/>
    </row>
    <row r="1759" spans="15:16" ht="12.75" customHeight="1">
      <c r="O1759" s="211"/>
      <c r="P1759" s="211"/>
    </row>
    <row r="1760" spans="15:16" ht="12.75" customHeight="1">
      <c r="O1760" s="211"/>
      <c r="P1760" s="211"/>
    </row>
    <row r="1761" spans="15:16" ht="12.75" customHeight="1">
      <c r="O1761" s="211"/>
      <c r="P1761" s="211"/>
    </row>
    <row r="1762" spans="15:16" ht="12.75" customHeight="1">
      <c r="O1762" s="211"/>
      <c r="P1762" s="211"/>
    </row>
    <row r="1763" spans="15:16" ht="12.75" customHeight="1">
      <c r="O1763" s="211"/>
      <c r="P1763" s="211"/>
    </row>
    <row r="1764" spans="15:16" ht="12.75" customHeight="1">
      <c r="O1764" s="211"/>
      <c r="P1764" s="211"/>
    </row>
    <row r="1765" spans="15:16" ht="12.75" customHeight="1">
      <c r="O1765" s="211"/>
      <c r="P1765" s="211"/>
    </row>
    <row r="1766" spans="15:16" ht="12.75" customHeight="1">
      <c r="O1766" s="211"/>
      <c r="P1766" s="211"/>
    </row>
    <row r="1767" spans="15:16" ht="12.75" customHeight="1">
      <c r="O1767" s="211"/>
      <c r="P1767" s="211"/>
    </row>
    <row r="1768" spans="15:16" ht="12.75" customHeight="1">
      <c r="O1768" s="211"/>
      <c r="P1768" s="211"/>
    </row>
    <row r="1769" spans="15:16" ht="12.75" customHeight="1">
      <c r="O1769" s="211"/>
      <c r="P1769" s="211"/>
    </row>
    <row r="1770" spans="15:16" ht="12.75" customHeight="1">
      <c r="O1770" s="211"/>
      <c r="P1770" s="211"/>
    </row>
    <row r="1771" spans="15:16" ht="12.75" customHeight="1">
      <c r="O1771" s="211"/>
      <c r="P1771" s="211"/>
    </row>
    <row r="1772" spans="15:16" ht="12.75" customHeight="1">
      <c r="O1772" s="211"/>
      <c r="P1772" s="211"/>
    </row>
    <row r="1773" spans="15:16" ht="12.75" customHeight="1">
      <c r="O1773" s="211"/>
      <c r="P1773" s="211"/>
    </row>
    <row r="1774" spans="15:16" ht="12.75" customHeight="1">
      <c r="O1774" s="211"/>
      <c r="P1774" s="211"/>
    </row>
    <row r="1775" spans="15:16" ht="12.75" customHeight="1">
      <c r="O1775" s="211"/>
      <c r="P1775" s="211"/>
    </row>
    <row r="1776" spans="15:16" ht="12.75" customHeight="1">
      <c r="O1776" s="211"/>
      <c r="P1776" s="211"/>
    </row>
    <row r="1777" spans="15:16" ht="12.75" customHeight="1">
      <c r="O1777" s="211"/>
      <c r="P1777" s="211"/>
    </row>
    <row r="1778" spans="15:16" ht="12.75" customHeight="1">
      <c r="O1778" s="211"/>
      <c r="P1778" s="211"/>
    </row>
    <row r="1779" spans="15:16" ht="12.75" customHeight="1">
      <c r="O1779" s="211"/>
      <c r="P1779" s="211"/>
    </row>
    <row r="1780" spans="15:16" ht="12.75" customHeight="1">
      <c r="O1780" s="211"/>
      <c r="P1780" s="211"/>
    </row>
    <row r="1781" spans="15:16" ht="12.75" customHeight="1">
      <c r="O1781" s="211"/>
      <c r="P1781" s="211"/>
    </row>
    <row r="1782" spans="15:16" ht="12.75" customHeight="1">
      <c r="O1782" s="211"/>
      <c r="P1782" s="211"/>
    </row>
    <row r="1783" spans="15:16" ht="12.75" customHeight="1">
      <c r="O1783" s="211"/>
      <c r="P1783" s="211"/>
    </row>
    <row r="1784" spans="15:16" ht="12.75" customHeight="1">
      <c r="O1784" s="211"/>
      <c r="P1784" s="211"/>
    </row>
    <row r="1785" spans="15:16" ht="12.75" customHeight="1">
      <c r="O1785" s="211"/>
      <c r="P1785" s="211"/>
    </row>
    <row r="1786" spans="15:16" ht="12.75" customHeight="1">
      <c r="O1786" s="211"/>
      <c r="P1786" s="211"/>
    </row>
    <row r="1787" spans="15:16" ht="12.75" customHeight="1">
      <c r="O1787" s="211"/>
      <c r="P1787" s="211"/>
    </row>
    <row r="1788" spans="15:16" ht="12.75" customHeight="1">
      <c r="O1788" s="211"/>
      <c r="P1788" s="211"/>
    </row>
    <row r="1789" spans="15:16" ht="12.75" customHeight="1">
      <c r="O1789" s="211"/>
      <c r="P1789" s="211"/>
    </row>
    <row r="1790" spans="15:16" ht="12.75" customHeight="1">
      <c r="O1790" s="211"/>
      <c r="P1790" s="211"/>
    </row>
    <row r="1791" spans="15:16" ht="12.75" customHeight="1">
      <c r="O1791" s="211"/>
      <c r="P1791" s="211"/>
    </row>
    <row r="1792" spans="15:16" ht="12.75" customHeight="1">
      <c r="O1792" s="211"/>
      <c r="P1792" s="211"/>
    </row>
    <row r="1793" spans="15:16" ht="12.75" customHeight="1">
      <c r="O1793" s="211"/>
      <c r="P1793" s="211"/>
    </row>
    <row r="1794" spans="15:16" ht="12.75" customHeight="1">
      <c r="O1794" s="211"/>
      <c r="P1794" s="211"/>
    </row>
    <row r="1795" spans="15:16" ht="12.75" customHeight="1">
      <c r="O1795" s="211"/>
      <c r="P1795" s="211"/>
    </row>
    <row r="1796" spans="15:16" ht="12.75" customHeight="1">
      <c r="O1796" s="211"/>
      <c r="P1796" s="211"/>
    </row>
    <row r="1797" spans="15:16" ht="12.75" customHeight="1">
      <c r="O1797" s="211"/>
      <c r="P1797" s="211"/>
    </row>
    <row r="1798" spans="15:16" ht="12.75" customHeight="1">
      <c r="O1798" s="211"/>
      <c r="P1798" s="211"/>
    </row>
    <row r="1799" spans="15:16" ht="12.75" customHeight="1">
      <c r="O1799" s="211"/>
      <c r="P1799" s="211"/>
    </row>
    <row r="1800" spans="15:16" ht="12.75" customHeight="1">
      <c r="O1800" s="211"/>
      <c r="P1800" s="211"/>
    </row>
    <row r="1801" spans="15:16" ht="12.75" customHeight="1">
      <c r="O1801" s="211"/>
      <c r="P1801" s="211"/>
    </row>
    <row r="1802" spans="15:16" ht="12.75" customHeight="1">
      <c r="O1802" s="211"/>
      <c r="P1802" s="211"/>
    </row>
    <row r="1803" spans="15:16" ht="12.75" customHeight="1">
      <c r="O1803" s="211"/>
      <c r="P1803" s="211"/>
    </row>
    <row r="1804" spans="15:16" ht="12.75" customHeight="1">
      <c r="O1804" s="211"/>
      <c r="P1804" s="211"/>
    </row>
    <row r="1805" spans="15:16" ht="12.75" customHeight="1">
      <c r="O1805" s="211"/>
      <c r="P1805" s="211"/>
    </row>
    <row r="1806" spans="15:16" ht="12.75" customHeight="1">
      <c r="O1806" s="211"/>
      <c r="P1806" s="211"/>
    </row>
    <row r="1807" spans="15:16" ht="12.75" customHeight="1">
      <c r="O1807" s="211"/>
      <c r="P1807" s="211"/>
    </row>
    <row r="1808" spans="15:16" ht="12.75" customHeight="1">
      <c r="O1808" s="211"/>
      <c r="P1808" s="211"/>
    </row>
    <row r="1809" spans="15:16" ht="12.75" customHeight="1">
      <c r="O1809" s="211"/>
      <c r="P1809" s="211"/>
    </row>
    <row r="1810" spans="15:16" ht="12.75" customHeight="1">
      <c r="O1810" s="211"/>
      <c r="P1810" s="211"/>
    </row>
    <row r="1811" spans="15:16" ht="12.75" customHeight="1">
      <c r="O1811" s="211"/>
      <c r="P1811" s="211"/>
    </row>
    <row r="1812" spans="15:16" ht="12.75" customHeight="1">
      <c r="O1812" s="211"/>
      <c r="P1812" s="211"/>
    </row>
    <row r="1813" spans="15:16" ht="12.75" customHeight="1">
      <c r="O1813" s="211"/>
      <c r="P1813" s="211"/>
    </row>
    <row r="1814" spans="15:16" ht="12.75" customHeight="1">
      <c r="O1814" s="211"/>
      <c r="P1814" s="211"/>
    </row>
    <row r="1815" spans="15:16" ht="12.75" customHeight="1">
      <c r="O1815" s="211"/>
      <c r="P1815" s="211"/>
    </row>
    <row r="1816" spans="15:16" ht="12.75" customHeight="1">
      <c r="O1816" s="211"/>
      <c r="P1816" s="211"/>
    </row>
    <row r="1817" spans="15:16" ht="12.75" customHeight="1">
      <c r="O1817" s="211"/>
      <c r="P1817" s="211"/>
    </row>
    <row r="1818" spans="15:16" ht="12.75" customHeight="1">
      <c r="O1818" s="211"/>
      <c r="P1818" s="211"/>
    </row>
    <row r="1819" spans="15:16" ht="12.75" customHeight="1">
      <c r="O1819" s="211"/>
      <c r="P1819" s="211"/>
    </row>
    <row r="1820" spans="15:16" ht="12.75" customHeight="1">
      <c r="O1820" s="211"/>
      <c r="P1820" s="211"/>
    </row>
    <row r="1821" spans="15:16" ht="12.75" customHeight="1">
      <c r="O1821" s="211"/>
      <c r="P1821" s="211"/>
    </row>
    <row r="1822" spans="15:16" ht="12.75" customHeight="1">
      <c r="O1822" s="211"/>
      <c r="P1822" s="211"/>
    </row>
    <row r="1823" spans="15:16" ht="12.75" customHeight="1">
      <c r="O1823" s="211"/>
      <c r="P1823" s="211"/>
    </row>
    <row r="1824" spans="15:16" ht="12.75" customHeight="1">
      <c r="O1824" s="211"/>
      <c r="P1824" s="211"/>
    </row>
    <row r="1825" spans="15:16" ht="12.75" customHeight="1">
      <c r="O1825" s="211"/>
      <c r="P1825" s="211"/>
    </row>
    <row r="1826" spans="15:16" ht="12.75" customHeight="1">
      <c r="O1826" s="211"/>
      <c r="P1826" s="211"/>
    </row>
    <row r="1827" spans="15:16" ht="12.75" customHeight="1">
      <c r="O1827" s="211"/>
      <c r="P1827" s="211"/>
    </row>
    <row r="1828" spans="15:16" ht="12.75" customHeight="1">
      <c r="O1828" s="211"/>
      <c r="P1828" s="211"/>
    </row>
    <row r="1829" spans="15:16" ht="12.75" customHeight="1">
      <c r="O1829" s="211"/>
      <c r="P1829" s="211"/>
    </row>
    <row r="1830" spans="15:16" ht="12.75" customHeight="1">
      <c r="O1830" s="211"/>
      <c r="P1830" s="211"/>
    </row>
    <row r="1831" spans="15:16" ht="12.75" customHeight="1">
      <c r="O1831" s="211"/>
      <c r="P1831" s="211"/>
    </row>
    <row r="1832" spans="15:16" ht="12.75" customHeight="1">
      <c r="O1832" s="211"/>
      <c r="P1832" s="211"/>
    </row>
    <row r="1833" spans="15:16" ht="12.75" customHeight="1">
      <c r="O1833" s="211"/>
      <c r="P1833" s="211"/>
    </row>
    <row r="1834" spans="15:16" ht="12.75" customHeight="1">
      <c r="O1834" s="211"/>
      <c r="P1834" s="211"/>
    </row>
    <row r="1835" spans="15:16" ht="12.75" customHeight="1">
      <c r="O1835" s="211"/>
      <c r="P1835" s="211"/>
    </row>
    <row r="1836" spans="15:16" ht="12.75" customHeight="1">
      <c r="O1836" s="211"/>
      <c r="P1836" s="211"/>
    </row>
    <row r="1837" spans="15:16" ht="12.75" customHeight="1">
      <c r="O1837" s="211"/>
      <c r="P1837" s="211"/>
    </row>
    <row r="1838" spans="15:16" ht="12.75" customHeight="1">
      <c r="O1838" s="211"/>
      <c r="P1838" s="211"/>
    </row>
    <row r="1839" spans="15:16" ht="12.75" customHeight="1">
      <c r="O1839" s="211"/>
      <c r="P1839" s="211"/>
    </row>
    <row r="1840" spans="15:16" ht="12.75" customHeight="1">
      <c r="O1840" s="211"/>
      <c r="P1840" s="211"/>
    </row>
    <row r="1841" spans="15:16" ht="12.75" customHeight="1">
      <c r="O1841" s="211"/>
      <c r="P1841" s="211"/>
    </row>
    <row r="1842" spans="15:16" ht="12.75" customHeight="1">
      <c r="O1842" s="211"/>
      <c r="P1842" s="211"/>
    </row>
    <row r="1843" spans="15:16" ht="12.75" customHeight="1">
      <c r="O1843" s="211"/>
      <c r="P1843" s="211"/>
    </row>
    <row r="1844" spans="15:16" ht="12.75" customHeight="1">
      <c r="O1844" s="211"/>
      <c r="P1844" s="211"/>
    </row>
    <row r="1845" spans="15:16" ht="12.75" customHeight="1">
      <c r="O1845" s="211"/>
      <c r="P1845" s="211"/>
    </row>
    <row r="1846" spans="15:16" ht="12.75" customHeight="1">
      <c r="O1846" s="211"/>
      <c r="P1846" s="211"/>
    </row>
    <row r="1847" spans="15:16" ht="12.75" customHeight="1">
      <c r="O1847" s="211"/>
      <c r="P1847" s="211"/>
    </row>
    <row r="1848" spans="15:16" ht="12.75" customHeight="1">
      <c r="O1848" s="211"/>
      <c r="P1848" s="211"/>
    </row>
    <row r="1849" spans="15:16" ht="12.75" customHeight="1">
      <c r="O1849" s="211"/>
      <c r="P1849" s="211"/>
    </row>
    <row r="1850" spans="15:16" ht="12.75" customHeight="1">
      <c r="O1850" s="211"/>
      <c r="P1850" s="211"/>
    </row>
    <row r="1851" spans="15:16" ht="12.75" customHeight="1">
      <c r="O1851" s="211"/>
      <c r="P1851" s="211"/>
    </row>
    <row r="1852" spans="15:16" ht="12.75" customHeight="1">
      <c r="O1852" s="211"/>
      <c r="P1852" s="211"/>
    </row>
    <row r="1853" spans="15:16" ht="12.75" customHeight="1">
      <c r="O1853" s="211"/>
      <c r="P1853" s="211"/>
    </row>
    <row r="1854" spans="15:16" ht="12.75" customHeight="1">
      <c r="O1854" s="211"/>
      <c r="P1854" s="211"/>
    </row>
    <row r="1855" spans="15:16" ht="12.75" customHeight="1">
      <c r="O1855" s="211"/>
      <c r="P1855" s="211"/>
    </row>
    <row r="1856" spans="15:16" ht="12.75" customHeight="1">
      <c r="O1856" s="211"/>
      <c r="P1856" s="211"/>
    </row>
    <row r="1857" spans="15:16" ht="12.75" customHeight="1">
      <c r="O1857" s="211"/>
      <c r="P1857" s="211"/>
    </row>
    <row r="1858" spans="15:16" ht="12.75" customHeight="1">
      <c r="O1858" s="211"/>
      <c r="P1858" s="211"/>
    </row>
    <row r="1859" spans="15:16" ht="12.75" customHeight="1">
      <c r="O1859" s="211"/>
      <c r="P1859" s="211"/>
    </row>
    <row r="1860" spans="15:16" ht="12.75" customHeight="1">
      <c r="O1860" s="211"/>
      <c r="P1860" s="211"/>
    </row>
    <row r="1861" spans="15:16" ht="12.75" customHeight="1">
      <c r="O1861" s="211"/>
      <c r="P1861" s="211"/>
    </row>
    <row r="1862" spans="15:16" ht="12.75" customHeight="1">
      <c r="O1862" s="211"/>
      <c r="P1862" s="211"/>
    </row>
    <row r="1863" spans="15:16" ht="12.75" customHeight="1">
      <c r="O1863" s="211"/>
      <c r="P1863" s="211"/>
    </row>
    <row r="1864" spans="15:16" ht="12.75" customHeight="1">
      <c r="O1864" s="211"/>
      <c r="P1864" s="211"/>
    </row>
    <row r="1865" spans="15:16" ht="12.75" customHeight="1">
      <c r="O1865" s="211"/>
      <c r="P1865" s="211"/>
    </row>
    <row r="1866" spans="15:16" ht="12.75" customHeight="1">
      <c r="O1866" s="211"/>
      <c r="P1866" s="211"/>
    </row>
    <row r="1867" spans="15:16" ht="12.75" customHeight="1">
      <c r="O1867" s="211"/>
      <c r="P1867" s="211"/>
    </row>
    <row r="1868" spans="15:16" ht="12.75" customHeight="1">
      <c r="O1868" s="211"/>
      <c r="P1868" s="211"/>
    </row>
    <row r="1869" spans="15:16" ht="12.75" customHeight="1">
      <c r="O1869" s="211"/>
      <c r="P1869" s="211"/>
    </row>
    <row r="1870" spans="15:16" ht="12.75" customHeight="1">
      <c r="O1870" s="211"/>
      <c r="P1870" s="211"/>
    </row>
    <row r="1871" spans="15:16" ht="12.75" customHeight="1">
      <c r="O1871" s="211"/>
      <c r="P1871" s="211"/>
    </row>
    <row r="1872" spans="15:16" ht="12.75" customHeight="1">
      <c r="O1872" s="211"/>
      <c r="P1872" s="211"/>
    </row>
    <row r="1873" spans="15:16" ht="12.75" customHeight="1">
      <c r="O1873" s="211"/>
      <c r="P1873" s="211"/>
    </row>
    <row r="1874" spans="15:16" ht="12.75" customHeight="1">
      <c r="O1874" s="211"/>
      <c r="P1874" s="211"/>
    </row>
    <row r="1875" spans="15:16" ht="12.75" customHeight="1">
      <c r="O1875" s="211"/>
      <c r="P1875" s="211"/>
    </row>
    <row r="1876" spans="15:16" ht="12.75" customHeight="1">
      <c r="O1876" s="211"/>
      <c r="P1876" s="211"/>
    </row>
    <row r="1877" spans="15:16" ht="12.75" customHeight="1">
      <c r="O1877" s="211"/>
      <c r="P1877" s="211"/>
    </row>
    <row r="1878" spans="15:16" ht="12.75" customHeight="1">
      <c r="O1878" s="211"/>
      <c r="P1878" s="211"/>
    </row>
    <row r="1879" spans="15:16" ht="12.75" customHeight="1">
      <c r="O1879" s="211"/>
      <c r="P1879" s="211"/>
    </row>
    <row r="1880" spans="15:16" ht="12.75" customHeight="1">
      <c r="O1880" s="211"/>
      <c r="P1880" s="211"/>
    </row>
    <row r="1881" spans="15:16" ht="12.75" customHeight="1">
      <c r="O1881" s="211"/>
      <c r="P1881" s="211"/>
    </row>
    <row r="1882" spans="15:16" ht="12.75" customHeight="1">
      <c r="O1882" s="211"/>
      <c r="P1882" s="211"/>
    </row>
    <row r="1883" spans="15:16" ht="12.75" customHeight="1">
      <c r="O1883" s="211"/>
      <c r="P1883" s="211"/>
    </row>
    <row r="1884" spans="15:16" ht="12.75" customHeight="1">
      <c r="O1884" s="211"/>
      <c r="P1884" s="211"/>
    </row>
    <row r="1885" spans="15:16" ht="12.75" customHeight="1">
      <c r="O1885" s="211"/>
      <c r="P1885" s="211"/>
    </row>
    <row r="1886" spans="15:16" ht="12.75" customHeight="1">
      <c r="O1886" s="211"/>
      <c r="P1886" s="211"/>
    </row>
    <row r="1887" spans="15:16" ht="12.75" customHeight="1">
      <c r="O1887" s="211"/>
      <c r="P1887" s="211"/>
    </row>
    <row r="1888" spans="15:16" ht="12.75" customHeight="1">
      <c r="O1888" s="211"/>
      <c r="P1888" s="211"/>
    </row>
    <row r="1889" spans="15:16" ht="12.75" customHeight="1">
      <c r="O1889" s="211"/>
      <c r="P1889" s="211"/>
    </row>
    <row r="1890" spans="15:16" ht="12.75" customHeight="1">
      <c r="O1890" s="211"/>
      <c r="P1890" s="211"/>
    </row>
    <row r="1891" spans="15:16" ht="12.75" customHeight="1">
      <c r="O1891" s="211"/>
      <c r="P1891" s="211"/>
    </row>
    <row r="1892" spans="15:16" ht="12.75" customHeight="1">
      <c r="O1892" s="211"/>
      <c r="P1892" s="211"/>
    </row>
    <row r="1893" spans="15:16" ht="12.75" customHeight="1">
      <c r="O1893" s="211"/>
      <c r="P1893" s="211"/>
    </row>
    <row r="1894" spans="15:16" ht="12.75" customHeight="1">
      <c r="O1894" s="211"/>
      <c r="P1894" s="211"/>
    </row>
    <row r="1895" spans="15:16" ht="12.75" customHeight="1">
      <c r="O1895" s="211"/>
      <c r="P1895" s="211"/>
    </row>
    <row r="1896" spans="15:16" ht="12.75" customHeight="1">
      <c r="O1896" s="211"/>
      <c r="P1896" s="211"/>
    </row>
    <row r="1897" spans="15:16" ht="12.75" customHeight="1">
      <c r="O1897" s="211"/>
      <c r="P1897" s="211"/>
    </row>
    <row r="1898" spans="15:16" ht="12.75" customHeight="1">
      <c r="O1898" s="211"/>
      <c r="P1898" s="211"/>
    </row>
    <row r="1899" spans="15:16" ht="12.75" customHeight="1">
      <c r="O1899" s="211"/>
      <c r="P1899" s="211"/>
    </row>
    <row r="1900" spans="15:16" ht="12.75" customHeight="1">
      <c r="O1900" s="211"/>
      <c r="P1900" s="211"/>
    </row>
    <row r="1901" spans="15:16" ht="12.75" customHeight="1">
      <c r="O1901" s="211"/>
      <c r="P1901" s="211"/>
    </row>
    <row r="1902" spans="15:16" ht="12.75" customHeight="1">
      <c r="O1902" s="211"/>
      <c r="P1902" s="211"/>
    </row>
    <row r="1903" spans="15:16" ht="12.75" customHeight="1">
      <c r="O1903" s="211"/>
      <c r="P1903" s="211"/>
    </row>
    <row r="1904" spans="15:16" ht="12.75" customHeight="1">
      <c r="O1904" s="211"/>
      <c r="P1904" s="211"/>
    </row>
    <row r="1905" spans="15:16" ht="12.75" customHeight="1">
      <c r="O1905" s="211"/>
      <c r="P1905" s="211"/>
    </row>
    <row r="1906" spans="15:16" ht="12.75" customHeight="1">
      <c r="O1906" s="211"/>
      <c r="P1906" s="211"/>
    </row>
    <row r="1907" spans="15:16" ht="12.75" customHeight="1">
      <c r="O1907" s="211"/>
      <c r="P1907" s="211"/>
    </row>
    <row r="1908" spans="15:16" ht="12.75" customHeight="1">
      <c r="O1908" s="211"/>
      <c r="P1908" s="211"/>
    </row>
    <row r="1909" spans="15:16" ht="12.75" customHeight="1">
      <c r="O1909" s="211"/>
      <c r="P1909" s="211"/>
    </row>
    <row r="1910" spans="15:16" ht="12.75" customHeight="1">
      <c r="O1910" s="211"/>
      <c r="P1910" s="211"/>
    </row>
    <row r="1911" spans="15:16" ht="12.75" customHeight="1">
      <c r="O1911" s="211"/>
      <c r="P1911" s="211"/>
    </row>
    <row r="1912" spans="15:16" ht="12.75" customHeight="1">
      <c r="O1912" s="211"/>
      <c r="P1912" s="211"/>
    </row>
    <row r="1913" spans="15:16" ht="12.75" customHeight="1">
      <c r="O1913" s="211"/>
      <c r="P1913" s="211"/>
    </row>
    <row r="1914" spans="15:16" ht="12.75" customHeight="1">
      <c r="O1914" s="211"/>
      <c r="P1914" s="211"/>
    </row>
    <row r="1915" spans="15:16" ht="12.75" customHeight="1">
      <c r="O1915" s="211"/>
      <c r="P1915" s="211"/>
    </row>
    <row r="1916" spans="15:16" ht="12.75" customHeight="1">
      <c r="O1916" s="211"/>
      <c r="P1916" s="211"/>
    </row>
    <row r="1917" spans="15:16" ht="12.75" customHeight="1">
      <c r="O1917" s="211"/>
      <c r="P1917" s="211"/>
    </row>
    <row r="1918" spans="15:16" ht="12.75" customHeight="1">
      <c r="O1918" s="211"/>
      <c r="P1918" s="211"/>
    </row>
    <row r="1919" spans="15:16" ht="12.75" customHeight="1">
      <c r="O1919" s="211"/>
      <c r="P1919" s="211"/>
    </row>
    <row r="1920" spans="15:16" ht="12.75" customHeight="1">
      <c r="O1920" s="211"/>
      <c r="P1920" s="211"/>
    </row>
    <row r="1921" spans="15:16" ht="12.75" customHeight="1">
      <c r="O1921" s="211"/>
      <c r="P1921" s="211"/>
    </row>
    <row r="1922" spans="15:16" ht="12.75" customHeight="1">
      <c r="O1922" s="211"/>
      <c r="P1922" s="211"/>
    </row>
    <row r="1923" spans="15:16" ht="12.75" customHeight="1">
      <c r="O1923" s="211"/>
      <c r="P1923" s="211"/>
    </row>
    <row r="1924" spans="15:16" ht="12.75" customHeight="1">
      <c r="O1924" s="211"/>
      <c r="P1924" s="211"/>
    </row>
    <row r="1925" spans="15:16" ht="12.75" customHeight="1">
      <c r="O1925" s="211"/>
      <c r="P1925" s="211"/>
    </row>
    <row r="1926" spans="15:16" ht="12.75" customHeight="1">
      <c r="O1926" s="211"/>
      <c r="P1926" s="211"/>
    </row>
    <row r="1927" spans="15:16" ht="12.75" customHeight="1">
      <c r="O1927" s="211"/>
      <c r="P1927" s="211"/>
    </row>
    <row r="1928" spans="15:16" ht="12.75" customHeight="1">
      <c r="O1928" s="211"/>
      <c r="P1928" s="211"/>
    </row>
    <row r="1929" spans="15:16" ht="12.75" customHeight="1">
      <c r="O1929" s="211"/>
      <c r="P1929" s="211"/>
    </row>
    <row r="1930" spans="15:16" ht="12.75" customHeight="1">
      <c r="O1930" s="211"/>
      <c r="P1930" s="211"/>
    </row>
    <row r="1931" spans="15:16" ht="12.75" customHeight="1">
      <c r="O1931" s="211"/>
      <c r="P1931" s="211"/>
    </row>
    <row r="1932" spans="15:16" ht="12.75" customHeight="1">
      <c r="O1932" s="211"/>
      <c r="P1932" s="211"/>
    </row>
    <row r="1933" spans="15:16" ht="12.75" customHeight="1">
      <c r="O1933" s="211"/>
      <c r="P1933" s="211"/>
    </row>
    <row r="1934" spans="15:16" ht="12.75" customHeight="1">
      <c r="O1934" s="211"/>
      <c r="P1934" s="211"/>
    </row>
    <row r="1935" spans="15:16" ht="12.75" customHeight="1">
      <c r="O1935" s="211"/>
      <c r="P1935" s="211"/>
    </row>
    <row r="1936" spans="15:16" ht="12.75" customHeight="1">
      <c r="O1936" s="211"/>
      <c r="P1936" s="211"/>
    </row>
    <row r="1937" spans="15:16" ht="12.75" customHeight="1">
      <c r="O1937" s="211"/>
      <c r="P1937" s="211"/>
    </row>
    <row r="1938" spans="15:16" ht="12.75" customHeight="1">
      <c r="O1938" s="211"/>
      <c r="P1938" s="211"/>
    </row>
    <row r="1939" spans="15:16" ht="12.75" customHeight="1">
      <c r="O1939" s="211"/>
      <c r="P1939" s="211"/>
    </row>
    <row r="1940" spans="15:16" ht="12.75" customHeight="1">
      <c r="O1940" s="211"/>
      <c r="P1940" s="211"/>
    </row>
    <row r="1941" spans="15:16" ht="12.75" customHeight="1">
      <c r="O1941" s="211"/>
      <c r="P1941" s="211"/>
    </row>
    <row r="1942" spans="15:16" ht="12.75" customHeight="1">
      <c r="O1942" s="211"/>
      <c r="P1942" s="211"/>
    </row>
    <row r="1943" spans="15:16" ht="12.75" customHeight="1">
      <c r="O1943" s="211"/>
      <c r="P1943" s="211"/>
    </row>
    <row r="1944" spans="15:16" ht="12.75" customHeight="1">
      <c r="O1944" s="211"/>
      <c r="P1944" s="211"/>
    </row>
    <row r="1945" spans="15:16" ht="12.75" customHeight="1">
      <c r="O1945" s="211"/>
      <c r="P1945" s="211"/>
    </row>
    <row r="1946" spans="15:16" ht="12.75" customHeight="1">
      <c r="O1946" s="211"/>
      <c r="P1946" s="211"/>
    </row>
    <row r="1947" spans="15:16" ht="12.75" customHeight="1">
      <c r="O1947" s="211"/>
      <c r="P1947" s="211"/>
    </row>
    <row r="1948" spans="15:16" ht="12.75" customHeight="1">
      <c r="O1948" s="211"/>
      <c r="P1948" s="211"/>
    </row>
    <row r="1949" spans="15:16" ht="12.75" customHeight="1">
      <c r="O1949" s="211"/>
      <c r="P1949" s="211"/>
    </row>
    <row r="1950" spans="15:16" ht="12.75" customHeight="1">
      <c r="O1950" s="211"/>
      <c r="P1950" s="211"/>
    </row>
    <row r="1951" spans="15:16" ht="12.75" customHeight="1">
      <c r="O1951" s="211"/>
      <c r="P1951" s="211"/>
    </row>
    <row r="1952" spans="15:16" ht="12.75" customHeight="1">
      <c r="O1952" s="211"/>
      <c r="P1952" s="211"/>
    </row>
    <row r="1953" spans="15:16" ht="12.75" customHeight="1">
      <c r="O1953" s="211"/>
      <c r="P1953" s="211"/>
    </row>
    <row r="1954" spans="15:16" ht="12.75" customHeight="1">
      <c r="O1954" s="211"/>
      <c r="P1954" s="211"/>
    </row>
    <row r="1955" spans="15:16" ht="12.75" customHeight="1">
      <c r="O1955" s="211"/>
      <c r="P1955" s="211"/>
    </row>
    <row r="1956" spans="15:16" ht="12.75" customHeight="1">
      <c r="O1956" s="211"/>
      <c r="P1956" s="211"/>
    </row>
    <row r="1957" spans="15:16" ht="12.75" customHeight="1">
      <c r="O1957" s="211"/>
      <c r="P1957" s="211"/>
    </row>
    <row r="1958" spans="15:16" ht="12.75" customHeight="1">
      <c r="O1958" s="211"/>
      <c r="P1958" s="211"/>
    </row>
    <row r="1959" spans="15:16" ht="12.75" customHeight="1">
      <c r="O1959" s="211"/>
      <c r="P1959" s="211"/>
    </row>
    <row r="1960" spans="15:16" ht="12.75" customHeight="1">
      <c r="O1960" s="211"/>
      <c r="P1960" s="211"/>
    </row>
    <row r="1961" spans="15:16" ht="12.75" customHeight="1">
      <c r="O1961" s="211"/>
      <c r="P1961" s="211"/>
    </row>
    <row r="1962" spans="15:16" ht="12.75" customHeight="1">
      <c r="O1962" s="211"/>
      <c r="P1962" s="211"/>
    </row>
    <row r="1963" spans="15:16" ht="12.75" customHeight="1">
      <c r="O1963" s="211"/>
      <c r="P1963" s="211"/>
    </row>
    <row r="1964" spans="15:16" ht="12.75" customHeight="1">
      <c r="O1964" s="211"/>
      <c r="P1964" s="211"/>
    </row>
    <row r="1965" spans="15:16" ht="12.75" customHeight="1">
      <c r="O1965" s="211"/>
      <c r="P1965" s="211"/>
    </row>
    <row r="1966" spans="15:16" ht="12.75" customHeight="1">
      <c r="O1966" s="211"/>
      <c r="P1966" s="211"/>
    </row>
    <row r="1967" spans="15:16" ht="12.75" customHeight="1">
      <c r="O1967" s="211"/>
      <c r="P1967" s="211"/>
    </row>
    <row r="1968" spans="15:16" ht="12.75" customHeight="1">
      <c r="O1968" s="211"/>
      <c r="P1968" s="211"/>
    </row>
    <row r="1969" spans="15:16" ht="12.75" customHeight="1">
      <c r="O1969" s="211"/>
      <c r="P1969" s="211"/>
    </row>
    <row r="1970" spans="15:16" ht="12.75" customHeight="1">
      <c r="O1970" s="211"/>
      <c r="P1970" s="211"/>
    </row>
    <row r="1971" spans="15:16" ht="12.75" customHeight="1">
      <c r="O1971" s="211"/>
      <c r="P1971" s="211"/>
    </row>
    <row r="1972" spans="15:16" ht="12.75" customHeight="1">
      <c r="O1972" s="211"/>
      <c r="P1972" s="211"/>
    </row>
    <row r="1973" spans="15:16" ht="12.75" customHeight="1">
      <c r="O1973" s="211"/>
      <c r="P1973" s="211"/>
    </row>
    <row r="1974" spans="15:16" ht="12.75" customHeight="1">
      <c r="O1974" s="211"/>
      <c r="P1974" s="211"/>
    </row>
    <row r="1975" spans="15:16" ht="12.75" customHeight="1">
      <c r="O1975" s="211"/>
      <c r="P1975" s="211"/>
    </row>
    <row r="1976" spans="15:16" ht="12.75" customHeight="1">
      <c r="O1976" s="211"/>
      <c r="P1976" s="211"/>
    </row>
    <row r="1977" spans="15:16" ht="12.75" customHeight="1">
      <c r="O1977" s="211"/>
      <c r="P1977" s="211"/>
    </row>
    <row r="1978" spans="15:16" ht="12.75" customHeight="1">
      <c r="O1978" s="211"/>
      <c r="P1978" s="211"/>
    </row>
    <row r="1979" spans="15:16" ht="12.75" customHeight="1">
      <c r="O1979" s="211"/>
      <c r="P1979" s="211"/>
    </row>
    <row r="1980" spans="15:16" ht="12.75" customHeight="1">
      <c r="O1980" s="211"/>
      <c r="P1980" s="211"/>
    </row>
    <row r="1981" spans="15:16" ht="12.75" customHeight="1">
      <c r="O1981" s="211"/>
      <c r="P1981" s="211"/>
    </row>
    <row r="1982" spans="15:16" ht="12.75" customHeight="1">
      <c r="O1982" s="211"/>
      <c r="P1982" s="211"/>
    </row>
    <row r="1983" spans="15:16" ht="12.75" customHeight="1">
      <c r="O1983" s="211"/>
      <c r="P1983" s="211"/>
    </row>
    <row r="1984" spans="15:16" ht="12.75" customHeight="1">
      <c r="O1984" s="211"/>
      <c r="P1984" s="211"/>
    </row>
    <row r="1985" spans="15:16" ht="12.75" customHeight="1">
      <c r="O1985" s="211"/>
      <c r="P1985" s="211"/>
    </row>
    <row r="1986" spans="15:16" ht="12.75" customHeight="1">
      <c r="O1986" s="211"/>
      <c r="P1986" s="211"/>
    </row>
    <row r="1987" spans="15:16" ht="12.75" customHeight="1">
      <c r="O1987" s="211"/>
      <c r="P1987" s="211"/>
    </row>
    <row r="1988" spans="15:16" ht="12.75" customHeight="1">
      <c r="O1988" s="211"/>
      <c r="P1988" s="211"/>
    </row>
    <row r="1989" spans="15:16" ht="12.75" customHeight="1">
      <c r="O1989" s="211"/>
      <c r="P1989" s="211"/>
    </row>
    <row r="1990" spans="15:16" ht="12.75" customHeight="1">
      <c r="O1990" s="211"/>
      <c r="P1990" s="211"/>
    </row>
    <row r="1991" spans="15:16" ht="12.75" customHeight="1">
      <c r="O1991" s="211"/>
      <c r="P1991" s="211"/>
    </row>
    <row r="1992" spans="15:16" ht="12.75" customHeight="1">
      <c r="O1992" s="211"/>
      <c r="P1992" s="211"/>
    </row>
    <row r="1993" spans="15:16" ht="12.75" customHeight="1">
      <c r="O1993" s="211"/>
      <c r="P1993" s="211"/>
    </row>
    <row r="1994" spans="15:16" ht="12.75" customHeight="1">
      <c r="O1994" s="211"/>
      <c r="P1994" s="211"/>
    </row>
    <row r="1995" spans="15:16" ht="12.75" customHeight="1">
      <c r="O1995" s="211"/>
      <c r="P1995" s="211"/>
    </row>
    <row r="1996" spans="15:16" ht="12.75" customHeight="1">
      <c r="O1996" s="211"/>
      <c r="P1996" s="211"/>
    </row>
    <row r="1997" spans="15:16" ht="12.75" customHeight="1">
      <c r="O1997" s="211"/>
      <c r="P1997" s="211"/>
    </row>
    <row r="1998" spans="15:16" ht="12.75" customHeight="1">
      <c r="O1998" s="211"/>
      <c r="P1998" s="211"/>
    </row>
    <row r="1999" spans="15:16" ht="12.75" customHeight="1">
      <c r="O1999" s="211"/>
      <c r="P1999" s="211"/>
    </row>
    <row r="2000" spans="15:16" ht="12.75" customHeight="1">
      <c r="O2000" s="211"/>
      <c r="P2000" s="211"/>
    </row>
    <row r="2001" spans="15:16" ht="12.75" customHeight="1">
      <c r="O2001" s="211"/>
      <c r="P2001" s="211"/>
    </row>
    <row r="2002" spans="15:16" ht="12.75" customHeight="1">
      <c r="O2002" s="211"/>
      <c r="P2002" s="211"/>
    </row>
    <row r="2003" spans="15:16" ht="12.75" customHeight="1">
      <c r="O2003" s="211"/>
      <c r="P2003" s="211"/>
    </row>
    <row r="2004" spans="15:16" ht="12.75" customHeight="1">
      <c r="O2004" s="211"/>
      <c r="P2004" s="211"/>
    </row>
    <row r="2005" spans="15:16" ht="12.75" customHeight="1">
      <c r="O2005" s="211"/>
      <c r="P2005" s="211"/>
    </row>
    <row r="2006" spans="15:16" ht="12.75" customHeight="1">
      <c r="O2006" s="211"/>
      <c r="P2006" s="211"/>
    </row>
    <row r="2007" spans="15:16" ht="12.75" customHeight="1">
      <c r="O2007" s="211"/>
      <c r="P2007" s="211"/>
    </row>
    <row r="2008" spans="15:16" ht="12.75" customHeight="1">
      <c r="O2008" s="211"/>
      <c r="P2008" s="211"/>
    </row>
    <row r="2009" spans="15:16" ht="12.75" customHeight="1">
      <c r="O2009" s="211"/>
      <c r="P2009" s="211"/>
    </row>
    <row r="2010" spans="15:16" ht="12.75" customHeight="1">
      <c r="O2010" s="211"/>
      <c r="P2010" s="211"/>
    </row>
    <row r="2011" spans="15:16" ht="12.75" customHeight="1">
      <c r="O2011" s="211"/>
      <c r="P2011" s="211"/>
    </row>
    <row r="2012" spans="15:16" ht="12.75" customHeight="1">
      <c r="O2012" s="211"/>
      <c r="P2012" s="211"/>
    </row>
    <row r="2013" spans="15:16" ht="12.75" customHeight="1">
      <c r="O2013" s="211"/>
      <c r="P2013" s="211"/>
    </row>
    <row r="2014" spans="15:16" ht="12.75" customHeight="1">
      <c r="O2014" s="211"/>
      <c r="P2014" s="211"/>
    </row>
    <row r="2015" spans="15:16" ht="12.75" customHeight="1">
      <c r="O2015" s="211"/>
      <c r="P2015" s="211"/>
    </row>
    <row r="2016" spans="15:16" ht="12.75" customHeight="1">
      <c r="O2016" s="211"/>
      <c r="P2016" s="211"/>
    </row>
    <row r="2017" spans="15:16" ht="12.75" customHeight="1">
      <c r="O2017" s="211"/>
      <c r="P2017" s="211"/>
    </row>
    <row r="2018" spans="15:16" ht="12.75" customHeight="1">
      <c r="O2018" s="211"/>
      <c r="P2018" s="211"/>
    </row>
    <row r="2019" spans="15:16" ht="12.75" customHeight="1">
      <c r="O2019" s="211"/>
      <c r="P2019" s="211"/>
    </row>
    <row r="2020" spans="15:16" ht="12.75" customHeight="1">
      <c r="O2020" s="211"/>
      <c r="P2020" s="211"/>
    </row>
    <row r="2021" spans="15:16" ht="12.75" customHeight="1">
      <c r="O2021" s="211"/>
      <c r="P2021" s="211"/>
    </row>
    <row r="2022" spans="15:16" ht="12.75" customHeight="1">
      <c r="O2022" s="211"/>
      <c r="P2022" s="211"/>
    </row>
    <row r="2023" spans="15:16" ht="12.75" customHeight="1">
      <c r="O2023" s="211"/>
      <c r="P2023" s="211"/>
    </row>
    <row r="2024" spans="15:16" ht="12.75" customHeight="1">
      <c r="O2024" s="211"/>
      <c r="P2024" s="211"/>
    </row>
    <row r="2025" spans="15:16" ht="12.75" customHeight="1">
      <c r="O2025" s="211"/>
      <c r="P2025" s="211"/>
    </row>
    <row r="2026" spans="15:16" ht="12.75" customHeight="1">
      <c r="O2026" s="211"/>
      <c r="P2026" s="211"/>
    </row>
    <row r="2027" spans="15:16" ht="12.75" customHeight="1">
      <c r="O2027" s="211"/>
      <c r="P2027" s="211"/>
    </row>
    <row r="2028" spans="15:16" ht="12.75" customHeight="1">
      <c r="O2028" s="211"/>
      <c r="P2028" s="211"/>
    </row>
    <row r="2029" spans="15:16" ht="12.75" customHeight="1">
      <c r="O2029" s="211"/>
      <c r="P2029" s="211"/>
    </row>
    <row r="2030" spans="15:16" ht="12.75" customHeight="1">
      <c r="O2030" s="211"/>
      <c r="P2030" s="211"/>
    </row>
    <row r="2031" spans="15:16" ht="12.75" customHeight="1">
      <c r="O2031" s="211"/>
      <c r="P2031" s="211"/>
    </row>
    <row r="2032" spans="15:16" ht="12.75" customHeight="1">
      <c r="O2032" s="211"/>
      <c r="P2032" s="211"/>
    </row>
    <row r="2033" spans="15:16" ht="12.75" customHeight="1">
      <c r="O2033" s="211"/>
      <c r="P2033" s="211"/>
    </row>
    <row r="2034" spans="15:16" ht="12.75" customHeight="1">
      <c r="O2034" s="211"/>
      <c r="P2034" s="211"/>
    </row>
    <row r="2035" spans="15:16" ht="12.75" customHeight="1">
      <c r="O2035" s="211"/>
      <c r="P2035" s="211"/>
    </row>
    <row r="2036" spans="15:16" ht="12.75" customHeight="1">
      <c r="O2036" s="211"/>
      <c r="P2036" s="211"/>
    </row>
    <row r="2037" spans="15:16" ht="12.75" customHeight="1">
      <c r="O2037" s="211"/>
      <c r="P2037" s="211"/>
    </row>
    <row r="2038" spans="15:16" ht="12.75" customHeight="1">
      <c r="O2038" s="211"/>
      <c r="P2038" s="211"/>
    </row>
    <row r="2039" spans="15:16" ht="12.75" customHeight="1">
      <c r="O2039" s="211"/>
      <c r="P2039" s="211"/>
    </row>
    <row r="2040" spans="15:16" ht="12.75" customHeight="1">
      <c r="O2040" s="211"/>
      <c r="P2040" s="211"/>
    </row>
    <row r="2041" spans="15:16" ht="12.75" customHeight="1">
      <c r="O2041" s="211"/>
      <c r="P2041" s="211"/>
    </row>
    <row r="2042" spans="15:16" ht="12.75" customHeight="1">
      <c r="O2042" s="211"/>
      <c r="P2042" s="211"/>
    </row>
    <row r="2043" spans="15:16" ht="12.75" customHeight="1">
      <c r="O2043" s="211"/>
      <c r="P2043" s="211"/>
    </row>
    <row r="2044" spans="15:16" ht="12.75" customHeight="1">
      <c r="O2044" s="211"/>
      <c r="P2044" s="211"/>
    </row>
    <row r="2045" spans="15:16" ht="12.75" customHeight="1">
      <c r="O2045" s="211"/>
      <c r="P2045" s="211"/>
    </row>
    <row r="2046" spans="15:16" ht="12.75" customHeight="1">
      <c r="O2046" s="211"/>
      <c r="P2046" s="211"/>
    </row>
    <row r="2047" spans="15:16" ht="12.75" customHeight="1">
      <c r="O2047" s="211"/>
      <c r="P2047" s="211"/>
    </row>
    <row r="2048" spans="15:16" ht="12.75" customHeight="1">
      <c r="O2048" s="211"/>
      <c r="P2048" s="211"/>
    </row>
    <row r="2049" spans="15:16" ht="12.75" customHeight="1">
      <c r="O2049" s="211"/>
      <c r="P2049" s="211"/>
    </row>
    <row r="2050" spans="15:16" ht="12.75" customHeight="1">
      <c r="O2050" s="211"/>
      <c r="P2050" s="211"/>
    </row>
    <row r="2051" spans="15:16" ht="12.75" customHeight="1">
      <c r="O2051" s="211"/>
      <c r="P2051" s="211"/>
    </row>
    <row r="2052" spans="15:16" ht="12.75" customHeight="1">
      <c r="O2052" s="211"/>
      <c r="P2052" s="211"/>
    </row>
    <row r="2053" spans="15:16" ht="12.75" customHeight="1">
      <c r="O2053" s="211"/>
      <c r="P2053" s="211"/>
    </row>
    <row r="2054" spans="15:16" ht="12.75" customHeight="1">
      <c r="O2054" s="211"/>
      <c r="P2054" s="211"/>
    </row>
    <row r="2055" spans="15:16" ht="12.75" customHeight="1">
      <c r="O2055" s="211"/>
      <c r="P2055" s="211"/>
    </row>
    <row r="2056" spans="15:16" ht="12.75" customHeight="1">
      <c r="O2056" s="211"/>
      <c r="P2056" s="211"/>
    </row>
    <row r="2057" spans="15:16" ht="12.75" customHeight="1">
      <c r="O2057" s="211"/>
      <c r="P2057" s="211"/>
    </row>
    <row r="2058" spans="15:16" ht="12.75" customHeight="1">
      <c r="O2058" s="211"/>
      <c r="P2058" s="211"/>
    </row>
    <row r="2059" spans="15:16" ht="12.75" customHeight="1">
      <c r="O2059" s="211"/>
      <c r="P2059" s="211"/>
    </row>
    <row r="2060" spans="15:16" ht="12.75" customHeight="1">
      <c r="O2060" s="211"/>
      <c r="P2060" s="211"/>
    </row>
    <row r="2061" spans="15:16" ht="12.75" customHeight="1">
      <c r="O2061" s="211"/>
      <c r="P2061" s="211"/>
    </row>
    <row r="2062" spans="15:16" ht="12.75" customHeight="1">
      <c r="O2062" s="211"/>
      <c r="P2062" s="211"/>
    </row>
    <row r="2063" spans="15:16" ht="12.75" customHeight="1">
      <c r="O2063" s="211"/>
      <c r="P2063" s="211"/>
    </row>
    <row r="2064" spans="15:16" ht="12.75" customHeight="1">
      <c r="O2064" s="211"/>
      <c r="P2064" s="211"/>
    </row>
    <row r="2065" spans="15:16" ht="12.75" customHeight="1">
      <c r="O2065" s="211"/>
      <c r="P2065" s="211"/>
    </row>
    <row r="2066" spans="15:16" ht="12.75" customHeight="1">
      <c r="O2066" s="211"/>
      <c r="P2066" s="211"/>
    </row>
    <row r="2067" spans="15:16" ht="12.75" customHeight="1">
      <c r="O2067" s="211"/>
      <c r="P2067" s="211"/>
    </row>
    <row r="2068" spans="15:16" ht="12.75" customHeight="1">
      <c r="O2068" s="211"/>
      <c r="P2068" s="211"/>
    </row>
    <row r="2069" spans="15:16" ht="12.75" customHeight="1">
      <c r="O2069" s="211"/>
      <c r="P2069" s="211"/>
    </row>
    <row r="2070" spans="15:16" ht="12.75" customHeight="1">
      <c r="O2070" s="211"/>
      <c r="P2070" s="211"/>
    </row>
    <row r="2071" spans="15:16" ht="12.75" customHeight="1">
      <c r="O2071" s="211"/>
      <c r="P2071" s="211"/>
    </row>
    <row r="2072" spans="15:16" ht="12.75" customHeight="1">
      <c r="O2072" s="211"/>
      <c r="P2072" s="211"/>
    </row>
    <row r="2073" spans="15:16" ht="12.75" customHeight="1">
      <c r="O2073" s="211"/>
      <c r="P2073" s="211"/>
    </row>
    <row r="2074" spans="15:16" ht="12.75" customHeight="1">
      <c r="O2074" s="211"/>
      <c r="P2074" s="211"/>
    </row>
    <row r="2075" spans="15:16" ht="12.75" customHeight="1">
      <c r="O2075" s="211"/>
      <c r="P2075" s="211"/>
    </row>
    <row r="2076" spans="15:16" ht="12.75" customHeight="1">
      <c r="O2076" s="211"/>
      <c r="P2076" s="211"/>
    </row>
    <row r="2077" spans="15:16" ht="12.75" customHeight="1">
      <c r="O2077" s="211"/>
      <c r="P2077" s="211"/>
    </row>
    <row r="2078" spans="15:16" ht="12.75" customHeight="1">
      <c r="O2078" s="211"/>
      <c r="P2078" s="211"/>
    </row>
    <row r="2079" spans="15:16" ht="12.75" customHeight="1">
      <c r="O2079" s="211"/>
      <c r="P2079" s="211"/>
    </row>
    <row r="2080" spans="15:16" ht="12.75" customHeight="1">
      <c r="O2080" s="211"/>
      <c r="P2080" s="211"/>
    </row>
    <row r="2081" spans="15:16" ht="12.75" customHeight="1">
      <c r="O2081" s="211"/>
      <c r="P2081" s="211"/>
    </row>
    <row r="2082" spans="15:16" ht="12.75" customHeight="1">
      <c r="O2082" s="211"/>
      <c r="P2082" s="211"/>
    </row>
    <row r="2083" spans="15:16" ht="12.75" customHeight="1">
      <c r="O2083" s="211"/>
      <c r="P2083" s="211"/>
    </row>
    <row r="2084" spans="15:16" ht="12.75" customHeight="1">
      <c r="O2084" s="211"/>
      <c r="P2084" s="211"/>
    </row>
    <row r="2085" spans="15:16" ht="12.75" customHeight="1">
      <c r="O2085" s="211"/>
      <c r="P2085" s="211"/>
    </row>
    <row r="2086" spans="15:16" ht="12.75" customHeight="1">
      <c r="O2086" s="211"/>
      <c r="P2086" s="211"/>
    </row>
    <row r="2087" spans="15:16" ht="12.75" customHeight="1">
      <c r="O2087" s="211"/>
      <c r="P2087" s="211"/>
    </row>
    <row r="2088" spans="15:16" ht="12.75" customHeight="1">
      <c r="O2088" s="211"/>
      <c r="P2088" s="211"/>
    </row>
    <row r="2089" spans="15:16" ht="12.75" customHeight="1">
      <c r="O2089" s="211"/>
      <c r="P2089" s="211"/>
    </row>
    <row r="2090" spans="15:16" ht="12.75" customHeight="1">
      <c r="O2090" s="211"/>
      <c r="P2090" s="211"/>
    </row>
    <row r="2091" spans="15:16" ht="12.75" customHeight="1">
      <c r="O2091" s="211"/>
      <c r="P2091" s="211"/>
    </row>
    <row r="2092" spans="15:16" ht="12.75" customHeight="1">
      <c r="O2092" s="211"/>
      <c r="P2092" s="211"/>
    </row>
    <row r="2093" spans="15:16" ht="12.75" customHeight="1">
      <c r="O2093" s="211"/>
      <c r="P2093" s="211"/>
    </row>
    <row r="2094" spans="15:16" ht="12.75" customHeight="1">
      <c r="O2094" s="211"/>
      <c r="P2094" s="211"/>
    </row>
    <row r="2095" spans="15:16" ht="12.75" customHeight="1">
      <c r="O2095" s="211"/>
      <c r="P2095" s="211"/>
    </row>
    <row r="2096" spans="15:16" ht="12.75" customHeight="1">
      <c r="O2096" s="211"/>
      <c r="P2096" s="211"/>
    </row>
    <row r="2097" spans="15:16" ht="12.75" customHeight="1">
      <c r="O2097" s="211"/>
      <c r="P2097" s="211"/>
    </row>
    <row r="2098" spans="15:16" ht="12.75" customHeight="1">
      <c r="O2098" s="211"/>
      <c r="P2098" s="211"/>
    </row>
    <row r="2099" spans="15:16" ht="12.75" customHeight="1">
      <c r="O2099" s="211"/>
      <c r="P2099" s="211"/>
    </row>
    <row r="2100" spans="15:16" ht="12.75" customHeight="1">
      <c r="O2100" s="211"/>
      <c r="P2100" s="211"/>
    </row>
    <row r="2101" spans="15:16" ht="12.75" customHeight="1">
      <c r="O2101" s="211"/>
      <c r="P2101" s="211"/>
    </row>
    <row r="2102" spans="15:16" ht="12.75" customHeight="1">
      <c r="O2102" s="211"/>
      <c r="P2102" s="211"/>
    </row>
    <row r="2103" spans="15:16" ht="12.75" customHeight="1">
      <c r="O2103" s="211"/>
      <c r="P2103" s="211"/>
    </row>
    <row r="2104" spans="15:16" ht="12.75" customHeight="1">
      <c r="O2104" s="211"/>
      <c r="P2104" s="211"/>
    </row>
    <row r="2105" spans="15:16" ht="12.75" customHeight="1">
      <c r="O2105" s="211"/>
      <c r="P2105" s="211"/>
    </row>
    <row r="2106" spans="15:16" ht="12.75" customHeight="1">
      <c r="O2106" s="211"/>
      <c r="P2106" s="211"/>
    </row>
    <row r="2107" spans="15:16" ht="12.75" customHeight="1">
      <c r="O2107" s="211"/>
      <c r="P2107" s="211"/>
    </row>
    <row r="2108" spans="15:16" ht="12.75" customHeight="1">
      <c r="O2108" s="211"/>
      <c r="P2108" s="211"/>
    </row>
    <row r="2109" spans="15:16" ht="12.75" customHeight="1">
      <c r="O2109" s="211"/>
      <c r="P2109" s="211"/>
    </row>
    <row r="2110" spans="15:16" ht="12.75" customHeight="1">
      <c r="O2110" s="211"/>
      <c r="P2110" s="211"/>
    </row>
    <row r="2111" spans="15:16" ht="12.75" customHeight="1">
      <c r="O2111" s="211"/>
      <c r="P2111" s="211"/>
    </row>
    <row r="2112" spans="15:16" ht="12.75" customHeight="1">
      <c r="O2112" s="211"/>
      <c r="P2112" s="211"/>
    </row>
    <row r="2113" spans="15:16" ht="12.75" customHeight="1">
      <c r="O2113" s="211"/>
      <c r="P2113" s="211"/>
    </row>
    <row r="2114" spans="15:16" ht="12.75" customHeight="1">
      <c r="O2114" s="211"/>
      <c r="P2114" s="211"/>
    </row>
    <row r="2115" spans="15:16" ht="12.75" customHeight="1">
      <c r="O2115" s="211"/>
      <c r="P2115" s="211"/>
    </row>
    <row r="2116" spans="15:16" ht="12.75" customHeight="1">
      <c r="O2116" s="211"/>
      <c r="P2116" s="211"/>
    </row>
    <row r="2117" spans="15:16" ht="12.75" customHeight="1">
      <c r="O2117" s="211"/>
      <c r="P2117" s="211"/>
    </row>
    <row r="2118" spans="15:16" ht="12.75" customHeight="1">
      <c r="O2118" s="211"/>
      <c r="P2118" s="211"/>
    </row>
    <row r="2119" spans="15:16" ht="12.75" customHeight="1">
      <c r="O2119" s="211"/>
      <c r="P2119" s="211"/>
    </row>
    <row r="2120" spans="15:16" ht="12.75" customHeight="1">
      <c r="O2120" s="211"/>
      <c r="P2120" s="211"/>
    </row>
    <row r="2121" spans="15:16" ht="12.75" customHeight="1">
      <c r="O2121" s="211"/>
      <c r="P2121" s="211"/>
    </row>
    <row r="2122" spans="15:16" ht="12.75" customHeight="1">
      <c r="O2122" s="211"/>
      <c r="P2122" s="211"/>
    </row>
    <row r="2123" spans="15:16" ht="12.75" customHeight="1">
      <c r="O2123" s="211"/>
      <c r="P2123" s="211"/>
    </row>
    <row r="2124" spans="15:16" ht="12.75" customHeight="1">
      <c r="O2124" s="211"/>
      <c r="P2124" s="211"/>
    </row>
    <row r="2125" spans="15:16" ht="12.75" customHeight="1">
      <c r="O2125" s="211"/>
      <c r="P2125" s="211"/>
    </row>
    <row r="2126" spans="15:16" ht="12.75" customHeight="1">
      <c r="O2126" s="211"/>
      <c r="P2126" s="211"/>
    </row>
    <row r="2127" spans="15:16" ht="12.75" customHeight="1">
      <c r="O2127" s="211"/>
      <c r="P2127" s="211"/>
    </row>
    <row r="2128" spans="15:16" ht="12.75" customHeight="1">
      <c r="O2128" s="211"/>
      <c r="P2128" s="211"/>
    </row>
    <row r="2129" spans="15:16" ht="12.75" customHeight="1">
      <c r="O2129" s="211"/>
      <c r="P2129" s="211"/>
    </row>
    <row r="2130" spans="15:16" ht="12.75" customHeight="1">
      <c r="O2130" s="211"/>
      <c r="P2130" s="211"/>
    </row>
    <row r="2131" spans="15:16" ht="12.75" customHeight="1">
      <c r="O2131" s="211"/>
      <c r="P2131" s="211"/>
    </row>
    <row r="2132" spans="15:16" ht="12.75" customHeight="1">
      <c r="O2132" s="211"/>
      <c r="P2132" s="211"/>
    </row>
    <row r="2133" spans="15:16" ht="12.75" customHeight="1">
      <c r="O2133" s="211"/>
      <c r="P2133" s="211"/>
    </row>
    <row r="2134" spans="15:16" ht="12.75" customHeight="1">
      <c r="O2134" s="211"/>
      <c r="P2134" s="211"/>
    </row>
    <row r="2135" spans="15:16" ht="12.75" customHeight="1">
      <c r="O2135" s="211"/>
      <c r="P2135" s="211"/>
    </row>
    <row r="2136" spans="15:16" ht="12.75" customHeight="1">
      <c r="O2136" s="211"/>
      <c r="P2136" s="211"/>
    </row>
    <row r="2137" spans="15:16" ht="12.75" customHeight="1">
      <c r="O2137" s="211"/>
      <c r="P2137" s="211"/>
    </row>
    <row r="2138" spans="15:16" ht="12.75" customHeight="1">
      <c r="O2138" s="211"/>
      <c r="P2138" s="211"/>
    </row>
    <row r="2139" spans="15:16" ht="12.75" customHeight="1">
      <c r="O2139" s="211"/>
      <c r="P2139" s="211"/>
    </row>
    <row r="2140" spans="15:16" ht="12.75" customHeight="1">
      <c r="O2140" s="211"/>
      <c r="P2140" s="211"/>
    </row>
    <row r="2141" spans="15:16" ht="12.75" customHeight="1">
      <c r="O2141" s="211"/>
      <c r="P2141" s="211"/>
    </row>
    <row r="2142" spans="15:16" ht="12.75" customHeight="1">
      <c r="O2142" s="211"/>
      <c r="P2142" s="211"/>
    </row>
    <row r="2143" spans="15:16" ht="12.75" customHeight="1">
      <c r="O2143" s="211"/>
      <c r="P2143" s="211"/>
    </row>
    <row r="2144" spans="15:16" ht="12.75" customHeight="1">
      <c r="O2144" s="211"/>
      <c r="P2144" s="211"/>
    </row>
    <row r="2145" spans="15:16" ht="12.75" customHeight="1">
      <c r="O2145" s="211"/>
      <c r="P2145" s="211"/>
    </row>
    <row r="2146" spans="15:16" ht="12.75" customHeight="1">
      <c r="O2146" s="211"/>
      <c r="P2146" s="211"/>
    </row>
    <row r="2147" spans="15:16" ht="12.75" customHeight="1">
      <c r="O2147" s="211"/>
      <c r="P2147" s="211"/>
    </row>
    <row r="2148" spans="15:16" ht="12.75" customHeight="1">
      <c r="O2148" s="211"/>
      <c r="P2148" s="211"/>
    </row>
    <row r="2149" spans="15:16" ht="12.75" customHeight="1">
      <c r="O2149" s="211"/>
      <c r="P2149" s="211"/>
    </row>
    <row r="2150" spans="15:16" ht="12.75" customHeight="1">
      <c r="O2150" s="211"/>
      <c r="P2150" s="211"/>
    </row>
    <row r="2151" spans="15:16" ht="12.75" customHeight="1">
      <c r="O2151" s="211"/>
      <c r="P2151" s="211"/>
    </row>
    <row r="2152" spans="15:16" ht="12.75" customHeight="1">
      <c r="O2152" s="211"/>
      <c r="P2152" s="211"/>
    </row>
    <row r="2153" spans="15:16" ht="12.75" customHeight="1">
      <c r="O2153" s="211"/>
      <c r="P2153" s="211"/>
    </row>
    <row r="2154" spans="15:16" ht="12.75" customHeight="1">
      <c r="O2154" s="211"/>
      <c r="P2154" s="211"/>
    </row>
    <row r="2155" spans="15:16" ht="12.75" customHeight="1">
      <c r="O2155" s="211"/>
      <c r="P2155" s="211"/>
    </row>
    <row r="2156" spans="15:16" ht="12.75" customHeight="1">
      <c r="O2156" s="211"/>
      <c r="P2156" s="211"/>
    </row>
    <row r="2157" spans="15:16" ht="12.75" customHeight="1">
      <c r="O2157" s="211"/>
      <c r="P2157" s="211"/>
    </row>
    <row r="2158" spans="15:16" ht="12.75" customHeight="1">
      <c r="O2158" s="211"/>
      <c r="P2158" s="211"/>
    </row>
    <row r="2159" spans="15:16" ht="12.75" customHeight="1">
      <c r="O2159" s="211"/>
      <c r="P2159" s="211"/>
    </row>
    <row r="2160" spans="15:16" ht="12.75" customHeight="1">
      <c r="O2160" s="211"/>
      <c r="P2160" s="211"/>
    </row>
    <row r="2161" spans="15:16" ht="12.75" customHeight="1">
      <c r="O2161" s="211"/>
      <c r="P2161" s="211"/>
    </row>
    <row r="2162" spans="15:16" ht="12.75" customHeight="1">
      <c r="O2162" s="211"/>
      <c r="P2162" s="211"/>
    </row>
    <row r="2163" spans="15:16" ht="12.75" customHeight="1">
      <c r="O2163" s="211"/>
      <c r="P2163" s="211"/>
    </row>
    <row r="2164" spans="15:16" ht="12.75" customHeight="1">
      <c r="O2164" s="211"/>
      <c r="P2164" s="211"/>
    </row>
    <row r="2165" spans="15:16" ht="12.75" customHeight="1">
      <c r="O2165" s="211"/>
      <c r="P2165" s="211"/>
    </row>
    <row r="2166" spans="15:16" ht="12.75" customHeight="1">
      <c r="O2166" s="211"/>
      <c r="P2166" s="211"/>
    </row>
    <row r="2167" spans="15:16" ht="12.75" customHeight="1">
      <c r="O2167" s="211"/>
      <c r="P2167" s="211"/>
    </row>
    <row r="2168" spans="15:16" ht="12.75" customHeight="1">
      <c r="O2168" s="211"/>
      <c r="P2168" s="211"/>
    </row>
    <row r="2169" spans="15:16" ht="12.75" customHeight="1">
      <c r="O2169" s="211"/>
      <c r="P2169" s="211"/>
    </row>
    <row r="2170" spans="15:16" ht="12.75" customHeight="1">
      <c r="O2170" s="211"/>
      <c r="P2170" s="211"/>
    </row>
    <row r="2171" spans="15:16" ht="12.75" customHeight="1">
      <c r="O2171" s="211"/>
      <c r="P2171" s="211"/>
    </row>
    <row r="2172" spans="15:16" ht="12.75" customHeight="1">
      <c r="O2172" s="211"/>
      <c r="P2172" s="211"/>
    </row>
    <row r="2173" spans="15:16" ht="12.75" customHeight="1">
      <c r="O2173" s="211"/>
      <c r="P2173" s="211"/>
    </row>
    <row r="2174" spans="15:16" ht="12.75" customHeight="1">
      <c r="O2174" s="211"/>
      <c r="P2174" s="211"/>
    </row>
    <row r="2175" spans="15:16" ht="12.75" customHeight="1">
      <c r="O2175" s="211"/>
      <c r="P2175" s="211"/>
    </row>
    <row r="2176" spans="15:16" ht="12.75" customHeight="1">
      <c r="O2176" s="211"/>
      <c r="P2176" s="211"/>
    </row>
    <row r="2177" spans="15:16" ht="12.75" customHeight="1">
      <c r="O2177" s="211"/>
      <c r="P2177" s="211"/>
    </row>
    <row r="2178" spans="15:16" ht="12.75" customHeight="1">
      <c r="O2178" s="211"/>
      <c r="P2178" s="211"/>
    </row>
    <row r="2179" spans="15:16" ht="12.75" customHeight="1">
      <c r="O2179" s="211"/>
      <c r="P2179" s="211"/>
    </row>
    <row r="2180" spans="15:16" ht="12.75" customHeight="1">
      <c r="O2180" s="211"/>
      <c r="P2180" s="211"/>
    </row>
    <row r="2181" spans="15:16" ht="12.75" customHeight="1">
      <c r="O2181" s="211"/>
      <c r="P2181" s="211"/>
    </row>
    <row r="2182" spans="15:16" ht="12.75" customHeight="1">
      <c r="O2182" s="211"/>
      <c r="P2182" s="211"/>
    </row>
    <row r="2183" spans="15:16" ht="12.75" customHeight="1">
      <c r="O2183" s="211"/>
      <c r="P2183" s="211"/>
    </row>
    <row r="2184" spans="15:16" ht="12.75" customHeight="1">
      <c r="O2184" s="211"/>
      <c r="P2184" s="211"/>
    </row>
    <row r="2185" spans="15:16" ht="12.75" customHeight="1">
      <c r="O2185" s="211"/>
      <c r="P2185" s="211"/>
    </row>
    <row r="2186" spans="15:16" ht="12.75" customHeight="1">
      <c r="O2186" s="211"/>
      <c r="P2186" s="211"/>
    </row>
    <row r="2187" spans="15:16" ht="12.75" customHeight="1">
      <c r="O2187" s="211"/>
      <c r="P2187" s="211"/>
    </row>
    <row r="2188" spans="15:16" ht="12.75" customHeight="1">
      <c r="O2188" s="211"/>
      <c r="P2188" s="211"/>
    </row>
    <row r="2189" spans="15:16" ht="12.75" customHeight="1">
      <c r="O2189" s="211"/>
      <c r="P2189" s="211"/>
    </row>
    <row r="2190" spans="15:16" ht="12.75" customHeight="1">
      <c r="O2190" s="211"/>
      <c r="P2190" s="211"/>
    </row>
    <row r="2191" spans="15:16" ht="12.75" customHeight="1">
      <c r="O2191" s="211"/>
      <c r="P2191" s="211"/>
    </row>
    <row r="2192" spans="15:16" ht="12.75" customHeight="1">
      <c r="O2192" s="211"/>
      <c r="P2192" s="211"/>
    </row>
    <row r="2193" spans="15:16" ht="12.75" customHeight="1">
      <c r="O2193" s="211"/>
      <c r="P2193" s="211"/>
    </row>
    <row r="2194" spans="15:16" ht="12.75" customHeight="1">
      <c r="O2194" s="211"/>
      <c r="P2194" s="211"/>
    </row>
    <row r="2195" spans="15:16" ht="12.75" customHeight="1">
      <c r="O2195" s="211"/>
      <c r="P2195" s="211"/>
    </row>
    <row r="2196" spans="15:16" ht="12.75" customHeight="1">
      <c r="O2196" s="211"/>
      <c r="P2196" s="211"/>
    </row>
    <row r="2197" spans="15:16" ht="12.75" customHeight="1">
      <c r="O2197" s="211"/>
      <c r="P2197" s="211"/>
    </row>
    <row r="2198" spans="15:16" ht="12.75" customHeight="1">
      <c r="O2198" s="211"/>
      <c r="P2198" s="211"/>
    </row>
    <row r="2199" spans="15:16" ht="12.75" customHeight="1">
      <c r="O2199" s="211"/>
      <c r="P2199" s="211"/>
    </row>
    <row r="2200" spans="15:16" ht="12.75" customHeight="1">
      <c r="O2200" s="211"/>
      <c r="P2200" s="211"/>
    </row>
    <row r="2201" spans="15:16" ht="12.75" customHeight="1">
      <c r="O2201" s="211"/>
      <c r="P2201" s="211"/>
    </row>
    <row r="2202" spans="15:16" ht="12.75" customHeight="1">
      <c r="O2202" s="211"/>
      <c r="P2202" s="211"/>
    </row>
    <row r="2203" spans="15:16" ht="12.75" customHeight="1">
      <c r="O2203" s="211"/>
      <c r="P2203" s="211"/>
    </row>
    <row r="2204" spans="15:16" ht="12.75" customHeight="1">
      <c r="O2204" s="211"/>
      <c r="P2204" s="211"/>
    </row>
    <row r="2205" spans="15:16" ht="12.75" customHeight="1">
      <c r="O2205" s="211"/>
      <c r="P2205" s="211"/>
    </row>
    <row r="2206" spans="15:16" ht="12.75" customHeight="1">
      <c r="O2206" s="211"/>
      <c r="P2206" s="211"/>
    </row>
    <row r="2207" spans="15:16" ht="12.75" customHeight="1">
      <c r="O2207" s="211"/>
      <c r="P2207" s="211"/>
    </row>
    <row r="2208" spans="15:16" ht="12.75" customHeight="1">
      <c r="O2208" s="211"/>
      <c r="P2208" s="211"/>
    </row>
    <row r="2209" spans="15:16" ht="12.75" customHeight="1">
      <c r="O2209" s="211"/>
      <c r="P2209" s="211"/>
    </row>
    <row r="2210" spans="15:16" ht="12.75" customHeight="1">
      <c r="O2210" s="211"/>
      <c r="P2210" s="211"/>
    </row>
    <row r="2211" spans="15:16" ht="12.75" customHeight="1">
      <c r="O2211" s="211"/>
      <c r="P2211" s="211"/>
    </row>
    <row r="2212" spans="15:16" ht="12.75" customHeight="1">
      <c r="O2212" s="211"/>
      <c r="P2212" s="211"/>
    </row>
    <row r="2213" spans="15:16" ht="12.75" customHeight="1">
      <c r="O2213" s="211"/>
      <c r="P2213" s="211"/>
    </row>
    <row r="2214" spans="15:16" ht="12.75" customHeight="1">
      <c r="O2214" s="211"/>
      <c r="P2214" s="211"/>
    </row>
    <row r="2215" spans="15:16" ht="12.75" customHeight="1">
      <c r="O2215" s="211"/>
      <c r="P2215" s="211"/>
    </row>
    <row r="2216" spans="15:16" ht="12.75" customHeight="1">
      <c r="O2216" s="211"/>
      <c r="P2216" s="211"/>
    </row>
    <row r="2217" spans="15:16" ht="12.75" customHeight="1">
      <c r="O2217" s="211"/>
      <c r="P2217" s="211"/>
    </row>
    <row r="2218" spans="15:16" ht="12.75" customHeight="1">
      <c r="O2218" s="211"/>
      <c r="P2218" s="211"/>
    </row>
    <row r="2219" spans="15:16" ht="12.75" customHeight="1">
      <c r="O2219" s="211"/>
      <c r="P2219" s="211"/>
    </row>
    <row r="2220" spans="15:16" ht="12.75" customHeight="1">
      <c r="O2220" s="211"/>
      <c r="P2220" s="211"/>
    </row>
    <row r="2221" spans="15:16" ht="12.75" customHeight="1">
      <c r="O2221" s="211"/>
      <c r="P2221" s="211"/>
    </row>
    <row r="2222" spans="15:16" ht="12.75" customHeight="1">
      <c r="O2222" s="211"/>
      <c r="P2222" s="211"/>
    </row>
    <row r="2223" spans="15:16" ht="12.75" customHeight="1">
      <c r="O2223" s="211"/>
      <c r="P2223" s="211"/>
    </row>
    <row r="2224" spans="15:16" ht="12.75" customHeight="1">
      <c r="O2224" s="211"/>
      <c r="P2224" s="211"/>
    </row>
    <row r="2225" spans="15:16" ht="12.75" customHeight="1">
      <c r="O2225" s="211"/>
      <c r="P2225" s="211"/>
    </row>
    <row r="2226" spans="15:16" ht="12.75" customHeight="1">
      <c r="O2226" s="211"/>
      <c r="P2226" s="211"/>
    </row>
    <row r="2227" spans="15:16" ht="12.75" customHeight="1">
      <c r="O2227" s="211"/>
      <c r="P2227" s="211"/>
    </row>
    <row r="2228" spans="15:16" ht="12.75" customHeight="1">
      <c r="O2228" s="211"/>
      <c r="P2228" s="211"/>
    </row>
    <row r="2229" spans="15:16" ht="12.75" customHeight="1">
      <c r="O2229" s="211"/>
      <c r="P2229" s="211"/>
    </row>
    <row r="2230" spans="15:16" ht="12.75" customHeight="1">
      <c r="O2230" s="211"/>
      <c r="P2230" s="211"/>
    </row>
    <row r="2231" spans="15:16" ht="12.75" customHeight="1">
      <c r="O2231" s="211"/>
      <c r="P2231" s="211"/>
    </row>
    <row r="2232" spans="15:16" ht="12.75" customHeight="1">
      <c r="O2232" s="211"/>
      <c r="P2232" s="211"/>
    </row>
    <row r="2233" spans="15:16" ht="12.75" customHeight="1">
      <c r="O2233" s="211"/>
      <c r="P2233" s="211"/>
    </row>
    <row r="2234" spans="15:16" ht="12.75" customHeight="1">
      <c r="O2234" s="211"/>
      <c r="P2234" s="211"/>
    </row>
    <row r="2235" spans="15:16" ht="12.75" customHeight="1">
      <c r="O2235" s="211"/>
      <c r="P2235" s="211"/>
    </row>
    <row r="2236" spans="15:16" ht="12.75" customHeight="1">
      <c r="O2236" s="211"/>
      <c r="P2236" s="211"/>
    </row>
    <row r="2237" spans="15:16" ht="12.75" customHeight="1">
      <c r="O2237" s="211"/>
      <c r="P2237" s="211"/>
    </row>
    <row r="2238" spans="15:16" ht="12.75" customHeight="1">
      <c r="O2238" s="211"/>
      <c r="P2238" s="211"/>
    </row>
    <row r="2239" spans="15:16" ht="12.75" customHeight="1">
      <c r="O2239" s="211"/>
      <c r="P2239" s="211"/>
    </row>
    <row r="2240" spans="15:16" ht="12.75" customHeight="1">
      <c r="O2240" s="211"/>
      <c r="P2240" s="211"/>
    </row>
    <row r="2241" spans="15:16" ht="12.75" customHeight="1">
      <c r="O2241" s="211"/>
      <c r="P2241" s="211"/>
    </row>
    <row r="2242" spans="15:16" ht="12.75" customHeight="1">
      <c r="O2242" s="211"/>
      <c r="P2242" s="211"/>
    </row>
    <row r="2243" spans="15:16" ht="12.75" customHeight="1">
      <c r="O2243" s="211"/>
      <c r="P2243" s="211"/>
    </row>
    <row r="2244" spans="15:16" ht="12.75" customHeight="1">
      <c r="O2244" s="211"/>
      <c r="P2244" s="211"/>
    </row>
    <row r="2245" spans="15:16" ht="12.75" customHeight="1">
      <c r="O2245" s="211"/>
      <c r="P2245" s="211"/>
    </row>
    <row r="2246" spans="15:16" ht="12.75" customHeight="1">
      <c r="O2246" s="211"/>
      <c r="P2246" s="211"/>
    </row>
    <row r="2247" spans="15:16" ht="12.75" customHeight="1">
      <c r="O2247" s="211"/>
      <c r="P2247" s="211"/>
    </row>
    <row r="2248" spans="15:16" ht="12.75" customHeight="1">
      <c r="O2248" s="211"/>
      <c r="P2248" s="211"/>
    </row>
    <row r="2249" spans="15:16" ht="12.75" customHeight="1">
      <c r="O2249" s="211"/>
      <c r="P2249" s="211"/>
    </row>
    <row r="2250" spans="15:16" ht="12.75" customHeight="1">
      <c r="O2250" s="211"/>
      <c r="P2250" s="211"/>
    </row>
    <row r="2251" spans="15:16" ht="12.75" customHeight="1">
      <c r="O2251" s="211"/>
      <c r="P2251" s="211"/>
    </row>
    <row r="2252" spans="15:16" ht="12.75" customHeight="1">
      <c r="O2252" s="211"/>
      <c r="P2252" s="211"/>
    </row>
    <row r="2253" spans="15:16" ht="12.75" customHeight="1">
      <c r="O2253" s="211"/>
      <c r="P2253" s="211"/>
    </row>
    <row r="2254" spans="15:16" ht="12.75" customHeight="1">
      <c r="O2254" s="211"/>
      <c r="P2254" s="211"/>
    </row>
    <row r="2255" spans="15:16" ht="12.75" customHeight="1">
      <c r="O2255" s="211"/>
      <c r="P2255" s="211"/>
    </row>
    <row r="2256" spans="15:16" ht="12.75" customHeight="1">
      <c r="O2256" s="211"/>
      <c r="P2256" s="211"/>
    </row>
    <row r="2257" spans="15:16" ht="12.75" customHeight="1">
      <c r="O2257" s="211"/>
      <c r="P2257" s="211"/>
    </row>
    <row r="2258" spans="15:16" ht="12.75" customHeight="1">
      <c r="O2258" s="211"/>
      <c r="P2258" s="211"/>
    </row>
    <row r="2259" spans="15:16" ht="12.75" customHeight="1">
      <c r="O2259" s="211"/>
      <c r="P2259" s="211"/>
    </row>
    <row r="2260" spans="15:16" ht="12.75" customHeight="1">
      <c r="O2260" s="211"/>
      <c r="P2260" s="211"/>
    </row>
    <row r="2261" spans="15:16" ht="12.75" customHeight="1">
      <c r="O2261" s="211"/>
      <c r="P2261" s="211"/>
    </row>
    <row r="2262" spans="15:16" ht="12.75" customHeight="1">
      <c r="O2262" s="211"/>
      <c r="P2262" s="211"/>
    </row>
    <row r="2263" spans="15:16" ht="12.75" customHeight="1">
      <c r="O2263" s="211"/>
      <c r="P2263" s="211"/>
    </row>
    <row r="2264" spans="15:16" ht="12.75" customHeight="1">
      <c r="O2264" s="211"/>
      <c r="P2264" s="211"/>
    </row>
    <row r="2265" spans="15:16" ht="12.75" customHeight="1">
      <c r="O2265" s="211"/>
      <c r="P2265" s="211"/>
    </row>
    <row r="2266" spans="15:16" ht="12.75" customHeight="1">
      <c r="O2266" s="211"/>
      <c r="P2266" s="211"/>
    </row>
    <row r="2267" spans="15:16" ht="12.75" customHeight="1">
      <c r="O2267" s="211"/>
      <c r="P2267" s="211"/>
    </row>
    <row r="2268" spans="15:16" ht="12.75" customHeight="1">
      <c r="O2268" s="211"/>
      <c r="P2268" s="211"/>
    </row>
    <row r="2269" spans="15:16" ht="12.75" customHeight="1">
      <c r="O2269" s="211"/>
      <c r="P2269" s="211"/>
    </row>
    <row r="2270" spans="15:16" ht="12.75" customHeight="1">
      <c r="O2270" s="211"/>
      <c r="P2270" s="211"/>
    </row>
    <row r="2271" spans="15:16" ht="12.75" customHeight="1">
      <c r="O2271" s="211"/>
      <c r="P2271" s="211"/>
    </row>
    <row r="2272" spans="15:16" ht="12.75" customHeight="1">
      <c r="O2272" s="211"/>
      <c r="P2272" s="211"/>
    </row>
    <row r="2273" spans="15:16" ht="12.75" customHeight="1">
      <c r="O2273" s="211"/>
      <c r="P2273" s="211"/>
    </row>
    <row r="2274" spans="15:16" ht="12.75" customHeight="1">
      <c r="O2274" s="211"/>
      <c r="P2274" s="211"/>
    </row>
    <row r="2275" spans="15:16" ht="12.75" customHeight="1">
      <c r="O2275" s="211"/>
      <c r="P2275" s="211"/>
    </row>
    <row r="2276" spans="15:16" ht="12.75" customHeight="1">
      <c r="O2276" s="211"/>
      <c r="P2276" s="211"/>
    </row>
    <row r="2277" spans="15:16" ht="12.75" customHeight="1">
      <c r="O2277" s="211"/>
      <c r="P2277" s="211"/>
    </row>
    <row r="2278" spans="15:16" ht="12.75" customHeight="1">
      <c r="O2278" s="211"/>
      <c r="P2278" s="211"/>
    </row>
    <row r="2279" spans="15:16" ht="12.75" customHeight="1">
      <c r="O2279" s="211"/>
      <c r="P2279" s="211"/>
    </row>
    <row r="2280" spans="15:16" ht="12.75" customHeight="1">
      <c r="O2280" s="211"/>
      <c r="P2280" s="211"/>
    </row>
    <row r="2281" spans="15:16" ht="12.75" customHeight="1">
      <c r="O2281" s="211"/>
      <c r="P2281" s="211"/>
    </row>
    <row r="2282" spans="15:16" ht="12.75" customHeight="1">
      <c r="O2282" s="211"/>
      <c r="P2282" s="211"/>
    </row>
    <row r="2283" spans="15:16" ht="12.75" customHeight="1">
      <c r="O2283" s="211"/>
      <c r="P2283" s="211"/>
    </row>
    <row r="2284" spans="15:16" ht="12.75" customHeight="1">
      <c r="O2284" s="211"/>
      <c r="P2284" s="211"/>
    </row>
    <row r="2285" spans="15:16" ht="12.75" customHeight="1">
      <c r="O2285" s="211"/>
      <c r="P2285" s="211"/>
    </row>
    <row r="2286" spans="15:16" ht="12.75" customHeight="1">
      <c r="O2286" s="211"/>
      <c r="P2286" s="211"/>
    </row>
    <row r="2287" spans="15:16" ht="12.75" customHeight="1">
      <c r="O2287" s="211"/>
      <c r="P2287" s="211"/>
    </row>
    <row r="2288" spans="15:16" ht="12.75" customHeight="1">
      <c r="O2288" s="211"/>
      <c r="P2288" s="211"/>
    </row>
    <row r="2289" spans="15:16" ht="12.75" customHeight="1">
      <c r="O2289" s="211"/>
      <c r="P2289" s="211"/>
    </row>
    <row r="2290" spans="15:16" ht="12.75" customHeight="1">
      <c r="O2290" s="211"/>
      <c r="P2290" s="211"/>
    </row>
    <row r="2291" spans="15:16" ht="12.75" customHeight="1">
      <c r="O2291" s="211"/>
      <c r="P2291" s="211"/>
    </row>
    <row r="2292" spans="15:16" ht="12.75" customHeight="1">
      <c r="O2292" s="211"/>
      <c r="P2292" s="211"/>
    </row>
    <row r="2293" spans="15:16" ht="12.75" customHeight="1">
      <c r="O2293" s="211"/>
      <c r="P2293" s="211"/>
    </row>
    <row r="2294" spans="15:16" ht="12.75" customHeight="1">
      <c r="O2294" s="211"/>
      <c r="P2294" s="211"/>
    </row>
    <row r="2295" spans="15:16" ht="12.75" customHeight="1">
      <c r="O2295" s="211"/>
      <c r="P2295" s="211"/>
    </row>
    <row r="2296" spans="15:16" ht="12.75" customHeight="1">
      <c r="O2296" s="211"/>
      <c r="P2296" s="211"/>
    </row>
    <row r="2297" spans="15:16" ht="12.75" customHeight="1">
      <c r="O2297" s="211"/>
      <c r="P2297" s="211"/>
    </row>
    <row r="2298" spans="15:16" ht="12.75" customHeight="1">
      <c r="O2298" s="211"/>
      <c r="P2298" s="211"/>
    </row>
    <row r="2299" spans="15:16" ht="12.75" customHeight="1">
      <c r="O2299" s="211"/>
      <c r="P2299" s="211"/>
    </row>
    <row r="2300" spans="15:16" ht="12.75" customHeight="1">
      <c r="O2300" s="211"/>
      <c r="P2300" s="211"/>
    </row>
    <row r="2301" spans="15:16" ht="12.75" customHeight="1">
      <c r="O2301" s="211"/>
      <c r="P2301" s="211"/>
    </row>
    <row r="2302" spans="15:16" ht="12.75" customHeight="1">
      <c r="O2302" s="211"/>
      <c r="P2302" s="211"/>
    </row>
    <row r="2303" spans="15:16" ht="12.75" customHeight="1">
      <c r="O2303" s="211"/>
      <c r="P2303" s="211"/>
    </row>
    <row r="2304" spans="15:16" ht="12.75" customHeight="1">
      <c r="O2304" s="211"/>
      <c r="P2304" s="211"/>
    </row>
    <row r="2305" spans="15:16" ht="12.75" customHeight="1">
      <c r="O2305" s="211"/>
      <c r="P2305" s="211"/>
    </row>
    <row r="2306" spans="15:16" ht="12.75" customHeight="1">
      <c r="O2306" s="211"/>
      <c r="P2306" s="211"/>
    </row>
    <row r="2307" spans="15:16" ht="12.75" customHeight="1">
      <c r="O2307" s="211"/>
      <c r="P2307" s="211"/>
    </row>
    <row r="2308" spans="15:16" ht="12.75" customHeight="1">
      <c r="O2308" s="211"/>
      <c r="P2308" s="211"/>
    </row>
    <row r="2309" spans="15:16" ht="12.75" customHeight="1">
      <c r="O2309" s="211"/>
      <c r="P2309" s="211"/>
    </row>
    <row r="2310" spans="15:16" ht="12.75" customHeight="1">
      <c r="O2310" s="211"/>
      <c r="P2310" s="211"/>
    </row>
    <row r="2311" spans="15:16" ht="12.75" customHeight="1">
      <c r="O2311" s="211"/>
      <c r="P2311" s="211"/>
    </row>
    <row r="2312" spans="15:16" ht="12.75" customHeight="1">
      <c r="O2312" s="211"/>
      <c r="P2312" s="211"/>
    </row>
    <row r="2313" spans="15:16" ht="12.75" customHeight="1">
      <c r="O2313" s="211"/>
      <c r="P2313" s="211"/>
    </row>
    <row r="2314" spans="15:16" ht="12.75" customHeight="1">
      <c r="O2314" s="211"/>
      <c r="P2314" s="211"/>
    </row>
    <row r="2315" spans="15:16" ht="12.75" customHeight="1">
      <c r="O2315" s="211"/>
      <c r="P2315" s="211"/>
    </row>
    <row r="2316" spans="15:16" ht="12.75" customHeight="1">
      <c r="O2316" s="211"/>
      <c r="P2316" s="211"/>
    </row>
    <row r="2317" spans="15:16" ht="12.75" customHeight="1">
      <c r="O2317" s="211"/>
      <c r="P2317" s="211"/>
    </row>
    <row r="2318" spans="15:16" ht="12.75" customHeight="1">
      <c r="O2318" s="211"/>
      <c r="P2318" s="211"/>
    </row>
    <row r="2319" spans="15:16" ht="12.75" customHeight="1">
      <c r="O2319" s="211"/>
      <c r="P2319" s="211"/>
    </row>
    <row r="2320" spans="15:16" ht="12.75" customHeight="1">
      <c r="O2320" s="211"/>
      <c r="P2320" s="211"/>
    </row>
    <row r="2321" spans="15:16" ht="12.75" customHeight="1">
      <c r="O2321" s="211"/>
      <c r="P2321" s="211"/>
    </row>
    <row r="2322" spans="15:16" ht="12.75" customHeight="1">
      <c r="O2322" s="211"/>
      <c r="P2322" s="211"/>
    </row>
    <row r="2323" spans="15:16" ht="12.75" customHeight="1">
      <c r="O2323" s="211"/>
      <c r="P2323" s="211"/>
    </row>
    <row r="2324" spans="15:16" ht="12.75" customHeight="1">
      <c r="O2324" s="211"/>
      <c r="P2324" s="211"/>
    </row>
    <row r="2325" spans="15:16" ht="12.75" customHeight="1">
      <c r="O2325" s="211"/>
      <c r="P2325" s="211"/>
    </row>
    <row r="2326" spans="15:16" ht="12.75" customHeight="1">
      <c r="O2326" s="211"/>
      <c r="P2326" s="211"/>
    </row>
    <row r="2327" spans="15:16" ht="12.75" customHeight="1">
      <c r="O2327" s="211"/>
      <c r="P2327" s="211"/>
    </row>
    <row r="2328" spans="15:16" ht="12.75" customHeight="1">
      <c r="O2328" s="211"/>
      <c r="P2328" s="211"/>
    </row>
    <row r="2329" spans="15:16" ht="12.75" customHeight="1">
      <c r="O2329" s="211"/>
      <c r="P2329" s="211"/>
    </row>
    <row r="2330" spans="15:16" ht="12.75" customHeight="1">
      <c r="O2330" s="211"/>
      <c r="P2330" s="211"/>
    </row>
    <row r="2331" spans="15:16" ht="12.75" customHeight="1">
      <c r="O2331" s="211"/>
      <c r="P2331" s="211"/>
    </row>
    <row r="2332" spans="15:16" ht="12.75" customHeight="1">
      <c r="O2332" s="211"/>
      <c r="P2332" s="211"/>
    </row>
    <row r="2333" spans="15:16" ht="12.75" customHeight="1">
      <c r="O2333" s="211"/>
      <c r="P2333" s="211"/>
    </row>
    <row r="2334" spans="15:16" ht="12.75" customHeight="1">
      <c r="O2334" s="211"/>
      <c r="P2334" s="211"/>
    </row>
    <row r="2335" spans="15:16" ht="12.75" customHeight="1">
      <c r="O2335" s="211"/>
      <c r="P2335" s="211"/>
    </row>
    <row r="2336" spans="15:16" ht="12.75" customHeight="1">
      <c r="O2336" s="211"/>
      <c r="P2336" s="211"/>
    </row>
    <row r="2337" spans="15:16" ht="12.75" customHeight="1">
      <c r="O2337" s="211"/>
      <c r="P2337" s="211"/>
    </row>
    <row r="2338" spans="15:16" ht="12.75" customHeight="1">
      <c r="O2338" s="211"/>
      <c r="P2338" s="211"/>
    </row>
    <row r="2339" spans="15:16" ht="12.75" customHeight="1">
      <c r="O2339" s="211"/>
      <c r="P2339" s="211"/>
    </row>
    <row r="2340" spans="15:16" ht="12.75" customHeight="1">
      <c r="O2340" s="211"/>
      <c r="P2340" s="211"/>
    </row>
    <row r="2341" spans="15:16" ht="12.75" customHeight="1">
      <c r="O2341" s="211"/>
      <c r="P2341" s="211"/>
    </row>
    <row r="2342" spans="15:16" ht="12.75" customHeight="1">
      <c r="O2342" s="211"/>
      <c r="P2342" s="211"/>
    </row>
    <row r="2343" spans="15:16" ht="12.75" customHeight="1">
      <c r="O2343" s="211"/>
      <c r="P2343" s="211"/>
    </row>
    <row r="2344" spans="15:16" ht="12.75" customHeight="1">
      <c r="O2344" s="211"/>
      <c r="P2344" s="211"/>
    </row>
    <row r="2345" spans="15:16" ht="12.75" customHeight="1">
      <c r="O2345" s="211"/>
      <c r="P2345" s="211"/>
    </row>
    <row r="2346" spans="15:16" ht="12.75" customHeight="1">
      <c r="O2346" s="211"/>
      <c r="P2346" s="211"/>
    </row>
    <row r="2347" spans="15:16" ht="12.75" customHeight="1">
      <c r="O2347" s="211"/>
      <c r="P2347" s="211"/>
    </row>
    <row r="2348" spans="15:16" ht="12.75" customHeight="1">
      <c r="O2348" s="211"/>
      <c r="P2348" s="211"/>
    </row>
    <row r="2349" spans="15:16" ht="12.75" customHeight="1">
      <c r="O2349" s="211"/>
      <c r="P2349" s="211"/>
    </row>
    <row r="2350" spans="15:16" ht="12.75" customHeight="1">
      <c r="O2350" s="211"/>
      <c r="P2350" s="211"/>
    </row>
    <row r="2351" spans="15:16" ht="12.75" customHeight="1">
      <c r="O2351" s="211"/>
      <c r="P2351" s="211"/>
    </row>
    <row r="2352" spans="15:16" ht="12.75" customHeight="1">
      <c r="O2352" s="211"/>
      <c r="P2352" s="211"/>
    </row>
    <row r="2353" spans="15:16" ht="12.75" customHeight="1">
      <c r="O2353" s="211"/>
      <c r="P2353" s="211"/>
    </row>
    <row r="2354" spans="15:16" ht="12.75" customHeight="1">
      <c r="O2354" s="211"/>
      <c r="P2354" s="211"/>
    </row>
    <row r="2355" spans="15:16" ht="12.75" customHeight="1">
      <c r="O2355" s="211"/>
      <c r="P2355" s="211"/>
    </row>
    <row r="2356" spans="15:16" ht="12.75" customHeight="1">
      <c r="O2356" s="211"/>
      <c r="P2356" s="211"/>
    </row>
    <row r="2357" spans="15:16" ht="12.75" customHeight="1">
      <c r="O2357" s="211"/>
      <c r="P2357" s="211"/>
    </row>
    <row r="2358" spans="15:16" ht="12.75" customHeight="1">
      <c r="O2358" s="211"/>
      <c r="P2358" s="211"/>
    </row>
    <row r="2359" spans="15:16" ht="12.75" customHeight="1">
      <c r="O2359" s="211"/>
      <c r="P2359" s="211"/>
    </row>
    <row r="2360" spans="15:16" ht="12.75" customHeight="1">
      <c r="O2360" s="211"/>
      <c r="P2360" s="211"/>
    </row>
    <row r="2361" spans="15:16" ht="12.75" customHeight="1">
      <c r="O2361" s="211"/>
      <c r="P2361" s="211"/>
    </row>
    <row r="2362" spans="15:16" ht="12.75" customHeight="1">
      <c r="O2362" s="211"/>
      <c r="P2362" s="211"/>
    </row>
    <row r="2363" spans="15:16" ht="12.75" customHeight="1">
      <c r="O2363" s="211"/>
      <c r="P2363" s="211"/>
    </row>
    <row r="2364" spans="15:16" ht="12.75" customHeight="1">
      <c r="O2364" s="211"/>
      <c r="P2364" s="211"/>
    </row>
    <row r="2365" spans="15:16" ht="12.75" customHeight="1">
      <c r="O2365" s="211"/>
      <c r="P2365" s="211"/>
    </row>
    <row r="2366" spans="15:16" ht="12.75" customHeight="1">
      <c r="O2366" s="211"/>
      <c r="P2366" s="211"/>
    </row>
    <row r="2367" spans="15:16" ht="12.75" customHeight="1">
      <c r="O2367" s="211"/>
      <c r="P2367" s="211"/>
    </row>
    <row r="2368" spans="15:16" ht="12.75" customHeight="1">
      <c r="O2368" s="211"/>
      <c r="P2368" s="211"/>
    </row>
    <row r="2369" spans="15:16" ht="12.75" customHeight="1">
      <c r="O2369" s="211"/>
      <c r="P2369" s="211"/>
    </row>
    <row r="2370" spans="15:16" ht="12.75" customHeight="1">
      <c r="O2370" s="211"/>
      <c r="P2370" s="211"/>
    </row>
    <row r="2371" spans="15:16" ht="12.75" customHeight="1">
      <c r="O2371" s="211"/>
      <c r="P2371" s="211"/>
    </row>
    <row r="2372" spans="15:16" ht="12.75" customHeight="1">
      <c r="O2372" s="211"/>
      <c r="P2372" s="211"/>
    </row>
    <row r="2373" spans="15:16" ht="12.75" customHeight="1">
      <c r="O2373" s="211"/>
      <c r="P2373" s="211"/>
    </row>
    <row r="2374" spans="15:16" ht="12.75" customHeight="1">
      <c r="O2374" s="211"/>
      <c r="P2374" s="211"/>
    </row>
    <row r="2375" spans="15:16" ht="12.75" customHeight="1">
      <c r="O2375" s="211"/>
      <c r="P2375" s="211"/>
    </row>
    <row r="2376" spans="15:16" ht="12.75" customHeight="1">
      <c r="O2376" s="211"/>
      <c r="P2376" s="211"/>
    </row>
    <row r="2377" spans="15:16" ht="12.75" customHeight="1">
      <c r="O2377" s="211"/>
      <c r="P2377" s="211"/>
    </row>
    <row r="2378" spans="15:16" ht="12.75" customHeight="1">
      <c r="O2378" s="211"/>
      <c r="P2378" s="211"/>
    </row>
    <row r="2379" spans="15:16" ht="12.75" customHeight="1">
      <c r="O2379" s="211"/>
      <c r="P2379" s="211"/>
    </row>
    <row r="2380" spans="15:16" ht="12.75" customHeight="1">
      <c r="O2380" s="211"/>
      <c r="P2380" s="211"/>
    </row>
    <row r="2381" spans="15:16" ht="12.75" customHeight="1">
      <c r="O2381" s="211"/>
      <c r="P2381" s="211"/>
    </row>
    <row r="2382" spans="15:16" ht="12.75" customHeight="1">
      <c r="O2382" s="211"/>
      <c r="P2382" s="211"/>
    </row>
    <row r="2383" spans="15:16" ht="12.75" customHeight="1">
      <c r="O2383" s="211"/>
      <c r="P2383" s="211"/>
    </row>
    <row r="2384" spans="15:16" ht="12.75" customHeight="1">
      <c r="O2384" s="211"/>
      <c r="P2384" s="211"/>
    </row>
    <row r="2385" spans="15:16" ht="12.75" customHeight="1">
      <c r="O2385" s="211"/>
      <c r="P2385" s="211"/>
    </row>
    <row r="2386" spans="15:16" ht="12.75" customHeight="1">
      <c r="O2386" s="211"/>
      <c r="P2386" s="211"/>
    </row>
    <row r="2387" spans="15:16" ht="12.75" customHeight="1">
      <c r="O2387" s="211"/>
      <c r="P2387" s="211"/>
    </row>
    <row r="2388" spans="15:16" ht="12.75" customHeight="1">
      <c r="O2388" s="211"/>
      <c r="P2388" s="211"/>
    </row>
    <row r="2389" spans="15:16" ht="12.75" customHeight="1">
      <c r="O2389" s="211"/>
      <c r="P2389" s="211"/>
    </row>
    <row r="2390" spans="15:16" ht="12.75" customHeight="1">
      <c r="O2390" s="211"/>
      <c r="P2390" s="211"/>
    </row>
    <row r="2391" spans="15:16" ht="12.75" customHeight="1">
      <c r="O2391" s="211"/>
      <c r="P2391" s="211"/>
    </row>
    <row r="2392" spans="15:16" ht="12.75" customHeight="1">
      <c r="O2392" s="211"/>
      <c r="P2392" s="211"/>
    </row>
    <row r="2393" spans="15:16" ht="12.75" customHeight="1">
      <c r="O2393" s="211"/>
      <c r="P2393" s="211"/>
    </row>
    <row r="2394" spans="15:16" ht="12.75" customHeight="1">
      <c r="O2394" s="211"/>
      <c r="P2394" s="211"/>
    </row>
    <row r="2395" spans="15:16" ht="12.75" customHeight="1">
      <c r="O2395" s="211"/>
      <c r="P2395" s="211"/>
    </row>
    <row r="2396" spans="15:16" ht="12.75" customHeight="1">
      <c r="O2396" s="211"/>
      <c r="P2396" s="211"/>
    </row>
    <row r="2397" spans="15:16" ht="12.75" customHeight="1">
      <c r="O2397" s="211"/>
      <c r="P2397" s="211"/>
    </row>
    <row r="2398" spans="15:16" ht="12.75" customHeight="1">
      <c r="O2398" s="211"/>
      <c r="P2398" s="211"/>
    </row>
    <row r="2399" spans="15:16" ht="12.75" customHeight="1">
      <c r="O2399" s="211"/>
      <c r="P2399" s="211"/>
    </row>
    <row r="2400" spans="15:16" ht="12.75" customHeight="1">
      <c r="O2400" s="211"/>
      <c r="P2400" s="211"/>
    </row>
    <row r="2401" spans="15:16" ht="12.75" customHeight="1">
      <c r="O2401" s="211"/>
      <c r="P2401" s="211"/>
    </row>
    <row r="2402" spans="15:16" ht="12.75" customHeight="1">
      <c r="O2402" s="211"/>
      <c r="P2402" s="211"/>
    </row>
    <row r="2403" spans="15:16" ht="12.75" customHeight="1">
      <c r="O2403" s="211"/>
      <c r="P2403" s="211"/>
    </row>
    <row r="2404" spans="15:16" ht="12.75" customHeight="1">
      <c r="O2404" s="211"/>
      <c r="P2404" s="211"/>
    </row>
    <row r="2405" spans="15:16" ht="12.75" customHeight="1">
      <c r="O2405" s="211"/>
      <c r="P2405" s="211"/>
    </row>
    <row r="2406" spans="15:16" ht="12.75" customHeight="1">
      <c r="O2406" s="211"/>
      <c r="P2406" s="211"/>
    </row>
    <row r="2407" spans="15:16" ht="12.75" customHeight="1">
      <c r="O2407" s="211"/>
      <c r="P2407" s="211"/>
    </row>
    <row r="2408" spans="15:16" ht="12.75" customHeight="1">
      <c r="O2408" s="211"/>
      <c r="P2408" s="211"/>
    </row>
    <row r="2409" spans="15:16" ht="12.75" customHeight="1">
      <c r="O2409" s="211"/>
      <c r="P2409" s="211"/>
    </row>
    <row r="2410" spans="15:16" ht="12.75" customHeight="1">
      <c r="O2410" s="211"/>
      <c r="P2410" s="211"/>
    </row>
    <row r="2411" spans="15:16" ht="12.75" customHeight="1">
      <c r="O2411" s="211"/>
      <c r="P2411" s="211"/>
    </row>
    <row r="2412" spans="15:16" ht="12.75" customHeight="1">
      <c r="O2412" s="211"/>
      <c r="P2412" s="211"/>
    </row>
    <row r="2413" spans="15:16" ht="12.75" customHeight="1">
      <c r="O2413" s="211"/>
      <c r="P2413" s="211"/>
    </row>
    <row r="2414" spans="15:16" ht="12.75" customHeight="1">
      <c r="O2414" s="211"/>
      <c r="P2414" s="211"/>
    </row>
    <row r="2415" spans="15:16" ht="12.75" customHeight="1">
      <c r="O2415" s="211"/>
      <c r="P2415" s="211"/>
    </row>
    <row r="2416" spans="15:16" ht="12.75" customHeight="1">
      <c r="O2416" s="211"/>
      <c r="P2416" s="211"/>
    </row>
    <row r="2417" spans="15:16" ht="12.75" customHeight="1">
      <c r="O2417" s="211"/>
      <c r="P2417" s="211"/>
    </row>
    <row r="2418" spans="15:16" ht="12.75" customHeight="1">
      <c r="O2418" s="211"/>
      <c r="P2418" s="211"/>
    </row>
    <row r="2419" spans="15:16" ht="12.75" customHeight="1">
      <c r="O2419" s="211"/>
      <c r="P2419" s="211"/>
    </row>
    <row r="2420" spans="15:16" ht="12.75" customHeight="1">
      <c r="O2420" s="211"/>
      <c r="P2420" s="211"/>
    </row>
    <row r="2421" spans="15:16" ht="12.75" customHeight="1">
      <c r="O2421" s="211"/>
      <c r="P2421" s="211"/>
    </row>
    <row r="2422" spans="15:16" ht="12.75" customHeight="1">
      <c r="O2422" s="211"/>
      <c r="P2422" s="211"/>
    </row>
    <row r="2423" spans="15:16" ht="12.75" customHeight="1">
      <c r="O2423" s="211"/>
      <c r="P2423" s="211"/>
    </row>
    <row r="2424" spans="15:16" ht="12.75" customHeight="1">
      <c r="O2424" s="211"/>
      <c r="P2424" s="211"/>
    </row>
    <row r="2425" spans="15:16" ht="12.75" customHeight="1">
      <c r="O2425" s="211"/>
      <c r="P2425" s="211"/>
    </row>
    <row r="2426" spans="15:16" ht="12.75" customHeight="1">
      <c r="O2426" s="211"/>
      <c r="P2426" s="211"/>
    </row>
    <row r="2427" spans="15:16" ht="12.75" customHeight="1">
      <c r="O2427" s="211"/>
      <c r="P2427" s="211"/>
    </row>
    <row r="2428" spans="15:16" ht="12.75" customHeight="1">
      <c r="O2428" s="211"/>
      <c r="P2428" s="211"/>
    </row>
    <row r="2429" spans="15:16" ht="12.75" customHeight="1">
      <c r="O2429" s="211"/>
      <c r="P2429" s="211"/>
    </row>
    <row r="2430" spans="15:16" ht="12.75" customHeight="1">
      <c r="O2430" s="211"/>
      <c r="P2430" s="211"/>
    </row>
    <row r="2431" spans="15:16" ht="12.75" customHeight="1">
      <c r="O2431" s="211"/>
      <c r="P2431" s="211"/>
    </row>
    <row r="2432" spans="15:16" ht="12.75" customHeight="1">
      <c r="O2432" s="211"/>
      <c r="P2432" s="211"/>
    </row>
    <row r="2433" spans="15:16" ht="12.75" customHeight="1">
      <c r="O2433" s="211"/>
      <c r="P2433" s="211"/>
    </row>
    <row r="2434" spans="15:16" ht="12.75" customHeight="1">
      <c r="O2434" s="211"/>
      <c r="P2434" s="211"/>
    </row>
    <row r="2435" spans="15:16" ht="12.75" customHeight="1">
      <c r="O2435" s="211"/>
      <c r="P2435" s="211"/>
    </row>
    <row r="2436" spans="15:16" ht="12.75" customHeight="1">
      <c r="O2436" s="211"/>
      <c r="P2436" s="211"/>
    </row>
    <row r="2437" spans="15:16" ht="12.75" customHeight="1">
      <c r="O2437" s="211"/>
      <c r="P2437" s="211"/>
    </row>
    <row r="2438" spans="15:16" ht="12.75" customHeight="1">
      <c r="O2438" s="211"/>
      <c r="P2438" s="211"/>
    </row>
    <row r="2439" spans="15:16" ht="12.75" customHeight="1">
      <c r="O2439" s="211"/>
      <c r="P2439" s="211"/>
    </row>
    <row r="2440" spans="15:16" ht="12.75" customHeight="1">
      <c r="O2440" s="211"/>
      <c r="P2440" s="211"/>
    </row>
    <row r="2441" spans="15:16" ht="12.75" customHeight="1">
      <c r="O2441" s="211"/>
      <c r="P2441" s="211"/>
    </row>
    <row r="2442" spans="15:16" ht="12.75" customHeight="1">
      <c r="O2442" s="211"/>
      <c r="P2442" s="211"/>
    </row>
    <row r="2443" spans="15:16" ht="12.75" customHeight="1">
      <c r="O2443" s="211"/>
      <c r="P2443" s="211"/>
    </row>
    <row r="2444" spans="15:16" ht="12.75" customHeight="1">
      <c r="O2444" s="211"/>
      <c r="P2444" s="211"/>
    </row>
    <row r="2445" spans="15:16" ht="12.75" customHeight="1">
      <c r="O2445" s="211"/>
      <c r="P2445" s="211"/>
    </row>
    <row r="2446" spans="15:16" ht="12.75" customHeight="1">
      <c r="O2446" s="211"/>
      <c r="P2446" s="211"/>
    </row>
    <row r="2447" spans="15:16" ht="12.75" customHeight="1">
      <c r="O2447" s="211"/>
      <c r="P2447" s="211"/>
    </row>
    <row r="2448" spans="15:16" ht="12.75" customHeight="1">
      <c r="O2448" s="211"/>
      <c r="P2448" s="211"/>
    </row>
    <row r="2449" spans="15:16" ht="12.75" customHeight="1">
      <c r="O2449" s="211"/>
      <c r="P2449" s="211"/>
    </row>
    <row r="2450" spans="15:16" ht="12.75" customHeight="1">
      <c r="O2450" s="211"/>
      <c r="P2450" s="211"/>
    </row>
    <row r="2451" spans="15:16" ht="12.75" customHeight="1">
      <c r="O2451" s="211"/>
      <c r="P2451" s="211"/>
    </row>
    <row r="2452" spans="15:16" ht="12.75" customHeight="1">
      <c r="O2452" s="211"/>
      <c r="P2452" s="211"/>
    </row>
    <row r="2453" spans="15:16" ht="12.75" customHeight="1">
      <c r="O2453" s="211"/>
      <c r="P2453" s="211"/>
    </row>
    <row r="2454" spans="15:16" ht="12.75" customHeight="1">
      <c r="O2454" s="211"/>
      <c r="P2454" s="211"/>
    </row>
    <row r="2455" spans="15:16" ht="12.75" customHeight="1">
      <c r="O2455" s="211"/>
      <c r="P2455" s="211"/>
    </row>
    <row r="2456" spans="15:16" ht="12.75" customHeight="1">
      <c r="O2456" s="211"/>
      <c r="P2456" s="211"/>
    </row>
    <row r="2457" spans="15:16" ht="12.75" customHeight="1">
      <c r="O2457" s="211"/>
      <c r="P2457" s="211"/>
    </row>
    <row r="2458" spans="15:16" ht="12.75" customHeight="1">
      <c r="O2458" s="211"/>
      <c r="P2458" s="211"/>
    </row>
    <row r="2459" spans="15:16" ht="12.75" customHeight="1">
      <c r="O2459" s="211"/>
      <c r="P2459" s="211"/>
    </row>
    <row r="2460" spans="15:16" ht="12.75" customHeight="1">
      <c r="O2460" s="211"/>
      <c r="P2460" s="211"/>
    </row>
    <row r="2461" spans="15:16" ht="12.75" customHeight="1">
      <c r="O2461" s="211"/>
      <c r="P2461" s="211"/>
    </row>
    <row r="2462" spans="15:16" ht="12.75" customHeight="1">
      <c r="O2462" s="211"/>
      <c r="P2462" s="211"/>
    </row>
    <row r="2463" spans="15:16" ht="12.75" customHeight="1">
      <c r="O2463" s="211"/>
      <c r="P2463" s="211"/>
    </row>
    <row r="2464" spans="15:16" ht="12.75" customHeight="1">
      <c r="O2464" s="211"/>
      <c r="P2464" s="211"/>
    </row>
    <row r="2465" spans="15:16" ht="12.75" customHeight="1">
      <c r="O2465" s="211"/>
      <c r="P2465" s="211"/>
    </row>
    <row r="2466" spans="15:16" ht="12.75" customHeight="1">
      <c r="O2466" s="211"/>
      <c r="P2466" s="211"/>
    </row>
    <row r="2467" spans="15:16" ht="12.75" customHeight="1">
      <c r="O2467" s="211"/>
      <c r="P2467" s="211"/>
    </row>
    <row r="2468" spans="15:16" ht="12.75" customHeight="1">
      <c r="O2468" s="211"/>
      <c r="P2468" s="211"/>
    </row>
    <row r="2469" spans="15:16" ht="12.75" customHeight="1">
      <c r="O2469" s="211"/>
      <c r="P2469" s="211"/>
    </row>
    <row r="2470" spans="15:16" ht="12.75" customHeight="1">
      <c r="O2470" s="211"/>
      <c r="P2470" s="211"/>
    </row>
    <row r="2471" spans="15:16" ht="12.75" customHeight="1">
      <c r="O2471" s="211"/>
      <c r="P2471" s="211"/>
    </row>
    <row r="2472" spans="15:16" ht="12.75" customHeight="1">
      <c r="O2472" s="211"/>
      <c r="P2472" s="211"/>
    </row>
    <row r="2473" spans="15:16" ht="12.75" customHeight="1">
      <c r="O2473" s="211"/>
      <c r="P2473" s="211"/>
    </row>
    <row r="2474" spans="15:16" ht="12.75" customHeight="1">
      <c r="O2474" s="211"/>
      <c r="P2474" s="211"/>
    </row>
    <row r="2475" spans="15:16" ht="12.75" customHeight="1">
      <c r="O2475" s="211"/>
      <c r="P2475" s="211"/>
    </row>
    <row r="2476" spans="15:16" ht="12.75" customHeight="1">
      <c r="O2476" s="211"/>
      <c r="P2476" s="211"/>
    </row>
    <row r="2477" spans="15:16" ht="12.75" customHeight="1">
      <c r="O2477" s="211"/>
      <c r="P2477" s="211"/>
    </row>
    <row r="2478" spans="15:16" ht="12.75" customHeight="1">
      <c r="O2478" s="211"/>
      <c r="P2478" s="211"/>
    </row>
    <row r="2479" spans="15:16" ht="12.75" customHeight="1">
      <c r="O2479" s="211"/>
      <c r="P2479" s="211"/>
    </row>
    <row r="2480" spans="15:16" ht="12.75" customHeight="1">
      <c r="O2480" s="211"/>
      <c r="P2480" s="211"/>
    </row>
    <row r="2481" spans="15:16" ht="12.75" customHeight="1">
      <c r="O2481" s="211"/>
      <c r="P2481" s="211"/>
    </row>
    <row r="2482" spans="15:16" ht="12.75" customHeight="1">
      <c r="O2482" s="211"/>
      <c r="P2482" s="211"/>
    </row>
    <row r="2483" spans="15:16" ht="12.75" customHeight="1">
      <c r="O2483" s="211"/>
      <c r="P2483" s="211"/>
    </row>
    <row r="2484" spans="15:16" ht="12.75" customHeight="1">
      <c r="O2484" s="211"/>
      <c r="P2484" s="211"/>
    </row>
    <row r="2485" spans="15:16" ht="12.75" customHeight="1">
      <c r="O2485" s="211"/>
      <c r="P2485" s="211"/>
    </row>
    <row r="2486" spans="15:16" ht="12.75" customHeight="1">
      <c r="O2486" s="211"/>
      <c r="P2486" s="211"/>
    </row>
    <row r="2487" spans="15:16" ht="12.75" customHeight="1">
      <c r="O2487" s="211"/>
      <c r="P2487" s="211"/>
    </row>
    <row r="2488" spans="15:16" ht="12.75" customHeight="1">
      <c r="O2488" s="211"/>
      <c r="P2488" s="211"/>
    </row>
    <row r="2489" spans="15:16" ht="12.75" customHeight="1">
      <c r="O2489" s="211"/>
      <c r="P2489" s="211"/>
    </row>
    <row r="2490" spans="15:16" ht="12.75" customHeight="1">
      <c r="O2490" s="211"/>
      <c r="P2490" s="211"/>
    </row>
    <row r="2491" spans="15:16" ht="12.75" customHeight="1">
      <c r="O2491" s="211"/>
      <c r="P2491" s="211"/>
    </row>
    <row r="2492" spans="15:16" ht="12.75" customHeight="1">
      <c r="O2492" s="211"/>
      <c r="P2492" s="211"/>
    </row>
    <row r="2493" spans="15:16" ht="12.75" customHeight="1">
      <c r="O2493" s="211"/>
      <c r="P2493" s="211"/>
    </row>
    <row r="2494" spans="15:16" ht="12.75" customHeight="1">
      <c r="O2494" s="211"/>
      <c r="P2494" s="211"/>
    </row>
    <row r="2495" spans="15:16" ht="12.75" customHeight="1">
      <c r="O2495" s="211"/>
      <c r="P2495" s="211"/>
    </row>
    <row r="2496" spans="15:16" ht="12.75" customHeight="1">
      <c r="O2496" s="211"/>
      <c r="P2496" s="211"/>
    </row>
    <row r="2497" spans="15:16" ht="12.75" customHeight="1">
      <c r="O2497" s="211"/>
      <c r="P2497" s="211"/>
    </row>
    <row r="2498" spans="15:16" ht="12.75" customHeight="1">
      <c r="O2498" s="211"/>
      <c r="P2498" s="211"/>
    </row>
    <row r="2499" spans="15:16" ht="12.75" customHeight="1">
      <c r="O2499" s="211"/>
      <c r="P2499" s="211"/>
    </row>
    <row r="2500" spans="15:16" ht="12.75" customHeight="1">
      <c r="O2500" s="211"/>
      <c r="P2500" s="211"/>
    </row>
    <row r="2501" spans="15:16" ht="12.75" customHeight="1">
      <c r="O2501" s="211"/>
      <c r="P2501" s="211"/>
    </row>
    <row r="2502" spans="15:16" ht="12.75" customHeight="1">
      <c r="O2502" s="211"/>
      <c r="P2502" s="211"/>
    </row>
    <row r="2503" spans="15:16" ht="12.75" customHeight="1">
      <c r="O2503" s="211"/>
      <c r="P2503" s="211"/>
    </row>
    <row r="2504" spans="15:16" ht="12.75" customHeight="1">
      <c r="O2504" s="211"/>
      <c r="P2504" s="211"/>
    </row>
    <row r="2505" spans="15:16" ht="12.75" customHeight="1">
      <c r="O2505" s="211"/>
      <c r="P2505" s="211"/>
    </row>
    <row r="2506" spans="15:16" ht="12.75" customHeight="1">
      <c r="O2506" s="211"/>
      <c r="P2506" s="211"/>
    </row>
    <row r="2507" spans="15:16" ht="12.75" customHeight="1">
      <c r="O2507" s="211"/>
      <c r="P2507" s="211"/>
    </row>
    <row r="2508" spans="15:16" ht="12.75" customHeight="1">
      <c r="O2508" s="211"/>
      <c r="P2508" s="211"/>
    </row>
    <row r="2509" spans="15:16" ht="12.75" customHeight="1">
      <c r="O2509" s="211"/>
      <c r="P2509" s="211"/>
    </row>
    <row r="2510" spans="15:16" ht="12.75" customHeight="1">
      <c r="O2510" s="211"/>
      <c r="P2510" s="211"/>
    </row>
    <row r="2511" spans="15:16" ht="12.75" customHeight="1">
      <c r="O2511" s="211"/>
      <c r="P2511" s="211"/>
    </row>
    <row r="2512" spans="15:16" ht="12.75" customHeight="1">
      <c r="O2512" s="211"/>
      <c r="P2512" s="211"/>
    </row>
    <row r="2513" spans="15:16" ht="12.75" customHeight="1">
      <c r="O2513" s="211"/>
      <c r="P2513" s="211"/>
    </row>
    <row r="2514" spans="15:16" ht="12.75" customHeight="1">
      <c r="O2514" s="211"/>
      <c r="P2514" s="211"/>
    </row>
    <row r="2515" spans="15:16" ht="12.75" customHeight="1">
      <c r="O2515" s="211"/>
      <c r="P2515" s="211"/>
    </row>
    <row r="2516" spans="15:16" ht="12.75" customHeight="1">
      <c r="O2516" s="211"/>
      <c r="P2516" s="211"/>
    </row>
    <row r="2517" spans="15:16" ht="12.75" customHeight="1">
      <c r="O2517" s="211"/>
      <c r="P2517" s="211"/>
    </row>
    <row r="2518" spans="15:16" ht="12.75" customHeight="1">
      <c r="O2518" s="211"/>
      <c r="P2518" s="211"/>
    </row>
    <row r="2519" spans="15:16" ht="12.75" customHeight="1">
      <c r="O2519" s="211"/>
      <c r="P2519" s="211"/>
    </row>
    <row r="2520" spans="15:16" ht="12.75" customHeight="1">
      <c r="O2520" s="211"/>
      <c r="P2520" s="211"/>
    </row>
    <row r="2521" spans="15:16" ht="12.75" customHeight="1">
      <c r="O2521" s="211"/>
      <c r="P2521" s="211"/>
    </row>
    <row r="2522" spans="15:16" ht="12.75" customHeight="1">
      <c r="O2522" s="211"/>
      <c r="P2522" s="211"/>
    </row>
    <row r="2523" spans="15:16" ht="12.75" customHeight="1">
      <c r="O2523" s="211"/>
      <c r="P2523" s="211"/>
    </row>
    <row r="2524" spans="15:16" ht="12.75" customHeight="1">
      <c r="O2524" s="211"/>
      <c r="P2524" s="211"/>
    </row>
    <row r="2525" spans="15:16" ht="12.75" customHeight="1">
      <c r="O2525" s="211"/>
      <c r="P2525" s="211"/>
    </row>
    <row r="2526" spans="15:16" ht="12.75" customHeight="1">
      <c r="O2526" s="211"/>
      <c r="P2526" s="211"/>
    </row>
    <row r="2527" spans="15:16" ht="12.75" customHeight="1">
      <c r="O2527" s="211"/>
      <c r="P2527" s="211"/>
    </row>
    <row r="2528" spans="15:16" ht="12.75" customHeight="1">
      <c r="O2528" s="211"/>
      <c r="P2528" s="211"/>
    </row>
    <row r="2529" spans="15:16" ht="12.75" customHeight="1">
      <c r="O2529" s="211"/>
      <c r="P2529" s="211"/>
    </row>
    <row r="2530" spans="15:16" ht="12.75" customHeight="1">
      <c r="O2530" s="211"/>
      <c r="P2530" s="211"/>
    </row>
    <row r="2531" spans="15:16" ht="12.75" customHeight="1">
      <c r="O2531" s="211"/>
      <c r="P2531" s="211"/>
    </row>
    <row r="2532" spans="15:16" ht="12.75" customHeight="1">
      <c r="O2532" s="211"/>
      <c r="P2532" s="211"/>
    </row>
    <row r="2533" spans="15:16" ht="12.75" customHeight="1">
      <c r="O2533" s="211"/>
      <c r="P2533" s="211"/>
    </row>
    <row r="2534" spans="15:16" ht="12.75" customHeight="1">
      <c r="O2534" s="211"/>
      <c r="P2534" s="211"/>
    </row>
    <row r="2535" spans="15:16" ht="12.75" customHeight="1">
      <c r="O2535" s="211"/>
      <c r="P2535" s="211"/>
    </row>
    <row r="2536" spans="15:16" ht="12.75" customHeight="1">
      <c r="O2536" s="211"/>
      <c r="P2536" s="211"/>
    </row>
    <row r="2537" spans="15:16" ht="12.75" customHeight="1">
      <c r="O2537" s="211"/>
      <c r="P2537" s="211"/>
    </row>
    <row r="2538" spans="15:16" ht="12.75" customHeight="1">
      <c r="O2538" s="211"/>
      <c r="P2538" s="211"/>
    </row>
    <row r="2539" spans="15:16" ht="12.75" customHeight="1">
      <c r="O2539" s="211"/>
      <c r="P2539" s="211"/>
    </row>
    <row r="2540" spans="15:16" ht="12.75" customHeight="1">
      <c r="O2540" s="211"/>
      <c r="P2540" s="211"/>
    </row>
    <row r="2541" spans="15:16" ht="12.75" customHeight="1">
      <c r="O2541" s="211"/>
      <c r="P2541" s="211"/>
    </row>
    <row r="2542" spans="15:16" ht="12.75" customHeight="1">
      <c r="O2542" s="211"/>
      <c r="P2542" s="211"/>
    </row>
    <row r="2543" spans="15:16" ht="12.75" customHeight="1">
      <c r="O2543" s="211"/>
      <c r="P2543" s="211"/>
    </row>
    <row r="2544" spans="15:16" ht="12.75" customHeight="1">
      <c r="O2544" s="211"/>
      <c r="P2544" s="211"/>
    </row>
    <row r="2545" spans="15:16" ht="12.75" customHeight="1">
      <c r="O2545" s="211"/>
      <c r="P2545" s="211"/>
    </row>
    <row r="2546" spans="15:16" ht="12.75" customHeight="1">
      <c r="O2546" s="211"/>
      <c r="P2546" s="211"/>
    </row>
    <row r="2547" spans="15:16" ht="12.75" customHeight="1">
      <c r="O2547" s="211"/>
      <c r="P2547" s="211"/>
    </row>
    <row r="2548" spans="15:16" ht="12.75" customHeight="1">
      <c r="O2548" s="211"/>
      <c r="P2548" s="211"/>
    </row>
    <row r="2549" spans="15:16" ht="12.75" customHeight="1">
      <c r="O2549" s="211"/>
      <c r="P2549" s="211"/>
    </row>
    <row r="2550" spans="15:16" ht="12.75" customHeight="1">
      <c r="O2550" s="211"/>
      <c r="P2550" s="211"/>
    </row>
    <row r="2551" spans="15:16" ht="12.75" customHeight="1">
      <c r="O2551" s="211"/>
      <c r="P2551" s="211"/>
    </row>
    <row r="2552" spans="15:16" ht="12.75" customHeight="1">
      <c r="O2552" s="211"/>
      <c r="P2552" s="211"/>
    </row>
    <row r="2553" spans="15:16" ht="12.75" customHeight="1">
      <c r="O2553" s="211"/>
      <c r="P2553" s="211"/>
    </row>
    <row r="2554" spans="15:16" ht="12.75" customHeight="1">
      <c r="O2554" s="211"/>
      <c r="P2554" s="211"/>
    </row>
    <row r="2555" spans="15:16" ht="12.75" customHeight="1">
      <c r="O2555" s="211"/>
      <c r="P2555" s="211"/>
    </row>
    <row r="2556" spans="15:16" ht="12.75" customHeight="1">
      <c r="O2556" s="211"/>
      <c r="P2556" s="211"/>
    </row>
    <row r="2557" spans="15:16" ht="12.75" customHeight="1">
      <c r="O2557" s="211"/>
      <c r="P2557" s="211"/>
    </row>
    <row r="2558" spans="15:16" ht="12.75" customHeight="1">
      <c r="O2558" s="211"/>
      <c r="P2558" s="211"/>
    </row>
    <row r="2559" spans="15:16" ht="12.75" customHeight="1">
      <c r="O2559" s="211"/>
      <c r="P2559" s="211"/>
    </row>
    <row r="2560" spans="15:16" ht="12.75" customHeight="1">
      <c r="O2560" s="211"/>
      <c r="P2560" s="211"/>
    </row>
    <row r="2561" spans="15:16" ht="12.75" customHeight="1">
      <c r="O2561" s="211"/>
      <c r="P2561" s="211"/>
    </row>
    <row r="2562" spans="15:16" ht="12.75" customHeight="1">
      <c r="O2562" s="211"/>
      <c r="P2562" s="211"/>
    </row>
    <row r="2563" spans="15:16" ht="12.75" customHeight="1">
      <c r="O2563" s="211"/>
      <c r="P2563" s="211"/>
    </row>
    <row r="2564" spans="15:16" ht="12.75" customHeight="1">
      <c r="O2564" s="211"/>
      <c r="P2564" s="211"/>
    </row>
    <row r="2565" spans="15:16" ht="12.75" customHeight="1">
      <c r="O2565" s="211"/>
      <c r="P2565" s="211"/>
    </row>
    <row r="2566" spans="15:16" ht="12.75" customHeight="1">
      <c r="O2566" s="211"/>
      <c r="P2566" s="211"/>
    </row>
    <row r="2567" spans="15:16" ht="12.75" customHeight="1">
      <c r="O2567" s="211"/>
      <c r="P2567" s="211"/>
    </row>
    <row r="2568" spans="15:16" ht="12.75" customHeight="1">
      <c r="O2568" s="211"/>
      <c r="P2568" s="211"/>
    </row>
    <row r="2569" spans="15:16" ht="12.75" customHeight="1">
      <c r="O2569" s="211"/>
      <c r="P2569" s="211"/>
    </row>
    <row r="2570" spans="15:16" ht="12.75" customHeight="1">
      <c r="O2570" s="211"/>
      <c r="P2570" s="211"/>
    </row>
    <row r="2571" spans="15:16" ht="12.75" customHeight="1">
      <c r="O2571" s="211"/>
      <c r="P2571" s="211"/>
    </row>
    <row r="2572" spans="15:16" ht="12.75" customHeight="1">
      <c r="O2572" s="211"/>
      <c r="P2572" s="211"/>
    </row>
    <row r="2573" spans="15:16" ht="12.75" customHeight="1">
      <c r="O2573" s="211"/>
      <c r="P2573" s="211"/>
    </row>
    <row r="2574" spans="15:16" ht="12.75" customHeight="1">
      <c r="O2574" s="211"/>
      <c r="P2574" s="211"/>
    </row>
    <row r="2575" spans="15:16" ht="12.75" customHeight="1">
      <c r="O2575" s="211"/>
      <c r="P2575" s="211"/>
    </row>
    <row r="2576" spans="15:16" ht="12.75" customHeight="1">
      <c r="O2576" s="211"/>
      <c r="P2576" s="211"/>
    </row>
    <row r="2577" spans="15:16" ht="12.75" customHeight="1">
      <c r="O2577" s="211"/>
      <c r="P2577" s="211"/>
    </row>
    <row r="2578" spans="15:16" ht="12.75" customHeight="1">
      <c r="O2578" s="211"/>
      <c r="P2578" s="211"/>
    </row>
    <row r="2579" spans="15:16" ht="12.75" customHeight="1">
      <c r="O2579" s="211"/>
      <c r="P2579" s="211"/>
    </row>
    <row r="2580" spans="15:16" ht="12.75" customHeight="1">
      <c r="O2580" s="211"/>
      <c r="P2580" s="211"/>
    </row>
    <row r="2581" spans="15:16" ht="12.75" customHeight="1">
      <c r="O2581" s="211"/>
      <c r="P2581" s="211"/>
    </row>
    <row r="2582" spans="15:16" ht="12.75" customHeight="1">
      <c r="O2582" s="211"/>
      <c r="P2582" s="211"/>
    </row>
    <row r="2583" spans="15:16" ht="12.75" customHeight="1">
      <c r="O2583" s="211"/>
      <c r="P2583" s="211"/>
    </row>
    <row r="2584" spans="15:16" ht="12.75" customHeight="1">
      <c r="O2584" s="211"/>
      <c r="P2584" s="211"/>
    </row>
    <row r="2585" spans="15:16" ht="12.75" customHeight="1">
      <c r="O2585" s="211"/>
      <c r="P2585" s="211"/>
    </row>
    <row r="2586" spans="15:16" ht="12.75" customHeight="1">
      <c r="O2586" s="211"/>
      <c r="P2586" s="211"/>
    </row>
    <row r="2587" spans="15:16" ht="12.75" customHeight="1">
      <c r="O2587" s="211"/>
      <c r="P2587" s="211"/>
    </row>
    <row r="2588" spans="15:16" ht="12.75" customHeight="1">
      <c r="O2588" s="211"/>
      <c r="P2588" s="211"/>
    </row>
    <row r="2589" spans="15:16" ht="12.75" customHeight="1">
      <c r="O2589" s="211"/>
      <c r="P2589" s="211"/>
    </row>
    <row r="2590" spans="15:16" ht="12.75" customHeight="1">
      <c r="O2590" s="211"/>
      <c r="P2590" s="211"/>
    </row>
    <row r="2591" spans="15:16" ht="12.75" customHeight="1">
      <c r="O2591" s="211"/>
      <c r="P2591" s="211"/>
    </row>
    <row r="2592" spans="15:16" ht="12.75" customHeight="1">
      <c r="O2592" s="211"/>
      <c r="P2592" s="211"/>
    </row>
    <row r="2593" spans="15:16" ht="12.75" customHeight="1">
      <c r="O2593" s="211"/>
      <c r="P2593" s="211"/>
    </row>
    <row r="2594" spans="15:16" ht="12.75" customHeight="1">
      <c r="O2594" s="211"/>
      <c r="P2594" s="211"/>
    </row>
    <row r="2595" spans="15:16" ht="12.75" customHeight="1">
      <c r="O2595" s="211"/>
      <c r="P2595" s="211"/>
    </row>
    <row r="2596" spans="15:16" ht="12.75" customHeight="1">
      <c r="O2596" s="211"/>
      <c r="P2596" s="211"/>
    </row>
    <row r="2597" spans="15:16" ht="12.75" customHeight="1">
      <c r="O2597" s="211"/>
      <c r="P2597" s="211"/>
    </row>
    <row r="2598" spans="15:16" ht="12.75" customHeight="1">
      <c r="O2598" s="211"/>
      <c r="P2598" s="211"/>
    </row>
    <row r="2599" spans="15:16" ht="12.75" customHeight="1">
      <c r="O2599" s="211"/>
      <c r="P2599" s="211"/>
    </row>
    <row r="2600" spans="15:16" ht="12.75" customHeight="1">
      <c r="O2600" s="211"/>
      <c r="P2600" s="211"/>
    </row>
    <row r="2601" spans="15:16" ht="12.75" customHeight="1">
      <c r="O2601" s="211"/>
      <c r="P2601" s="211"/>
    </row>
    <row r="2602" spans="15:16" ht="12.75" customHeight="1">
      <c r="O2602" s="211"/>
      <c r="P2602" s="211"/>
    </row>
    <row r="2603" spans="15:16" ht="12.75" customHeight="1">
      <c r="O2603" s="211"/>
      <c r="P2603" s="211"/>
    </row>
    <row r="2604" spans="15:16" ht="12.75" customHeight="1">
      <c r="O2604" s="211"/>
      <c r="P2604" s="211"/>
    </row>
    <row r="2605" spans="15:16" ht="12.75" customHeight="1">
      <c r="O2605" s="211"/>
      <c r="P2605" s="211"/>
    </row>
    <row r="2606" spans="15:16" ht="12.75" customHeight="1">
      <c r="O2606" s="211"/>
      <c r="P2606" s="211"/>
    </row>
    <row r="2607" spans="15:16" ht="12.75" customHeight="1">
      <c r="O2607" s="211"/>
      <c r="P2607" s="211"/>
    </row>
    <row r="2608" spans="15:16" ht="12.75" customHeight="1">
      <c r="O2608" s="211"/>
      <c r="P2608" s="211"/>
    </row>
    <row r="2609" spans="15:16" ht="12.75" customHeight="1">
      <c r="O2609" s="211"/>
      <c r="P2609" s="211"/>
    </row>
    <row r="2610" spans="15:16" ht="12.75" customHeight="1">
      <c r="O2610" s="211"/>
      <c r="P2610" s="211"/>
    </row>
    <row r="2611" spans="15:16" ht="12.75" customHeight="1">
      <c r="O2611" s="211"/>
      <c r="P2611" s="211"/>
    </row>
    <row r="2612" spans="15:16" ht="12.75" customHeight="1">
      <c r="O2612" s="211"/>
      <c r="P2612" s="211"/>
    </row>
    <row r="2613" spans="15:16" ht="12.75" customHeight="1">
      <c r="O2613" s="211"/>
      <c r="P2613" s="211"/>
    </row>
    <row r="2614" spans="15:16" ht="12.75" customHeight="1">
      <c r="O2614" s="211"/>
      <c r="P2614" s="211"/>
    </row>
    <row r="2615" spans="15:16" ht="12.75" customHeight="1">
      <c r="O2615" s="211"/>
      <c r="P2615" s="211"/>
    </row>
    <row r="2616" spans="15:16" ht="12.75" customHeight="1">
      <c r="O2616" s="211"/>
      <c r="P2616" s="211"/>
    </row>
    <row r="2617" spans="15:16" ht="12.75" customHeight="1">
      <c r="O2617" s="211"/>
      <c r="P2617" s="211"/>
    </row>
    <row r="2618" spans="15:16" ht="12.75" customHeight="1">
      <c r="O2618" s="211"/>
      <c r="P2618" s="211"/>
    </row>
    <row r="2619" spans="15:16" ht="12.75" customHeight="1">
      <c r="O2619" s="211"/>
      <c r="P2619" s="211"/>
    </row>
    <row r="2620" spans="15:16" ht="12.75" customHeight="1">
      <c r="O2620" s="211"/>
      <c r="P2620" s="211"/>
    </row>
    <row r="2621" spans="15:16" ht="12.75" customHeight="1">
      <c r="O2621" s="211"/>
      <c r="P2621" s="211"/>
    </row>
    <row r="2622" spans="15:16" ht="12.75" customHeight="1">
      <c r="O2622" s="211"/>
      <c r="P2622" s="211"/>
    </row>
    <row r="2623" spans="15:16" ht="12.75" customHeight="1">
      <c r="O2623" s="211"/>
      <c r="P2623" s="211"/>
    </row>
    <row r="2624" spans="15:16" ht="12.75" customHeight="1">
      <c r="O2624" s="211"/>
      <c r="P2624" s="211"/>
    </row>
    <row r="2625" spans="15:16" ht="12.75" customHeight="1">
      <c r="O2625" s="211"/>
      <c r="P2625" s="211"/>
    </row>
    <row r="2626" spans="15:16" ht="12.75" customHeight="1">
      <c r="O2626" s="211"/>
      <c r="P2626" s="211"/>
    </row>
    <row r="2627" spans="15:16" ht="12.75" customHeight="1">
      <c r="O2627" s="211"/>
      <c r="P2627" s="211"/>
    </row>
    <row r="2628" spans="15:16" ht="12.75" customHeight="1">
      <c r="O2628" s="211"/>
      <c r="P2628" s="211"/>
    </row>
    <row r="2629" spans="15:16" ht="12.75" customHeight="1">
      <c r="O2629" s="211"/>
      <c r="P2629" s="211"/>
    </row>
    <row r="2630" spans="15:16" ht="12.75" customHeight="1">
      <c r="O2630" s="211"/>
      <c r="P2630" s="211"/>
    </row>
    <row r="2631" spans="15:16" ht="12.75" customHeight="1">
      <c r="O2631" s="211"/>
      <c r="P2631" s="211"/>
    </row>
    <row r="2632" spans="15:16" ht="12.75" customHeight="1">
      <c r="O2632" s="211"/>
      <c r="P2632" s="211"/>
    </row>
    <row r="2633" spans="15:16" ht="12.75" customHeight="1">
      <c r="O2633" s="211"/>
      <c r="P2633" s="211"/>
    </row>
    <row r="2634" spans="15:16" ht="12.75" customHeight="1">
      <c r="O2634" s="211"/>
      <c r="P2634" s="211"/>
    </row>
    <row r="2635" spans="15:16" ht="12.75" customHeight="1">
      <c r="O2635" s="211"/>
      <c r="P2635" s="211"/>
    </row>
    <row r="2636" spans="15:16" ht="12.75" customHeight="1">
      <c r="O2636" s="211"/>
      <c r="P2636" s="211"/>
    </row>
    <row r="2637" spans="15:16" ht="12.75" customHeight="1">
      <c r="O2637" s="211"/>
      <c r="P2637" s="211"/>
    </row>
    <row r="2638" spans="15:16" ht="12.75" customHeight="1">
      <c r="O2638" s="211"/>
      <c r="P2638" s="211"/>
    </row>
    <row r="2639" spans="15:16" ht="12.75" customHeight="1">
      <c r="O2639" s="211"/>
      <c r="P2639" s="211"/>
    </row>
    <row r="2640" spans="15:16" ht="12.75" customHeight="1">
      <c r="O2640" s="211"/>
      <c r="P2640" s="211"/>
    </row>
    <row r="2641" spans="15:16" ht="12.75" customHeight="1">
      <c r="O2641" s="211"/>
      <c r="P2641" s="211"/>
    </row>
    <row r="2642" spans="15:16" ht="12.75" customHeight="1">
      <c r="O2642" s="211"/>
      <c r="P2642" s="211"/>
    </row>
    <row r="2643" spans="15:16" ht="12.75" customHeight="1">
      <c r="O2643" s="211"/>
      <c r="P2643" s="211"/>
    </row>
    <row r="2644" spans="15:16" ht="12.75" customHeight="1">
      <c r="O2644" s="211"/>
      <c r="P2644" s="211"/>
    </row>
    <row r="2645" spans="15:16" ht="12.75" customHeight="1">
      <c r="O2645" s="211"/>
      <c r="P2645" s="211"/>
    </row>
    <row r="2646" spans="15:16" ht="12.75" customHeight="1">
      <c r="O2646" s="211"/>
      <c r="P2646" s="211"/>
    </row>
    <row r="2647" spans="15:16" ht="12.75" customHeight="1">
      <c r="O2647" s="211"/>
      <c r="P2647" s="211"/>
    </row>
    <row r="2648" spans="15:16" ht="12.75" customHeight="1">
      <c r="O2648" s="211"/>
      <c r="P2648" s="211"/>
    </row>
    <row r="2649" spans="15:16" ht="12.75" customHeight="1">
      <c r="O2649" s="211"/>
      <c r="P2649" s="211"/>
    </row>
    <row r="2650" spans="15:16" ht="12.75" customHeight="1">
      <c r="O2650" s="211"/>
      <c r="P2650" s="211"/>
    </row>
    <row r="2651" spans="15:16" ht="12.75" customHeight="1">
      <c r="O2651" s="211"/>
      <c r="P2651" s="211"/>
    </row>
    <row r="2652" spans="15:16" ht="12.75" customHeight="1">
      <c r="O2652" s="211"/>
      <c r="P2652" s="211"/>
    </row>
    <row r="2653" spans="15:16" ht="12.75" customHeight="1">
      <c r="O2653" s="211"/>
      <c r="P2653" s="211"/>
    </row>
    <row r="2654" spans="15:16" ht="12.75" customHeight="1">
      <c r="O2654" s="211"/>
      <c r="P2654" s="211"/>
    </row>
    <row r="2655" spans="15:16" ht="12.75" customHeight="1">
      <c r="O2655" s="211"/>
      <c r="P2655" s="211"/>
    </row>
    <row r="2656" spans="15:16" ht="12.75" customHeight="1">
      <c r="O2656" s="211"/>
      <c r="P2656" s="211"/>
    </row>
    <row r="2657" spans="15:16" ht="12.75" customHeight="1">
      <c r="O2657" s="211"/>
      <c r="P2657" s="211"/>
    </row>
    <row r="2658" spans="15:16" ht="12.75" customHeight="1">
      <c r="O2658" s="211"/>
      <c r="P2658" s="211"/>
    </row>
    <row r="2659" spans="15:16" ht="12.75" customHeight="1">
      <c r="O2659" s="211"/>
      <c r="P2659" s="211"/>
    </row>
    <row r="2660" spans="15:16" ht="12.75" customHeight="1">
      <c r="O2660" s="211"/>
      <c r="P2660" s="211"/>
    </row>
    <row r="2661" spans="15:16" ht="12.75" customHeight="1">
      <c r="O2661" s="211"/>
      <c r="P2661" s="211"/>
    </row>
    <row r="2662" spans="15:16" ht="12.75" customHeight="1">
      <c r="O2662" s="211"/>
      <c r="P2662" s="211"/>
    </row>
    <row r="2663" spans="15:16" ht="12.75" customHeight="1">
      <c r="O2663" s="211"/>
      <c r="P2663" s="211"/>
    </row>
    <row r="2664" spans="15:16" ht="12.75" customHeight="1">
      <c r="O2664" s="211"/>
      <c r="P2664" s="211"/>
    </row>
    <row r="2665" spans="15:16" ht="12.75" customHeight="1">
      <c r="O2665" s="211"/>
      <c r="P2665" s="211"/>
    </row>
    <row r="2666" spans="15:16" ht="12.75" customHeight="1">
      <c r="O2666" s="211"/>
      <c r="P2666" s="211"/>
    </row>
    <row r="2667" spans="15:16" ht="12.75" customHeight="1">
      <c r="O2667" s="211"/>
      <c r="P2667" s="211"/>
    </row>
    <row r="2668" spans="15:16" ht="12.75" customHeight="1">
      <c r="O2668" s="211"/>
      <c r="P2668" s="211"/>
    </row>
    <row r="2669" spans="15:16" ht="12.75" customHeight="1">
      <c r="O2669" s="211"/>
      <c r="P2669" s="211"/>
    </row>
    <row r="2670" spans="15:16" ht="12.75" customHeight="1">
      <c r="O2670" s="211"/>
      <c r="P2670" s="211"/>
    </row>
    <row r="2671" spans="15:16" ht="12.75" customHeight="1">
      <c r="O2671" s="211"/>
      <c r="P2671" s="211"/>
    </row>
    <row r="2672" spans="15:16" ht="12.75" customHeight="1">
      <c r="O2672" s="211"/>
      <c r="P2672" s="211"/>
    </row>
    <row r="2673" spans="15:16" ht="12.75" customHeight="1">
      <c r="O2673" s="211"/>
      <c r="P2673" s="211"/>
    </row>
    <row r="2674" spans="15:16" ht="12.75" customHeight="1">
      <c r="O2674" s="211"/>
      <c r="P2674" s="211"/>
    </row>
    <row r="2675" spans="15:16" ht="12.75" customHeight="1">
      <c r="O2675" s="211"/>
      <c r="P2675" s="211"/>
    </row>
    <row r="2676" spans="15:16" ht="12.75" customHeight="1">
      <c r="O2676" s="211"/>
      <c r="P2676" s="211"/>
    </row>
    <row r="2677" spans="15:16" ht="12.75" customHeight="1">
      <c r="O2677" s="211"/>
      <c r="P2677" s="211"/>
    </row>
    <row r="2678" spans="15:16" ht="12.75" customHeight="1">
      <c r="O2678" s="211"/>
      <c r="P2678" s="211"/>
    </row>
    <row r="2679" spans="15:16" ht="12.75" customHeight="1">
      <c r="O2679" s="211"/>
      <c r="P2679" s="211"/>
    </row>
    <row r="2680" spans="15:16" ht="12.75" customHeight="1">
      <c r="O2680" s="211"/>
      <c r="P2680" s="211"/>
    </row>
    <row r="2681" spans="15:16" ht="12.75" customHeight="1">
      <c r="O2681" s="211"/>
      <c r="P2681" s="211"/>
    </row>
    <row r="2682" spans="15:16" ht="12.75" customHeight="1">
      <c r="O2682" s="211"/>
      <c r="P2682" s="211"/>
    </row>
    <row r="2683" spans="15:16" ht="12.75" customHeight="1">
      <c r="O2683" s="211"/>
      <c r="P2683" s="211"/>
    </row>
    <row r="2684" spans="15:16" ht="12.75" customHeight="1">
      <c r="O2684" s="211"/>
      <c r="P2684" s="211"/>
    </row>
    <row r="2685" spans="15:16" ht="12.75" customHeight="1">
      <c r="O2685" s="211"/>
      <c r="P2685" s="211"/>
    </row>
    <row r="2686" spans="15:16" ht="12.75" customHeight="1">
      <c r="O2686" s="211"/>
      <c r="P2686" s="211"/>
    </row>
    <row r="2687" spans="15:16" ht="12.75" customHeight="1">
      <c r="O2687" s="211"/>
      <c r="P2687" s="211"/>
    </row>
    <row r="2688" spans="15:16" ht="12.75" customHeight="1">
      <c r="O2688" s="211"/>
      <c r="P2688" s="211"/>
    </row>
    <row r="2689" spans="15:16" ht="12.75" customHeight="1">
      <c r="O2689" s="211"/>
      <c r="P2689" s="211"/>
    </row>
    <row r="2690" spans="15:16" ht="12.75" customHeight="1">
      <c r="O2690" s="211"/>
      <c r="P2690" s="211"/>
    </row>
    <row r="2691" spans="15:16" ht="12.75" customHeight="1">
      <c r="O2691" s="211"/>
      <c r="P2691" s="211"/>
    </row>
    <row r="2692" spans="15:16" ht="12.75" customHeight="1">
      <c r="O2692" s="211"/>
      <c r="P2692" s="211"/>
    </row>
    <row r="2693" spans="15:16" ht="12.75" customHeight="1">
      <c r="O2693" s="211"/>
      <c r="P2693" s="211"/>
    </row>
    <row r="2694" spans="15:16" ht="12.75" customHeight="1">
      <c r="O2694" s="211"/>
      <c r="P2694" s="211"/>
    </row>
    <row r="2695" spans="15:16" ht="12.75" customHeight="1">
      <c r="O2695" s="211"/>
      <c r="P2695" s="211"/>
    </row>
    <row r="2696" spans="15:16" ht="12.75" customHeight="1">
      <c r="O2696" s="211"/>
      <c r="P2696" s="211"/>
    </row>
    <row r="2697" spans="15:16" ht="12.75" customHeight="1">
      <c r="O2697" s="211"/>
      <c r="P2697" s="211"/>
    </row>
    <row r="2698" spans="15:16" ht="12.75" customHeight="1">
      <c r="O2698" s="211"/>
      <c r="P2698" s="211"/>
    </row>
    <row r="2699" spans="15:16" ht="12.75" customHeight="1">
      <c r="O2699" s="211"/>
      <c r="P2699" s="211"/>
    </row>
    <row r="2700" spans="15:16" ht="12.75" customHeight="1">
      <c r="O2700" s="211"/>
      <c r="P2700" s="211"/>
    </row>
    <row r="2701" spans="15:16" ht="12.75" customHeight="1">
      <c r="O2701" s="211"/>
      <c r="P2701" s="211"/>
    </row>
    <row r="2702" spans="15:16" ht="12.75" customHeight="1">
      <c r="O2702" s="211"/>
      <c r="P2702" s="211"/>
    </row>
    <row r="2703" spans="15:16" ht="12.75" customHeight="1">
      <c r="O2703" s="211"/>
      <c r="P2703" s="211"/>
    </row>
    <row r="2704" spans="15:16" ht="12.75" customHeight="1">
      <c r="O2704" s="211"/>
      <c r="P2704" s="211"/>
    </row>
    <row r="2705" spans="15:16" ht="12.75" customHeight="1">
      <c r="O2705" s="211"/>
      <c r="P2705" s="211"/>
    </row>
    <row r="2706" spans="15:16" ht="12.75" customHeight="1">
      <c r="O2706" s="211"/>
      <c r="P2706" s="211"/>
    </row>
    <row r="2707" spans="15:16" ht="12.75" customHeight="1">
      <c r="O2707" s="211"/>
      <c r="P2707" s="211"/>
    </row>
    <row r="2708" spans="15:16" ht="12.75" customHeight="1">
      <c r="O2708" s="211"/>
      <c r="P2708" s="211"/>
    </row>
    <row r="2709" spans="15:16" ht="12.75" customHeight="1">
      <c r="O2709" s="211"/>
      <c r="P2709" s="211"/>
    </row>
    <row r="2710" spans="15:16" ht="12.75" customHeight="1">
      <c r="O2710" s="211"/>
      <c r="P2710" s="211"/>
    </row>
    <row r="2711" spans="15:16" ht="12.75" customHeight="1">
      <c r="O2711" s="211"/>
      <c r="P2711" s="211"/>
    </row>
    <row r="2712" spans="15:16" ht="12.75" customHeight="1">
      <c r="O2712" s="211"/>
      <c r="P2712" s="211"/>
    </row>
    <row r="2713" spans="15:16" ht="12.75" customHeight="1">
      <c r="O2713" s="211"/>
      <c r="P2713" s="211"/>
    </row>
    <row r="2714" spans="15:16" ht="12.75" customHeight="1">
      <c r="O2714" s="211"/>
      <c r="P2714" s="211"/>
    </row>
    <row r="2715" spans="15:16" ht="12.75" customHeight="1">
      <c r="O2715" s="211"/>
      <c r="P2715" s="211"/>
    </row>
    <row r="2716" spans="15:16" ht="12.75" customHeight="1">
      <c r="O2716" s="211"/>
      <c r="P2716" s="211"/>
    </row>
    <row r="2717" spans="15:16" ht="12.75" customHeight="1">
      <c r="O2717" s="211"/>
      <c r="P2717" s="211"/>
    </row>
    <row r="2718" spans="15:16" ht="12.75" customHeight="1">
      <c r="O2718" s="211"/>
      <c r="P2718" s="211"/>
    </row>
    <row r="2719" spans="15:16" ht="12.75" customHeight="1">
      <c r="O2719" s="211"/>
      <c r="P2719" s="211"/>
    </row>
    <row r="2720" spans="15:16" ht="12.75" customHeight="1">
      <c r="O2720" s="211"/>
      <c r="P2720" s="211"/>
    </row>
    <row r="2721" spans="15:16" ht="12.75" customHeight="1">
      <c r="O2721" s="211"/>
      <c r="P2721" s="211"/>
    </row>
    <row r="2722" spans="15:16" ht="12.75" customHeight="1">
      <c r="O2722" s="211"/>
      <c r="P2722" s="211"/>
    </row>
    <row r="2723" spans="15:16" ht="12.75" customHeight="1">
      <c r="O2723" s="211"/>
      <c r="P2723" s="211"/>
    </row>
    <row r="2724" spans="15:16" ht="12.75" customHeight="1">
      <c r="O2724" s="211"/>
      <c r="P2724" s="211"/>
    </row>
    <row r="2725" spans="15:16" ht="12.75" customHeight="1">
      <c r="O2725" s="211"/>
      <c r="P2725" s="211"/>
    </row>
    <row r="2726" spans="15:16" ht="12.75" customHeight="1">
      <c r="O2726" s="211"/>
      <c r="P2726" s="211"/>
    </row>
    <row r="2727" spans="15:16" ht="12.75" customHeight="1">
      <c r="O2727" s="211"/>
      <c r="P2727" s="211"/>
    </row>
    <row r="2728" spans="15:16" ht="12.75" customHeight="1">
      <c r="O2728" s="211"/>
      <c r="P2728" s="211"/>
    </row>
    <row r="2729" spans="15:16" ht="12.75" customHeight="1">
      <c r="O2729" s="211"/>
      <c r="P2729" s="211"/>
    </row>
    <row r="2730" spans="15:16" ht="12.75" customHeight="1">
      <c r="O2730" s="211"/>
      <c r="P2730" s="211"/>
    </row>
    <row r="2731" spans="15:16" ht="12.75" customHeight="1">
      <c r="O2731" s="211"/>
      <c r="P2731" s="211"/>
    </row>
    <row r="2732" spans="15:16" ht="12.75" customHeight="1">
      <c r="O2732" s="211"/>
      <c r="P2732" s="211"/>
    </row>
    <row r="2733" spans="15:16" ht="12.75" customHeight="1">
      <c r="O2733" s="211"/>
      <c r="P2733" s="211"/>
    </row>
    <row r="2734" spans="15:16" ht="12.75" customHeight="1">
      <c r="O2734" s="211"/>
      <c r="P2734" s="211"/>
    </row>
    <row r="2735" spans="15:16" ht="12.75" customHeight="1">
      <c r="O2735" s="211"/>
      <c r="P2735" s="211"/>
    </row>
    <row r="2736" spans="15:16" ht="12.75" customHeight="1">
      <c r="O2736" s="211"/>
      <c r="P2736" s="211"/>
    </row>
    <row r="2737" spans="15:16" ht="12.75" customHeight="1">
      <c r="O2737" s="211"/>
      <c r="P2737" s="211"/>
    </row>
    <row r="2738" spans="15:16" ht="12.75" customHeight="1">
      <c r="O2738" s="211"/>
      <c r="P2738" s="211"/>
    </row>
    <row r="2739" spans="15:16" ht="12.75" customHeight="1">
      <c r="O2739" s="211"/>
      <c r="P2739" s="211"/>
    </row>
    <row r="2740" spans="15:16" ht="12.75" customHeight="1">
      <c r="O2740" s="211"/>
      <c r="P2740" s="211"/>
    </row>
    <row r="2741" spans="15:16" ht="12.75" customHeight="1">
      <c r="O2741" s="211"/>
      <c r="P2741" s="211"/>
    </row>
    <row r="2742" spans="15:16" ht="12.75" customHeight="1">
      <c r="O2742" s="211"/>
      <c r="P2742" s="211"/>
    </row>
    <row r="2743" spans="15:16" ht="12.75" customHeight="1">
      <c r="O2743" s="211"/>
      <c r="P2743" s="211"/>
    </row>
    <row r="2744" spans="15:16" ht="12.75" customHeight="1">
      <c r="O2744" s="211"/>
      <c r="P2744" s="211"/>
    </row>
    <row r="2745" spans="15:16" ht="12.75" customHeight="1">
      <c r="O2745" s="211"/>
      <c r="P2745" s="211"/>
    </row>
    <row r="2746" spans="15:16" ht="12.75" customHeight="1">
      <c r="O2746" s="211"/>
      <c r="P2746" s="211"/>
    </row>
    <row r="2747" spans="15:16" ht="12.75" customHeight="1">
      <c r="O2747" s="211"/>
      <c r="P2747" s="211"/>
    </row>
    <row r="2748" spans="15:16" ht="12.75" customHeight="1">
      <c r="O2748" s="211"/>
      <c r="P2748" s="211"/>
    </row>
    <row r="2749" spans="15:16" ht="12.75" customHeight="1">
      <c r="O2749" s="211"/>
      <c r="P2749" s="211"/>
    </row>
    <row r="2750" spans="15:16" ht="12.75" customHeight="1">
      <c r="O2750" s="211"/>
      <c r="P2750" s="211"/>
    </row>
    <row r="2751" spans="15:16" ht="12.75" customHeight="1">
      <c r="O2751" s="211"/>
      <c r="P2751" s="211"/>
    </row>
    <row r="2752" spans="15:16" ht="12.75" customHeight="1">
      <c r="O2752" s="211"/>
      <c r="P2752" s="211"/>
    </row>
    <row r="2753" spans="15:16" ht="12.75" customHeight="1">
      <c r="O2753" s="211"/>
      <c r="P2753" s="211"/>
    </row>
    <row r="2754" spans="15:16" ht="12.75" customHeight="1">
      <c r="O2754" s="211"/>
      <c r="P2754" s="211"/>
    </row>
    <row r="2755" spans="15:16" ht="12.75" customHeight="1">
      <c r="O2755" s="211"/>
      <c r="P2755" s="211"/>
    </row>
    <row r="2756" spans="15:16" ht="12.75" customHeight="1">
      <c r="O2756" s="211"/>
      <c r="P2756" s="211"/>
    </row>
    <row r="2757" spans="15:16" ht="12.75" customHeight="1">
      <c r="O2757" s="211"/>
      <c r="P2757" s="211"/>
    </row>
    <row r="2758" spans="15:16" ht="12.75" customHeight="1">
      <c r="O2758" s="211"/>
      <c r="P2758" s="211"/>
    </row>
    <row r="2759" spans="15:16" ht="12.75" customHeight="1">
      <c r="O2759" s="211"/>
      <c r="P2759" s="211"/>
    </row>
    <row r="2760" spans="15:16" ht="12.75" customHeight="1">
      <c r="O2760" s="211"/>
      <c r="P2760" s="211"/>
    </row>
    <row r="2761" spans="15:16" ht="12.75" customHeight="1">
      <c r="O2761" s="211"/>
      <c r="P2761" s="211"/>
    </row>
    <row r="2762" spans="15:16" ht="12.75" customHeight="1">
      <c r="O2762" s="211"/>
      <c r="P2762" s="211"/>
    </row>
    <row r="2763" spans="15:16" ht="12.75" customHeight="1">
      <c r="O2763" s="211"/>
      <c r="P2763" s="211"/>
    </row>
    <row r="2764" spans="15:16" ht="12.75" customHeight="1">
      <c r="O2764" s="211"/>
      <c r="P2764" s="211"/>
    </row>
    <row r="2765" spans="15:16" ht="12.75" customHeight="1">
      <c r="O2765" s="211"/>
      <c r="P2765" s="211"/>
    </row>
    <row r="2766" spans="15:16" ht="12.75" customHeight="1">
      <c r="O2766" s="211"/>
      <c r="P2766" s="211"/>
    </row>
    <row r="2767" spans="15:16" ht="12.75" customHeight="1">
      <c r="O2767" s="211"/>
      <c r="P2767" s="211"/>
    </row>
    <row r="2768" spans="15:16" ht="12.75" customHeight="1">
      <c r="O2768" s="211"/>
      <c r="P2768" s="211"/>
    </row>
    <row r="2769" spans="15:16" ht="12.75" customHeight="1">
      <c r="O2769" s="211"/>
      <c r="P2769" s="211"/>
    </row>
    <row r="2770" spans="15:16" ht="12.75" customHeight="1">
      <c r="O2770" s="211"/>
      <c r="P2770" s="211"/>
    </row>
    <row r="2771" spans="15:16" ht="12.75" customHeight="1">
      <c r="O2771" s="211"/>
      <c r="P2771" s="211"/>
    </row>
    <row r="2772" spans="15:16" ht="12.75" customHeight="1">
      <c r="O2772" s="211"/>
      <c r="P2772" s="211"/>
    </row>
    <row r="2773" spans="15:16" ht="12.75" customHeight="1">
      <c r="O2773" s="211"/>
      <c r="P2773" s="211"/>
    </row>
    <row r="2774" spans="15:16" ht="12.75" customHeight="1">
      <c r="O2774" s="211"/>
      <c r="P2774" s="211"/>
    </row>
    <row r="2775" spans="15:16" ht="12.75" customHeight="1">
      <c r="O2775" s="211"/>
      <c r="P2775" s="211"/>
    </row>
    <row r="2776" spans="15:16" ht="12.75" customHeight="1">
      <c r="O2776" s="211"/>
      <c r="P2776" s="211"/>
    </row>
    <row r="2777" spans="15:16" ht="12.75" customHeight="1">
      <c r="O2777" s="211"/>
      <c r="P2777" s="211"/>
    </row>
    <row r="2778" spans="15:16" ht="12.75" customHeight="1">
      <c r="O2778" s="211"/>
      <c r="P2778" s="211"/>
    </row>
    <row r="2779" spans="15:16" ht="12.75" customHeight="1">
      <c r="O2779" s="211"/>
      <c r="P2779" s="211"/>
    </row>
    <row r="2780" spans="15:16" ht="12.75" customHeight="1">
      <c r="O2780" s="211"/>
      <c r="P2780" s="211"/>
    </row>
    <row r="2781" spans="15:16" ht="12.75" customHeight="1">
      <c r="O2781" s="211"/>
      <c r="P2781" s="211"/>
    </row>
    <row r="2782" spans="15:16" ht="12.75" customHeight="1">
      <c r="O2782" s="211"/>
      <c r="P2782" s="211"/>
    </row>
    <row r="2783" spans="15:16" ht="12.75" customHeight="1">
      <c r="O2783" s="211"/>
      <c r="P2783" s="211"/>
    </row>
    <row r="2784" spans="15:16" ht="12.75" customHeight="1">
      <c r="O2784" s="211"/>
      <c r="P2784" s="211"/>
    </row>
    <row r="2785" spans="15:16" ht="12.75" customHeight="1">
      <c r="O2785" s="211"/>
      <c r="P2785" s="211"/>
    </row>
    <row r="2786" spans="15:16" ht="12.75" customHeight="1">
      <c r="O2786" s="211"/>
      <c r="P2786" s="211"/>
    </row>
    <row r="2787" spans="15:16" ht="12.75" customHeight="1">
      <c r="O2787" s="211"/>
      <c r="P2787" s="211"/>
    </row>
    <row r="2788" spans="15:16" ht="12.75" customHeight="1">
      <c r="O2788" s="211"/>
      <c r="P2788" s="211"/>
    </row>
    <row r="2789" spans="15:16" ht="12.75" customHeight="1">
      <c r="O2789" s="211"/>
      <c r="P2789" s="211"/>
    </row>
    <row r="2790" spans="15:16" ht="12.75" customHeight="1">
      <c r="O2790" s="211"/>
      <c r="P2790" s="211"/>
    </row>
    <row r="2791" spans="15:16" ht="12.75" customHeight="1">
      <c r="O2791" s="211"/>
      <c r="P2791" s="211"/>
    </row>
    <row r="2792" spans="15:16" ht="12.75" customHeight="1">
      <c r="O2792" s="211"/>
      <c r="P2792" s="211"/>
    </row>
    <row r="2793" spans="15:16" ht="12.75" customHeight="1">
      <c r="O2793" s="211"/>
      <c r="P2793" s="211"/>
    </row>
    <row r="2794" spans="15:16" ht="12.75" customHeight="1">
      <c r="O2794" s="211"/>
      <c r="P2794" s="211"/>
    </row>
    <row r="2795" spans="15:16" ht="12.75" customHeight="1">
      <c r="O2795" s="211"/>
      <c r="P2795" s="211"/>
    </row>
    <row r="2796" spans="15:16" ht="12.75" customHeight="1">
      <c r="O2796" s="211"/>
      <c r="P2796" s="211"/>
    </row>
    <row r="2797" spans="15:16" ht="12.75" customHeight="1">
      <c r="O2797" s="211"/>
      <c r="P2797" s="211"/>
    </row>
    <row r="2798" spans="15:16" ht="12.75" customHeight="1">
      <c r="O2798" s="211"/>
      <c r="P2798" s="211"/>
    </row>
    <row r="2799" spans="15:16" ht="12.75" customHeight="1">
      <c r="O2799" s="211"/>
      <c r="P2799" s="211"/>
    </row>
    <row r="2800" spans="15:16" ht="12.75" customHeight="1">
      <c r="O2800" s="211"/>
      <c r="P2800" s="211"/>
    </row>
    <row r="2801" spans="15:16" ht="12.75" customHeight="1">
      <c r="O2801" s="211"/>
      <c r="P2801" s="211"/>
    </row>
    <row r="2802" spans="15:16" ht="12.75" customHeight="1">
      <c r="O2802" s="211"/>
      <c r="P2802" s="211"/>
    </row>
    <row r="2803" spans="15:16" ht="12.75" customHeight="1">
      <c r="O2803" s="211"/>
      <c r="P2803" s="211"/>
    </row>
    <row r="2804" spans="15:16" ht="12.75" customHeight="1">
      <c r="O2804" s="211"/>
      <c r="P2804" s="211"/>
    </row>
    <row r="2805" spans="15:16" ht="12.75" customHeight="1">
      <c r="O2805" s="211"/>
      <c r="P2805" s="211"/>
    </row>
    <row r="2806" spans="15:16" ht="12.75" customHeight="1">
      <c r="O2806" s="211"/>
      <c r="P2806" s="211"/>
    </row>
    <row r="2807" spans="15:16" ht="12.75" customHeight="1">
      <c r="O2807" s="211"/>
      <c r="P2807" s="211"/>
    </row>
    <row r="2808" spans="15:16" ht="12.75" customHeight="1">
      <c r="O2808" s="211"/>
      <c r="P2808" s="211"/>
    </row>
    <row r="2809" spans="15:16" ht="12.75" customHeight="1">
      <c r="O2809" s="211"/>
      <c r="P2809" s="211"/>
    </row>
    <row r="2810" spans="15:16" ht="12.75" customHeight="1">
      <c r="O2810" s="211"/>
      <c r="P2810" s="211"/>
    </row>
    <row r="2811" spans="15:16" ht="12.75" customHeight="1">
      <c r="O2811" s="211"/>
      <c r="P2811" s="211"/>
    </row>
    <row r="2812" spans="15:16" ht="12.75" customHeight="1">
      <c r="O2812" s="211"/>
      <c r="P2812" s="211"/>
    </row>
    <row r="2813" spans="15:16" ht="12.75" customHeight="1">
      <c r="O2813" s="211"/>
      <c r="P2813" s="211"/>
    </row>
    <row r="2814" spans="15:16" ht="12.75" customHeight="1">
      <c r="O2814" s="211"/>
      <c r="P2814" s="211"/>
    </row>
    <row r="2815" spans="15:16" ht="12.75" customHeight="1">
      <c r="O2815" s="211"/>
      <c r="P2815" s="211"/>
    </row>
    <row r="2816" spans="15:16" ht="12.75" customHeight="1">
      <c r="O2816" s="211"/>
      <c r="P2816" s="211"/>
    </row>
    <row r="2817" spans="15:16" ht="12.75" customHeight="1">
      <c r="O2817" s="211"/>
      <c r="P2817" s="211"/>
    </row>
    <row r="2818" spans="15:16" ht="12.75" customHeight="1">
      <c r="O2818" s="211"/>
      <c r="P2818" s="211"/>
    </row>
    <row r="2819" spans="15:16" ht="12.75" customHeight="1">
      <c r="O2819" s="211"/>
      <c r="P2819" s="211"/>
    </row>
    <row r="2820" spans="15:16" ht="12.75" customHeight="1">
      <c r="O2820" s="211"/>
      <c r="P2820" s="211"/>
    </row>
    <row r="2821" spans="15:16" ht="12.75" customHeight="1">
      <c r="O2821" s="211"/>
      <c r="P2821" s="211"/>
    </row>
    <row r="2822" spans="15:16" ht="12.75" customHeight="1">
      <c r="O2822" s="211"/>
      <c r="P2822" s="211"/>
    </row>
    <row r="2823" spans="15:16" ht="12.75" customHeight="1">
      <c r="O2823" s="211"/>
      <c r="P2823" s="211"/>
    </row>
    <row r="2824" spans="15:16" ht="12.75" customHeight="1">
      <c r="O2824" s="211"/>
      <c r="P2824" s="211"/>
    </row>
    <row r="2825" spans="15:16" ht="12.75" customHeight="1">
      <c r="O2825" s="211"/>
      <c r="P2825" s="211"/>
    </row>
    <row r="2826" spans="15:16" ht="12.75" customHeight="1">
      <c r="O2826" s="211"/>
      <c r="P2826" s="211"/>
    </row>
    <row r="2827" spans="15:16" ht="12.75" customHeight="1">
      <c r="O2827" s="211"/>
      <c r="P2827" s="211"/>
    </row>
    <row r="2828" spans="15:16" ht="12.75" customHeight="1">
      <c r="O2828" s="211"/>
      <c r="P2828" s="211"/>
    </row>
    <row r="2829" spans="15:16" ht="12.75" customHeight="1">
      <c r="O2829" s="211"/>
      <c r="P2829" s="211"/>
    </row>
    <row r="2830" spans="15:16" ht="12.75" customHeight="1">
      <c r="O2830" s="211"/>
      <c r="P2830" s="211"/>
    </row>
    <row r="2831" spans="15:16" ht="12.75" customHeight="1">
      <c r="O2831" s="211"/>
      <c r="P2831" s="211"/>
    </row>
    <row r="2832" spans="15:16" ht="12.75" customHeight="1">
      <c r="O2832" s="211"/>
      <c r="P2832" s="211"/>
    </row>
    <row r="2833" spans="15:16" ht="12.75" customHeight="1">
      <c r="O2833" s="211"/>
      <c r="P2833" s="211"/>
    </row>
    <row r="2834" spans="15:16" ht="12.75" customHeight="1">
      <c r="O2834" s="211"/>
      <c r="P2834" s="211"/>
    </row>
    <row r="2835" spans="15:16" ht="12.75" customHeight="1">
      <c r="O2835" s="211"/>
      <c r="P2835" s="211"/>
    </row>
    <row r="2836" spans="15:16" ht="12.75" customHeight="1">
      <c r="O2836" s="211"/>
      <c r="P2836" s="211"/>
    </row>
    <row r="2837" spans="15:16" ht="12.75" customHeight="1">
      <c r="O2837" s="211"/>
      <c r="P2837" s="211"/>
    </row>
    <row r="2838" spans="15:16" ht="12.75" customHeight="1">
      <c r="O2838" s="211"/>
      <c r="P2838" s="211"/>
    </row>
    <row r="2839" spans="15:16" ht="12.75" customHeight="1">
      <c r="O2839" s="211"/>
      <c r="P2839" s="211"/>
    </row>
    <row r="2840" spans="15:16" ht="12.75" customHeight="1">
      <c r="O2840" s="211"/>
      <c r="P2840" s="211"/>
    </row>
    <row r="2841" spans="15:16" ht="12.75" customHeight="1">
      <c r="O2841" s="211"/>
      <c r="P2841" s="211"/>
    </row>
    <row r="2842" spans="15:16" ht="12.75" customHeight="1">
      <c r="O2842" s="211"/>
      <c r="P2842" s="211"/>
    </row>
    <row r="2843" spans="15:16" ht="12.75" customHeight="1">
      <c r="O2843" s="211"/>
      <c r="P2843" s="211"/>
    </row>
    <row r="2844" spans="15:16" ht="12.75" customHeight="1">
      <c r="O2844" s="211"/>
      <c r="P2844" s="211"/>
    </row>
    <row r="2845" spans="15:16" ht="12.75" customHeight="1">
      <c r="O2845" s="211"/>
      <c r="P2845" s="211"/>
    </row>
    <row r="2846" spans="15:16" ht="12.75" customHeight="1">
      <c r="O2846" s="211"/>
      <c r="P2846" s="211"/>
    </row>
    <row r="2847" spans="15:16" ht="12.75" customHeight="1">
      <c r="O2847" s="211"/>
      <c r="P2847" s="211"/>
    </row>
    <row r="2848" spans="15:16" ht="12.75" customHeight="1">
      <c r="O2848" s="211"/>
      <c r="P2848" s="211"/>
    </row>
    <row r="2849" spans="15:16" ht="12.75" customHeight="1">
      <c r="O2849" s="211"/>
      <c r="P2849" s="211"/>
    </row>
    <row r="2850" spans="15:16" ht="12.75" customHeight="1">
      <c r="O2850" s="211"/>
      <c r="P2850" s="211"/>
    </row>
    <row r="2851" spans="15:16" ht="12.75" customHeight="1">
      <c r="O2851" s="211"/>
      <c r="P2851" s="211"/>
    </row>
    <row r="2852" spans="15:16" ht="12.75" customHeight="1">
      <c r="O2852" s="211"/>
      <c r="P2852" s="211"/>
    </row>
    <row r="2853" spans="15:16" ht="12.75" customHeight="1">
      <c r="O2853" s="211"/>
      <c r="P2853" s="211"/>
    </row>
    <row r="2854" spans="15:16" ht="12.75" customHeight="1">
      <c r="O2854" s="211"/>
      <c r="P2854" s="211"/>
    </row>
    <row r="2855" spans="15:16" ht="12.75" customHeight="1">
      <c r="O2855" s="211"/>
      <c r="P2855" s="211"/>
    </row>
    <row r="2856" spans="15:16" ht="12.75" customHeight="1">
      <c r="O2856" s="211"/>
      <c r="P2856" s="211"/>
    </row>
    <row r="2857" spans="15:16" ht="12.75" customHeight="1">
      <c r="O2857" s="211"/>
      <c r="P2857" s="211"/>
    </row>
    <row r="2858" spans="15:16" ht="12.75" customHeight="1">
      <c r="O2858" s="211"/>
      <c r="P2858" s="211"/>
    </row>
    <row r="2859" spans="15:16" ht="12.75" customHeight="1">
      <c r="O2859" s="211"/>
      <c r="P2859" s="211"/>
    </row>
    <row r="2860" spans="15:16" ht="12.75" customHeight="1">
      <c r="O2860" s="211"/>
      <c r="P2860" s="211"/>
    </row>
    <row r="2861" spans="15:16" ht="12.75" customHeight="1">
      <c r="O2861" s="211"/>
      <c r="P2861" s="211"/>
    </row>
    <row r="2862" spans="15:16" ht="12.75" customHeight="1">
      <c r="O2862" s="211"/>
      <c r="P2862" s="211"/>
    </row>
    <row r="2863" spans="15:16" ht="12.75" customHeight="1">
      <c r="O2863" s="211"/>
      <c r="P2863" s="211"/>
    </row>
    <row r="2864" spans="15:16" ht="12.75" customHeight="1">
      <c r="O2864" s="211"/>
      <c r="P2864" s="211"/>
    </row>
    <row r="2865" spans="15:16" ht="12.75" customHeight="1">
      <c r="O2865" s="211"/>
      <c r="P2865" s="211"/>
    </row>
    <row r="2866" spans="15:16" ht="12.75" customHeight="1">
      <c r="O2866" s="211"/>
      <c r="P2866" s="211"/>
    </row>
    <row r="2867" spans="15:16" ht="12.75" customHeight="1">
      <c r="O2867" s="211"/>
      <c r="P2867" s="211"/>
    </row>
    <row r="2868" spans="15:16" ht="12.75" customHeight="1">
      <c r="O2868" s="211"/>
      <c r="P2868" s="211"/>
    </row>
    <row r="2869" spans="15:16" ht="12.75" customHeight="1">
      <c r="O2869" s="211"/>
      <c r="P2869" s="211"/>
    </row>
    <row r="2870" spans="15:16" ht="12.75" customHeight="1">
      <c r="O2870" s="211"/>
      <c r="P2870" s="211"/>
    </row>
    <row r="2871" spans="15:16" ht="12.75" customHeight="1">
      <c r="O2871" s="211"/>
      <c r="P2871" s="211"/>
    </row>
    <row r="2872" spans="15:16" ht="12.75" customHeight="1">
      <c r="O2872" s="211"/>
      <c r="P2872" s="211"/>
    </row>
    <row r="2873" spans="15:16" ht="12.75" customHeight="1">
      <c r="O2873" s="211"/>
      <c r="P2873" s="211"/>
    </row>
    <row r="2874" spans="15:16" ht="12.75" customHeight="1">
      <c r="O2874" s="211"/>
      <c r="P2874" s="211"/>
    </row>
    <row r="2875" spans="15:16" ht="12.75" customHeight="1">
      <c r="O2875" s="211"/>
      <c r="P2875" s="211"/>
    </row>
    <row r="2876" spans="15:16" ht="12.75" customHeight="1">
      <c r="O2876" s="211"/>
      <c r="P2876" s="211"/>
    </row>
    <row r="2877" spans="15:16" ht="12.75" customHeight="1">
      <c r="O2877" s="211"/>
      <c r="P2877" s="211"/>
    </row>
    <row r="2878" spans="15:16" ht="12.75" customHeight="1">
      <c r="O2878" s="211"/>
      <c r="P2878" s="211"/>
    </row>
    <row r="2879" spans="15:16" ht="12.75" customHeight="1">
      <c r="O2879" s="211"/>
      <c r="P2879" s="211"/>
    </row>
    <row r="2880" spans="15:16" ht="12.75" customHeight="1">
      <c r="O2880" s="211"/>
      <c r="P2880" s="211"/>
    </row>
    <row r="2881" spans="15:16" ht="12.75" customHeight="1">
      <c r="O2881" s="211"/>
      <c r="P2881" s="211"/>
    </row>
    <row r="2882" spans="15:16" ht="12.75" customHeight="1">
      <c r="O2882" s="211"/>
      <c r="P2882" s="211"/>
    </row>
    <row r="2883" spans="15:16" ht="12.75" customHeight="1">
      <c r="O2883" s="211"/>
      <c r="P2883" s="211"/>
    </row>
    <row r="2884" spans="15:16" ht="12.75" customHeight="1">
      <c r="O2884" s="211"/>
      <c r="P2884" s="211"/>
    </row>
    <row r="2885" spans="15:16" ht="12.75" customHeight="1">
      <c r="O2885" s="211"/>
      <c r="P2885" s="211"/>
    </row>
    <row r="2886" spans="15:16" ht="12.75" customHeight="1">
      <c r="O2886" s="211"/>
      <c r="P2886" s="211"/>
    </row>
    <row r="2887" spans="15:16" ht="12.75" customHeight="1">
      <c r="O2887" s="211"/>
      <c r="P2887" s="211"/>
    </row>
    <row r="2888" spans="15:16" ht="12.75" customHeight="1">
      <c r="O2888" s="211"/>
      <c r="P2888" s="211"/>
    </row>
    <row r="2889" spans="15:16" ht="12.75" customHeight="1">
      <c r="O2889" s="211"/>
      <c r="P2889" s="211"/>
    </row>
    <row r="2890" spans="15:16" ht="12.75" customHeight="1">
      <c r="O2890" s="211"/>
      <c r="P2890" s="211"/>
    </row>
    <row r="2891" spans="15:16" ht="12.75" customHeight="1">
      <c r="O2891" s="211"/>
      <c r="P2891" s="211"/>
    </row>
    <row r="2892" spans="15:16" ht="12.75" customHeight="1">
      <c r="O2892" s="211"/>
      <c r="P2892" s="211"/>
    </row>
    <row r="2893" spans="15:16" ht="12.75" customHeight="1">
      <c r="O2893" s="211"/>
      <c r="P2893" s="211"/>
    </row>
    <row r="2894" spans="15:16" ht="12.75" customHeight="1">
      <c r="O2894" s="211"/>
      <c r="P2894" s="211"/>
    </row>
    <row r="2895" spans="15:16" ht="12.75" customHeight="1">
      <c r="O2895" s="211"/>
      <c r="P2895" s="211"/>
    </row>
    <row r="2896" spans="15:16" ht="12.75" customHeight="1">
      <c r="O2896" s="211"/>
      <c r="P2896" s="211"/>
    </row>
    <row r="2897" spans="15:16" ht="12.75" customHeight="1">
      <c r="O2897" s="211"/>
      <c r="P2897" s="211"/>
    </row>
    <row r="2898" spans="15:16" ht="12.75" customHeight="1">
      <c r="O2898" s="211"/>
      <c r="P2898" s="211"/>
    </row>
    <row r="2899" spans="15:16" ht="12.75" customHeight="1">
      <c r="O2899" s="211"/>
      <c r="P2899" s="211"/>
    </row>
    <row r="2900" spans="15:16" ht="12.75" customHeight="1">
      <c r="O2900" s="211"/>
      <c r="P2900" s="211"/>
    </row>
    <row r="2901" spans="15:16" ht="12.75" customHeight="1">
      <c r="O2901" s="211"/>
      <c r="P2901" s="211"/>
    </row>
    <row r="2902" spans="15:16" ht="12.75" customHeight="1">
      <c r="O2902" s="211"/>
      <c r="P2902" s="211"/>
    </row>
    <row r="2903" spans="15:16" ht="12.75" customHeight="1">
      <c r="O2903" s="211"/>
      <c r="P2903" s="211"/>
    </row>
    <row r="2904" spans="15:16" ht="12.75" customHeight="1">
      <c r="O2904" s="211"/>
      <c r="P2904" s="211"/>
    </row>
    <row r="2905" spans="15:16" ht="12.75" customHeight="1">
      <c r="O2905" s="211"/>
      <c r="P2905" s="211"/>
    </row>
    <row r="2906" spans="15:16" ht="12.75" customHeight="1">
      <c r="O2906" s="211"/>
      <c r="P2906" s="211"/>
    </row>
    <row r="2907" spans="15:16" ht="12.75" customHeight="1">
      <c r="O2907" s="211"/>
      <c r="P2907" s="211"/>
    </row>
    <row r="2908" spans="15:16" ht="12.75" customHeight="1">
      <c r="O2908" s="211"/>
      <c r="P2908" s="211"/>
    </row>
    <row r="2909" spans="15:16" ht="12.75" customHeight="1">
      <c r="O2909" s="211"/>
      <c r="P2909" s="211"/>
    </row>
    <row r="2910" spans="15:16" ht="12.75" customHeight="1">
      <c r="O2910" s="211"/>
      <c r="P2910" s="211"/>
    </row>
    <row r="2911" spans="15:16" ht="12.75" customHeight="1">
      <c r="O2911" s="211"/>
      <c r="P2911" s="211"/>
    </row>
    <row r="2912" spans="15:16" ht="12.75" customHeight="1">
      <c r="O2912" s="211"/>
      <c r="P2912" s="211"/>
    </row>
    <row r="2913" spans="15:16" ht="12.75" customHeight="1">
      <c r="O2913" s="211"/>
      <c r="P2913" s="211"/>
    </row>
    <row r="2914" spans="15:16" ht="12.75" customHeight="1">
      <c r="O2914" s="211"/>
      <c r="P2914" s="211"/>
    </row>
    <row r="2915" spans="15:16" ht="12.75" customHeight="1">
      <c r="O2915" s="211"/>
      <c r="P2915" s="211"/>
    </row>
    <row r="2916" spans="15:16" ht="12.75" customHeight="1">
      <c r="O2916" s="211"/>
      <c r="P2916" s="211"/>
    </row>
    <row r="2917" spans="15:16" ht="12.75" customHeight="1">
      <c r="O2917" s="211"/>
      <c r="P2917" s="211"/>
    </row>
    <row r="2918" spans="15:16" ht="12.75" customHeight="1">
      <c r="O2918" s="211"/>
      <c r="P2918" s="211"/>
    </row>
    <row r="2919" spans="15:16" ht="12.75" customHeight="1">
      <c r="O2919" s="211"/>
      <c r="P2919" s="211"/>
    </row>
    <row r="2920" spans="15:16" ht="12.75" customHeight="1">
      <c r="O2920" s="211"/>
      <c r="P2920" s="211"/>
    </row>
    <row r="2921" spans="15:16" ht="12.75" customHeight="1">
      <c r="O2921" s="211"/>
      <c r="P2921" s="211"/>
    </row>
    <row r="2922" spans="15:16" ht="12.75" customHeight="1">
      <c r="O2922" s="211"/>
      <c r="P2922" s="211"/>
    </row>
    <row r="2923" spans="15:16" ht="12.75" customHeight="1">
      <c r="O2923" s="211"/>
      <c r="P2923" s="211"/>
    </row>
    <row r="2924" spans="15:16" ht="12.75" customHeight="1">
      <c r="O2924" s="211"/>
      <c r="P2924" s="211"/>
    </row>
    <row r="2925" spans="15:16" ht="12.75" customHeight="1">
      <c r="O2925" s="211"/>
      <c r="P2925" s="211"/>
    </row>
    <row r="2926" spans="15:16" ht="12.75" customHeight="1">
      <c r="O2926" s="211"/>
      <c r="P2926" s="211"/>
    </row>
    <row r="2927" spans="15:16" ht="12.75" customHeight="1">
      <c r="O2927" s="211"/>
      <c r="P2927" s="211"/>
    </row>
    <row r="2928" spans="15:16" ht="12.75" customHeight="1">
      <c r="O2928" s="211"/>
      <c r="P2928" s="211"/>
    </row>
    <row r="2929" spans="15:16" ht="12.75" customHeight="1">
      <c r="O2929" s="211"/>
      <c r="P2929" s="211"/>
    </row>
    <row r="2930" spans="15:16" ht="12.75" customHeight="1">
      <c r="O2930" s="211"/>
      <c r="P2930" s="211"/>
    </row>
    <row r="2931" spans="15:16" ht="12.75" customHeight="1">
      <c r="O2931" s="211"/>
      <c r="P2931" s="211"/>
    </row>
    <row r="2932" spans="15:16" ht="12.75" customHeight="1">
      <c r="O2932" s="211"/>
      <c r="P2932" s="211"/>
    </row>
    <row r="2933" spans="15:16" ht="12.75" customHeight="1">
      <c r="O2933" s="211"/>
      <c r="P2933" s="211"/>
    </row>
    <row r="2934" spans="15:16" ht="12.75" customHeight="1">
      <c r="O2934" s="211"/>
      <c r="P2934" s="211"/>
    </row>
    <row r="2935" spans="15:16" ht="12.75" customHeight="1">
      <c r="O2935" s="211"/>
      <c r="P2935" s="211"/>
    </row>
    <row r="2936" spans="15:16" ht="12.75" customHeight="1">
      <c r="O2936" s="211"/>
      <c r="P2936" s="211"/>
    </row>
    <row r="2937" spans="15:16" ht="12.75" customHeight="1">
      <c r="O2937" s="211"/>
      <c r="P2937" s="211"/>
    </row>
    <row r="2938" spans="15:16" ht="12.75" customHeight="1">
      <c r="O2938" s="211"/>
      <c r="P2938" s="211"/>
    </row>
    <row r="2939" spans="15:16" ht="12.75" customHeight="1">
      <c r="O2939" s="211"/>
      <c r="P2939" s="211"/>
    </row>
    <row r="2940" spans="15:16" ht="12.75" customHeight="1">
      <c r="O2940" s="211"/>
      <c r="P2940" s="211"/>
    </row>
    <row r="2941" spans="15:16" ht="12.75" customHeight="1">
      <c r="O2941" s="211"/>
      <c r="P2941" s="211"/>
    </row>
    <row r="2942" spans="15:16" ht="12.75" customHeight="1">
      <c r="O2942" s="211"/>
      <c r="P2942" s="211"/>
    </row>
    <row r="2943" spans="15:16" ht="12.75" customHeight="1">
      <c r="O2943" s="211"/>
      <c r="P2943" s="211"/>
    </row>
    <row r="2944" spans="15:16" ht="12.75" customHeight="1">
      <c r="O2944" s="211"/>
      <c r="P2944" s="211"/>
    </row>
    <row r="2945" spans="15:16" ht="12.75" customHeight="1">
      <c r="O2945" s="211"/>
      <c r="P2945" s="211"/>
    </row>
    <row r="2946" spans="15:16" ht="12.75" customHeight="1">
      <c r="O2946" s="211"/>
      <c r="P2946" s="211"/>
    </row>
    <row r="2947" spans="15:16" ht="12.75" customHeight="1">
      <c r="O2947" s="211"/>
      <c r="P2947" s="211"/>
    </row>
    <row r="2948" spans="15:16" ht="12.75" customHeight="1">
      <c r="O2948" s="211"/>
      <c r="P2948" s="211"/>
    </row>
    <row r="2949" spans="15:16" ht="12.75" customHeight="1">
      <c r="O2949" s="211"/>
      <c r="P2949" s="211"/>
    </row>
    <row r="2950" spans="15:16" ht="12.75" customHeight="1">
      <c r="O2950" s="211"/>
      <c r="P2950" s="211"/>
    </row>
    <row r="2951" spans="15:16" ht="12.75" customHeight="1">
      <c r="O2951" s="211"/>
      <c r="P2951" s="211"/>
    </row>
    <row r="2952" spans="15:16" ht="12.75" customHeight="1">
      <c r="O2952" s="211"/>
      <c r="P2952" s="211"/>
    </row>
    <row r="2953" spans="15:16" ht="12.75" customHeight="1">
      <c r="O2953" s="211"/>
      <c r="P2953" s="211"/>
    </row>
    <row r="2954" spans="15:16" ht="12.75" customHeight="1">
      <c r="O2954" s="211"/>
      <c r="P2954" s="211"/>
    </row>
    <row r="2955" spans="15:16" ht="12.75" customHeight="1">
      <c r="O2955" s="211"/>
      <c r="P2955" s="211"/>
    </row>
    <row r="2956" spans="15:16" ht="12.75" customHeight="1">
      <c r="O2956" s="211"/>
      <c r="P2956" s="211"/>
    </row>
    <row r="2957" spans="15:16" ht="12.75" customHeight="1">
      <c r="O2957" s="211"/>
      <c r="P2957" s="211"/>
    </row>
    <row r="2958" spans="15:16" ht="12.75" customHeight="1">
      <c r="O2958" s="211"/>
      <c r="P2958" s="211"/>
    </row>
    <row r="2959" spans="15:16" ht="12.75" customHeight="1">
      <c r="O2959" s="211"/>
      <c r="P2959" s="211"/>
    </row>
    <row r="2960" spans="15:16" ht="12.75" customHeight="1">
      <c r="O2960" s="211"/>
      <c r="P2960" s="211"/>
    </row>
    <row r="2961" spans="15:16" ht="12.75" customHeight="1">
      <c r="O2961" s="211"/>
      <c r="P2961" s="211"/>
    </row>
    <row r="2962" spans="15:16" ht="12.75" customHeight="1">
      <c r="O2962" s="211"/>
      <c r="P2962" s="211"/>
    </row>
    <row r="2963" spans="15:16" ht="12.75" customHeight="1">
      <c r="O2963" s="211"/>
      <c r="P2963" s="211"/>
    </row>
    <row r="2964" spans="15:16" ht="12.75" customHeight="1">
      <c r="O2964" s="211"/>
      <c r="P2964" s="211"/>
    </row>
    <row r="2965" spans="15:16" ht="12.75" customHeight="1">
      <c r="O2965" s="211"/>
      <c r="P2965" s="211"/>
    </row>
    <row r="2966" spans="15:16" ht="12.75" customHeight="1">
      <c r="O2966" s="211"/>
      <c r="P2966" s="211"/>
    </row>
    <row r="2967" spans="15:16" ht="12.75" customHeight="1">
      <c r="O2967" s="211"/>
      <c r="P2967" s="211"/>
    </row>
    <row r="2968" spans="15:16" ht="12.75" customHeight="1">
      <c r="O2968" s="211"/>
      <c r="P2968" s="211"/>
    </row>
    <row r="2969" spans="15:16" ht="12.75" customHeight="1">
      <c r="O2969" s="211"/>
      <c r="P2969" s="211"/>
    </row>
    <row r="2970" spans="15:16" ht="12.75" customHeight="1">
      <c r="O2970" s="211"/>
      <c r="P2970" s="211"/>
    </row>
    <row r="2971" spans="15:16" ht="12.75" customHeight="1">
      <c r="O2971" s="211"/>
      <c r="P2971" s="211"/>
    </row>
    <row r="2972" spans="15:16" ht="12.75" customHeight="1">
      <c r="O2972" s="211"/>
      <c r="P2972" s="211"/>
    </row>
    <row r="2973" spans="15:16" ht="12.75" customHeight="1">
      <c r="O2973" s="211"/>
      <c r="P2973" s="211"/>
    </row>
    <row r="2974" spans="15:16" ht="12.75" customHeight="1">
      <c r="O2974" s="211"/>
      <c r="P2974" s="211"/>
    </row>
    <row r="2975" spans="15:16" ht="12.75" customHeight="1">
      <c r="O2975" s="211"/>
      <c r="P2975" s="211"/>
    </row>
    <row r="2976" spans="15:16" ht="12.75" customHeight="1">
      <c r="O2976" s="211"/>
      <c r="P2976" s="211"/>
    </row>
    <row r="2977" spans="15:16" ht="12.75" customHeight="1">
      <c r="O2977" s="211"/>
      <c r="P2977" s="211"/>
    </row>
    <row r="2978" spans="15:16" ht="12.75" customHeight="1">
      <c r="O2978" s="211"/>
      <c r="P2978" s="211"/>
    </row>
    <row r="2979" spans="15:16" ht="12.75" customHeight="1">
      <c r="O2979" s="211"/>
      <c r="P2979" s="211"/>
    </row>
    <row r="2980" spans="15:16" ht="12.75" customHeight="1">
      <c r="O2980" s="211"/>
      <c r="P2980" s="211"/>
    </row>
    <row r="2981" spans="15:16" ht="12.75" customHeight="1">
      <c r="O2981" s="211"/>
      <c r="P2981" s="211"/>
    </row>
    <row r="2982" spans="15:16" ht="12.75" customHeight="1">
      <c r="O2982" s="211"/>
      <c r="P2982" s="211"/>
    </row>
    <row r="2983" spans="15:16" ht="12.75" customHeight="1">
      <c r="O2983" s="211"/>
      <c r="P2983" s="211"/>
    </row>
    <row r="2984" spans="15:16" ht="12.75" customHeight="1">
      <c r="O2984" s="211"/>
      <c r="P2984" s="211"/>
    </row>
    <row r="2985" spans="15:16" ht="12.75" customHeight="1">
      <c r="O2985" s="211"/>
      <c r="P2985" s="211"/>
    </row>
    <row r="2986" spans="15:16" ht="12.75" customHeight="1">
      <c r="O2986" s="211"/>
      <c r="P2986" s="211"/>
    </row>
    <row r="2987" spans="15:16" ht="12.75" customHeight="1">
      <c r="O2987" s="211"/>
      <c r="P2987" s="211"/>
    </row>
    <row r="2988" spans="15:16" ht="12.75" customHeight="1">
      <c r="O2988" s="211"/>
      <c r="P2988" s="211"/>
    </row>
    <row r="2989" spans="15:16" ht="12.75" customHeight="1">
      <c r="O2989" s="211"/>
      <c r="P2989" s="211"/>
    </row>
    <row r="2990" spans="15:16" ht="12.75" customHeight="1">
      <c r="O2990" s="211"/>
      <c r="P2990" s="211"/>
    </row>
    <row r="2991" spans="15:16" ht="12.75" customHeight="1">
      <c r="O2991" s="211"/>
      <c r="P2991" s="211"/>
    </row>
    <row r="2992" spans="15:16" ht="12.75" customHeight="1">
      <c r="O2992" s="211"/>
      <c r="P2992" s="211"/>
    </row>
    <row r="2993" spans="15:16" ht="12.75" customHeight="1">
      <c r="O2993" s="211"/>
      <c r="P2993" s="211"/>
    </row>
    <row r="2994" spans="15:16" ht="12.75" customHeight="1">
      <c r="O2994" s="211"/>
      <c r="P2994" s="211"/>
    </row>
    <row r="2995" spans="15:16" ht="12.75" customHeight="1">
      <c r="O2995" s="211"/>
      <c r="P2995" s="211"/>
    </row>
    <row r="2996" spans="15:16" ht="12.75" customHeight="1">
      <c r="O2996" s="211"/>
      <c r="P2996" s="211"/>
    </row>
    <row r="2997" spans="15:16" ht="12.75" customHeight="1">
      <c r="O2997" s="211"/>
      <c r="P2997" s="211"/>
    </row>
    <row r="2998" spans="15:16" ht="12.75" customHeight="1">
      <c r="O2998" s="211"/>
      <c r="P2998" s="211"/>
    </row>
    <row r="2999" spans="15:16" ht="12.75" customHeight="1">
      <c r="O2999" s="211"/>
      <c r="P2999" s="211"/>
    </row>
    <row r="3000" spans="15:16" ht="12.75" customHeight="1">
      <c r="O3000" s="211"/>
      <c r="P3000" s="211"/>
    </row>
    <row r="3001" spans="15:16" ht="12.75" customHeight="1">
      <c r="O3001" s="211"/>
      <c r="P3001" s="211"/>
    </row>
    <row r="3002" spans="15:16" ht="12.75" customHeight="1">
      <c r="O3002" s="211"/>
      <c r="P3002" s="211"/>
    </row>
    <row r="3003" spans="15:16" ht="12.75" customHeight="1">
      <c r="O3003" s="211"/>
      <c r="P3003" s="211"/>
    </row>
    <row r="3004" spans="15:16" ht="12.75" customHeight="1">
      <c r="O3004" s="211"/>
      <c r="P3004" s="211"/>
    </row>
    <row r="3005" spans="15:16" ht="12.75" customHeight="1">
      <c r="O3005" s="211"/>
      <c r="P3005" s="211"/>
    </row>
    <row r="3006" spans="15:16" ht="12.75" customHeight="1">
      <c r="O3006" s="211"/>
      <c r="P3006" s="211"/>
    </row>
    <row r="3007" spans="15:16" ht="12.75" customHeight="1">
      <c r="O3007" s="211"/>
      <c r="P3007" s="211"/>
    </row>
    <row r="3008" spans="15:16" ht="12.75" customHeight="1">
      <c r="O3008" s="211"/>
      <c r="P3008" s="211"/>
    </row>
    <row r="3009" spans="15:16" ht="12.75" customHeight="1">
      <c r="O3009" s="211"/>
      <c r="P3009" s="211"/>
    </row>
    <row r="3010" spans="15:16" ht="12.75" customHeight="1">
      <c r="O3010" s="211"/>
      <c r="P3010" s="211"/>
    </row>
    <row r="3011" spans="15:16" ht="12.75" customHeight="1">
      <c r="O3011" s="211"/>
      <c r="P3011" s="211"/>
    </row>
    <row r="3012" spans="15:16" ht="12.75" customHeight="1">
      <c r="O3012" s="211"/>
      <c r="P3012" s="211"/>
    </row>
    <row r="3013" spans="15:16" ht="12.75" customHeight="1">
      <c r="O3013" s="211"/>
      <c r="P3013" s="211"/>
    </row>
    <row r="3014" spans="15:16" ht="12.75" customHeight="1">
      <c r="O3014" s="211"/>
      <c r="P3014" s="211"/>
    </row>
    <row r="3015" spans="15:16" ht="12.75" customHeight="1">
      <c r="O3015" s="211"/>
      <c r="P3015" s="211"/>
    </row>
    <row r="3016" spans="15:16" ht="12.75" customHeight="1">
      <c r="O3016" s="211"/>
      <c r="P3016" s="211"/>
    </row>
    <row r="3017" spans="15:16" ht="12.75" customHeight="1">
      <c r="O3017" s="211"/>
      <c r="P3017" s="211"/>
    </row>
    <row r="3018" spans="15:16" ht="12.75" customHeight="1">
      <c r="O3018" s="211"/>
      <c r="P3018" s="211"/>
    </row>
    <row r="3019" spans="15:16" ht="12.75" customHeight="1">
      <c r="O3019" s="211"/>
      <c r="P3019" s="211"/>
    </row>
    <row r="3020" spans="15:16" ht="12.75" customHeight="1">
      <c r="O3020" s="211"/>
      <c r="P3020" s="211"/>
    </row>
    <row r="3021" spans="15:16" ht="12.75" customHeight="1">
      <c r="O3021" s="211"/>
      <c r="P3021" s="211"/>
    </row>
    <row r="3022" spans="15:16" ht="12.75" customHeight="1">
      <c r="O3022" s="211"/>
      <c r="P3022" s="211"/>
    </row>
    <row r="3023" spans="15:16" ht="12.75" customHeight="1">
      <c r="O3023" s="211"/>
      <c r="P3023" s="211"/>
    </row>
    <row r="3024" spans="15:16" ht="12.75" customHeight="1">
      <c r="O3024" s="211"/>
      <c r="P3024" s="211"/>
    </row>
    <row r="3025" spans="15:16" ht="12.75" customHeight="1">
      <c r="O3025" s="211"/>
      <c r="P3025" s="211"/>
    </row>
    <row r="3026" spans="15:16" ht="12.75" customHeight="1">
      <c r="O3026" s="211"/>
      <c r="P3026" s="211"/>
    </row>
    <row r="3027" spans="15:16" ht="12.75" customHeight="1">
      <c r="O3027" s="211"/>
      <c r="P3027" s="211"/>
    </row>
    <row r="3028" spans="15:16" ht="12.75" customHeight="1">
      <c r="O3028" s="211"/>
      <c r="P3028" s="211"/>
    </row>
    <row r="3029" spans="15:16" ht="12.75" customHeight="1">
      <c r="O3029" s="211"/>
      <c r="P3029" s="211"/>
    </row>
    <row r="3030" spans="15:16" ht="12.75" customHeight="1">
      <c r="O3030" s="211"/>
      <c r="P3030" s="211"/>
    </row>
    <row r="3031" spans="15:16" ht="12.75" customHeight="1">
      <c r="O3031" s="211"/>
      <c r="P3031" s="211"/>
    </row>
    <row r="3032" spans="15:16" ht="12.75" customHeight="1">
      <c r="O3032" s="211"/>
      <c r="P3032" s="211"/>
    </row>
    <row r="3033" spans="15:16" ht="12.75" customHeight="1">
      <c r="O3033" s="211"/>
      <c r="P3033" s="211"/>
    </row>
    <row r="3034" spans="15:16" ht="12.75" customHeight="1">
      <c r="O3034" s="211"/>
      <c r="P3034" s="211"/>
    </row>
    <row r="3035" spans="15:16" ht="12.75" customHeight="1">
      <c r="O3035" s="211"/>
      <c r="P3035" s="211"/>
    </row>
    <row r="3036" spans="15:16" ht="12.75" customHeight="1">
      <c r="O3036" s="211"/>
      <c r="P3036" s="211"/>
    </row>
    <row r="3037" spans="15:16" ht="12.75" customHeight="1">
      <c r="O3037" s="211"/>
      <c r="P3037" s="211"/>
    </row>
    <row r="3038" spans="15:16" ht="12.75" customHeight="1">
      <c r="O3038" s="211"/>
      <c r="P3038" s="211"/>
    </row>
    <row r="3039" spans="15:16" ht="12.75" customHeight="1">
      <c r="O3039" s="211"/>
      <c r="P3039" s="211"/>
    </row>
    <row r="3040" spans="15:16" ht="12.75" customHeight="1">
      <c r="O3040" s="211"/>
      <c r="P3040" s="211"/>
    </row>
    <row r="3041" spans="15:16" ht="12.75" customHeight="1">
      <c r="O3041" s="211"/>
      <c r="P3041" s="211"/>
    </row>
    <row r="3042" spans="15:16" ht="12.75" customHeight="1">
      <c r="O3042" s="211"/>
      <c r="P3042" s="211"/>
    </row>
    <row r="3043" spans="15:16" ht="12.75" customHeight="1">
      <c r="O3043" s="211"/>
      <c r="P3043" s="211"/>
    </row>
    <row r="3044" spans="15:16" ht="12.75" customHeight="1">
      <c r="O3044" s="211"/>
      <c r="P3044" s="211"/>
    </row>
    <row r="3045" spans="15:16" ht="12.75" customHeight="1">
      <c r="O3045" s="211"/>
      <c r="P3045" s="211"/>
    </row>
    <row r="3046" spans="15:16" ht="12.75" customHeight="1">
      <c r="O3046" s="211"/>
      <c r="P3046" s="211"/>
    </row>
    <row r="3047" spans="15:16" ht="12.75" customHeight="1">
      <c r="O3047" s="211"/>
      <c r="P3047" s="211"/>
    </row>
    <row r="3048" spans="15:16" ht="12.75" customHeight="1">
      <c r="O3048" s="211"/>
      <c r="P3048" s="211"/>
    </row>
    <row r="3049" spans="15:16" ht="12.75" customHeight="1">
      <c r="O3049" s="211"/>
      <c r="P3049" s="211"/>
    </row>
    <row r="3050" spans="15:16" ht="12.75" customHeight="1">
      <c r="O3050" s="211"/>
      <c r="P3050" s="211"/>
    </row>
    <row r="3051" spans="15:16" ht="12.75" customHeight="1">
      <c r="O3051" s="211"/>
      <c r="P3051" s="211"/>
    </row>
    <row r="3052" spans="15:16" ht="12.75" customHeight="1">
      <c r="O3052" s="211"/>
      <c r="P3052" s="211"/>
    </row>
    <row r="3053" spans="15:16" ht="12.75" customHeight="1">
      <c r="O3053" s="211"/>
      <c r="P3053" s="211"/>
    </row>
    <row r="3054" spans="15:16" ht="12.75" customHeight="1">
      <c r="O3054" s="211"/>
      <c r="P3054" s="211"/>
    </row>
    <row r="3055" spans="15:16" ht="12.75" customHeight="1">
      <c r="O3055" s="211"/>
      <c r="P3055" s="211"/>
    </row>
    <row r="3056" spans="15:16" ht="12.75" customHeight="1">
      <c r="O3056" s="211"/>
      <c r="P3056" s="211"/>
    </row>
    <row r="3057" spans="15:16" ht="12.75" customHeight="1">
      <c r="O3057" s="211"/>
      <c r="P3057" s="211"/>
    </row>
    <row r="3058" spans="15:16" ht="12.75" customHeight="1">
      <c r="O3058" s="211"/>
      <c r="P3058" s="211"/>
    </row>
    <row r="3059" spans="15:16" ht="12.75" customHeight="1">
      <c r="O3059" s="211"/>
      <c r="P3059" s="211"/>
    </row>
    <row r="3060" spans="15:16" ht="12.75" customHeight="1">
      <c r="O3060" s="211"/>
      <c r="P3060" s="211"/>
    </row>
    <row r="3061" spans="15:16" ht="12.75" customHeight="1">
      <c r="O3061" s="211"/>
      <c r="P3061" s="211"/>
    </row>
    <row r="3062" spans="15:16" ht="12.75" customHeight="1">
      <c r="O3062" s="211"/>
      <c r="P3062" s="211"/>
    </row>
    <row r="3063" spans="15:16" ht="12.75" customHeight="1">
      <c r="O3063" s="211"/>
      <c r="P3063" s="211"/>
    </row>
    <row r="3064" spans="15:16" ht="12.75" customHeight="1">
      <c r="O3064" s="211"/>
      <c r="P3064" s="211"/>
    </row>
    <row r="3065" spans="15:16" ht="12.75" customHeight="1">
      <c r="O3065" s="211"/>
      <c r="P3065" s="211"/>
    </row>
    <row r="3066" spans="15:16" ht="12.75" customHeight="1">
      <c r="O3066" s="211"/>
      <c r="P3066" s="211"/>
    </row>
    <row r="3067" spans="15:16" ht="12.75" customHeight="1">
      <c r="O3067" s="211"/>
      <c r="P3067" s="211"/>
    </row>
    <row r="3068" spans="15:16" ht="12.75" customHeight="1">
      <c r="O3068" s="211"/>
      <c r="P3068" s="211"/>
    </row>
    <row r="3069" spans="15:16" ht="12.75" customHeight="1">
      <c r="O3069" s="211"/>
      <c r="P3069" s="211"/>
    </row>
    <row r="3070" spans="15:16" ht="12.75" customHeight="1">
      <c r="O3070" s="211"/>
      <c r="P3070" s="211"/>
    </row>
    <row r="3071" spans="15:16" ht="12.75" customHeight="1">
      <c r="O3071" s="211"/>
      <c r="P3071" s="211"/>
    </row>
    <row r="3072" spans="15:16" ht="12.75" customHeight="1">
      <c r="O3072" s="211"/>
      <c r="P3072" s="211"/>
    </row>
    <row r="3073" spans="15:16" ht="12.75" customHeight="1">
      <c r="O3073" s="211"/>
      <c r="P3073" s="211"/>
    </row>
    <row r="3074" spans="15:16" ht="12.75" customHeight="1">
      <c r="O3074" s="211"/>
      <c r="P3074" s="211"/>
    </row>
    <row r="3075" spans="15:16" ht="12.75" customHeight="1">
      <c r="O3075" s="211"/>
      <c r="P3075" s="211"/>
    </row>
    <row r="3076" spans="15:16" ht="12.75" customHeight="1">
      <c r="O3076" s="211"/>
      <c r="P3076" s="211"/>
    </row>
    <row r="3077" spans="15:16" ht="12.75" customHeight="1">
      <c r="O3077" s="211"/>
      <c r="P3077" s="211"/>
    </row>
    <row r="3078" spans="15:16" ht="12.75" customHeight="1">
      <c r="O3078" s="211"/>
      <c r="P3078" s="211"/>
    </row>
    <row r="3079" spans="15:16" ht="12.75" customHeight="1">
      <c r="O3079" s="211"/>
      <c r="P3079" s="211"/>
    </row>
    <row r="3080" spans="15:16" ht="12.75" customHeight="1">
      <c r="O3080" s="211"/>
      <c r="P3080" s="211"/>
    </row>
    <row r="3081" spans="15:16" ht="12.75" customHeight="1">
      <c r="O3081" s="211"/>
      <c r="P3081" s="211"/>
    </row>
    <row r="3082" spans="15:16" ht="12.75" customHeight="1">
      <c r="O3082" s="211"/>
      <c r="P3082" s="211"/>
    </row>
    <row r="3083" spans="15:16" ht="12.75" customHeight="1">
      <c r="O3083" s="211"/>
      <c r="P3083" s="211"/>
    </row>
    <row r="3084" spans="15:16" ht="12.75" customHeight="1">
      <c r="O3084" s="211"/>
      <c r="P3084" s="211"/>
    </row>
    <row r="3085" spans="15:16" ht="12.75" customHeight="1">
      <c r="O3085" s="211"/>
      <c r="P3085" s="211"/>
    </row>
    <row r="3086" spans="15:16" ht="12.75" customHeight="1">
      <c r="O3086" s="211"/>
      <c r="P3086" s="211"/>
    </row>
    <row r="3087" spans="15:16" ht="12.75" customHeight="1">
      <c r="O3087" s="211"/>
      <c r="P3087" s="211"/>
    </row>
    <row r="3088" spans="15:16" ht="12.75" customHeight="1">
      <c r="O3088" s="211"/>
      <c r="P3088" s="211"/>
    </row>
    <row r="3089" spans="15:16" ht="12.75" customHeight="1">
      <c r="O3089" s="211"/>
      <c r="P3089" s="211"/>
    </row>
    <row r="3090" spans="15:16" ht="12.75" customHeight="1">
      <c r="O3090" s="211"/>
      <c r="P3090" s="211"/>
    </row>
    <row r="3091" spans="15:16" ht="12.75" customHeight="1">
      <c r="O3091" s="211"/>
      <c r="P3091" s="211"/>
    </row>
    <row r="3092" spans="15:16" ht="12.75" customHeight="1">
      <c r="O3092" s="211"/>
      <c r="P3092" s="211"/>
    </row>
    <row r="3093" spans="15:16" ht="12.75" customHeight="1">
      <c r="O3093" s="211"/>
      <c r="P3093" s="211"/>
    </row>
    <row r="3094" spans="15:16" ht="12.75" customHeight="1">
      <c r="O3094" s="211"/>
      <c r="P3094" s="211"/>
    </row>
    <row r="3095" spans="15:16" ht="12.75" customHeight="1">
      <c r="O3095" s="211"/>
      <c r="P3095" s="211"/>
    </row>
    <row r="3096" spans="15:16" ht="12.75" customHeight="1">
      <c r="O3096" s="211"/>
      <c r="P3096" s="211"/>
    </row>
    <row r="3097" spans="15:16" ht="12.75" customHeight="1">
      <c r="O3097" s="211"/>
      <c r="P3097" s="211"/>
    </row>
    <row r="3098" spans="15:16" ht="12.75" customHeight="1">
      <c r="O3098" s="211"/>
      <c r="P3098" s="211"/>
    </row>
    <row r="3099" spans="15:16" ht="12.75" customHeight="1">
      <c r="O3099" s="211"/>
      <c r="P3099" s="211"/>
    </row>
    <row r="3100" spans="15:16" ht="12.75" customHeight="1">
      <c r="O3100" s="211"/>
      <c r="P3100" s="211"/>
    </row>
    <row r="3101" spans="15:16" ht="12.75" customHeight="1">
      <c r="O3101" s="211"/>
      <c r="P3101" s="211"/>
    </row>
    <row r="3102" spans="15:16" ht="12.75" customHeight="1">
      <c r="O3102" s="211"/>
      <c r="P3102" s="211"/>
    </row>
    <row r="3103" spans="15:16" ht="12.75" customHeight="1">
      <c r="O3103" s="211"/>
      <c r="P3103" s="211"/>
    </row>
    <row r="3104" spans="15:16" ht="12.75" customHeight="1">
      <c r="O3104" s="211"/>
      <c r="P3104" s="211"/>
    </row>
    <row r="3105" spans="15:16" ht="12.75" customHeight="1">
      <c r="O3105" s="211"/>
      <c r="P3105" s="211"/>
    </row>
    <row r="3106" spans="15:16" ht="12.75" customHeight="1">
      <c r="O3106" s="211"/>
      <c r="P3106" s="211"/>
    </row>
    <row r="3107" spans="15:16" ht="12.75" customHeight="1">
      <c r="O3107" s="211"/>
      <c r="P3107" s="211"/>
    </row>
    <row r="3108" spans="15:16" ht="12.75" customHeight="1">
      <c r="O3108" s="211"/>
      <c r="P3108" s="211"/>
    </row>
    <row r="3109" spans="15:16" ht="12.75" customHeight="1">
      <c r="O3109" s="211"/>
      <c r="P3109" s="211"/>
    </row>
    <row r="3110" spans="15:16" ht="12.75" customHeight="1">
      <c r="O3110" s="211"/>
      <c r="P3110" s="211"/>
    </row>
    <row r="3111" spans="15:16" ht="12.75" customHeight="1">
      <c r="O3111" s="211"/>
      <c r="P3111" s="211"/>
    </row>
    <row r="3112" spans="15:16" ht="12.75" customHeight="1">
      <c r="O3112" s="211"/>
      <c r="P3112" s="211"/>
    </row>
    <row r="3113" spans="15:16" ht="12.75" customHeight="1">
      <c r="O3113" s="211"/>
      <c r="P3113" s="211"/>
    </row>
    <row r="3114" spans="15:16" ht="12.75" customHeight="1">
      <c r="O3114" s="211"/>
      <c r="P3114" s="211"/>
    </row>
    <row r="3115" spans="15:16" ht="12.75" customHeight="1">
      <c r="O3115" s="211"/>
      <c r="P3115" s="211"/>
    </row>
    <row r="3116" spans="15:16" ht="12.75" customHeight="1">
      <c r="O3116" s="211"/>
      <c r="P3116" s="211"/>
    </row>
    <row r="3117" spans="15:16" ht="12.75" customHeight="1">
      <c r="O3117" s="211"/>
      <c r="P3117" s="211"/>
    </row>
    <row r="3118" spans="15:16" ht="12.75" customHeight="1">
      <c r="O3118" s="211"/>
      <c r="P3118" s="211"/>
    </row>
    <row r="3119" spans="15:16" ht="12.75" customHeight="1">
      <c r="O3119" s="211"/>
      <c r="P3119" s="211"/>
    </row>
    <row r="3120" spans="15:16" ht="12.75" customHeight="1">
      <c r="O3120" s="211"/>
      <c r="P3120" s="211"/>
    </row>
    <row r="3121" spans="15:16" ht="12.75" customHeight="1">
      <c r="O3121" s="211"/>
      <c r="P3121" s="211"/>
    </row>
    <row r="3122" spans="15:16" ht="12.75" customHeight="1">
      <c r="O3122" s="211"/>
      <c r="P3122" s="211"/>
    </row>
    <row r="3123" spans="15:16" ht="12.75" customHeight="1">
      <c r="O3123" s="211"/>
      <c r="P3123" s="211"/>
    </row>
    <row r="3124" spans="15:16" ht="12.75" customHeight="1">
      <c r="O3124" s="211"/>
      <c r="P3124" s="211"/>
    </row>
    <row r="3125" spans="15:16" ht="12.75" customHeight="1">
      <c r="O3125" s="211"/>
      <c r="P3125" s="211"/>
    </row>
    <row r="3126" spans="15:16" ht="12.75" customHeight="1">
      <c r="O3126" s="211"/>
      <c r="P3126" s="211"/>
    </row>
    <row r="3127" spans="15:16" ht="12.75" customHeight="1">
      <c r="O3127" s="211"/>
      <c r="P3127" s="211"/>
    </row>
    <row r="3128" spans="15:16" ht="12.75" customHeight="1">
      <c r="O3128" s="211"/>
      <c r="P3128" s="211"/>
    </row>
    <row r="3129" spans="15:16" ht="12.75" customHeight="1">
      <c r="O3129" s="211"/>
      <c r="P3129" s="211"/>
    </row>
    <row r="3130" spans="15:16" ht="12.75" customHeight="1">
      <c r="O3130" s="211"/>
      <c r="P3130" s="211"/>
    </row>
    <row r="3131" spans="15:16" ht="12.75" customHeight="1">
      <c r="O3131" s="211"/>
      <c r="P3131" s="211"/>
    </row>
    <row r="3132" spans="15:16" ht="12.75" customHeight="1">
      <c r="O3132" s="211"/>
      <c r="P3132" s="211"/>
    </row>
    <row r="3133" spans="15:16" ht="12.75" customHeight="1">
      <c r="O3133" s="211"/>
      <c r="P3133" s="211"/>
    </row>
    <row r="3134" spans="15:16" ht="12.75" customHeight="1">
      <c r="O3134" s="211"/>
      <c r="P3134" s="211"/>
    </row>
    <row r="3135" spans="15:16" ht="12.75" customHeight="1">
      <c r="O3135" s="211"/>
      <c r="P3135" s="211"/>
    </row>
    <row r="3136" spans="15:16" ht="12.75" customHeight="1">
      <c r="O3136" s="211"/>
      <c r="P3136" s="211"/>
    </row>
    <row r="3137" spans="15:16" ht="12.75" customHeight="1">
      <c r="O3137" s="211"/>
      <c r="P3137" s="211"/>
    </row>
    <row r="3138" spans="15:16" ht="12.75" customHeight="1">
      <c r="O3138" s="211"/>
      <c r="P3138" s="211"/>
    </row>
    <row r="3139" spans="15:16" ht="12.75" customHeight="1">
      <c r="O3139" s="211"/>
      <c r="P3139" s="211"/>
    </row>
    <row r="3140" spans="15:16" ht="12.75" customHeight="1">
      <c r="O3140" s="211"/>
      <c r="P3140" s="211"/>
    </row>
    <row r="3141" spans="15:16" ht="12.75" customHeight="1">
      <c r="O3141" s="211"/>
      <c r="P3141" s="211"/>
    </row>
    <row r="3142" spans="15:16" ht="12.75" customHeight="1">
      <c r="O3142" s="211"/>
      <c r="P3142" s="211"/>
    </row>
    <row r="3143" spans="15:16" ht="12.75" customHeight="1">
      <c r="O3143" s="211"/>
      <c r="P3143" s="211"/>
    </row>
    <row r="3144" spans="15:16" ht="12.75" customHeight="1">
      <c r="O3144" s="211"/>
      <c r="P3144" s="211"/>
    </row>
    <row r="3145" spans="15:16" ht="12.75" customHeight="1">
      <c r="O3145" s="211"/>
      <c r="P3145" s="211"/>
    </row>
    <row r="3146" spans="15:16" ht="12.75" customHeight="1">
      <c r="O3146" s="211"/>
      <c r="P3146" s="211"/>
    </row>
    <row r="3147" spans="15:16" ht="12.75" customHeight="1">
      <c r="O3147" s="211"/>
      <c r="P3147" s="211"/>
    </row>
    <row r="3148" spans="15:16" ht="12.75" customHeight="1">
      <c r="O3148" s="211"/>
      <c r="P3148" s="211"/>
    </row>
    <row r="3149" spans="15:16" ht="12.75" customHeight="1">
      <c r="O3149" s="211"/>
      <c r="P3149" s="211"/>
    </row>
    <row r="3150" spans="15:16" ht="12.75" customHeight="1">
      <c r="O3150" s="211"/>
      <c r="P3150" s="211"/>
    </row>
    <row r="3151" spans="15:16" ht="12.75" customHeight="1">
      <c r="O3151" s="211"/>
      <c r="P3151" s="211"/>
    </row>
    <row r="3152" spans="15:16" ht="12.75" customHeight="1">
      <c r="O3152" s="211"/>
      <c r="P3152" s="211"/>
    </row>
    <row r="3153" spans="15:16" ht="12.75" customHeight="1">
      <c r="O3153" s="211"/>
      <c r="P3153" s="211"/>
    </row>
    <row r="3154" spans="15:16" ht="12.75" customHeight="1">
      <c r="O3154" s="211"/>
      <c r="P3154" s="211"/>
    </row>
    <row r="3155" spans="15:16" ht="12.75" customHeight="1">
      <c r="O3155" s="211"/>
      <c r="P3155" s="211"/>
    </row>
    <row r="3156" spans="15:16" ht="12.75" customHeight="1">
      <c r="O3156" s="211"/>
      <c r="P3156" s="211"/>
    </row>
    <row r="3157" spans="15:16" ht="12.75" customHeight="1">
      <c r="O3157" s="211"/>
      <c r="P3157" s="211"/>
    </row>
    <row r="3158" spans="15:16" ht="12.75" customHeight="1">
      <c r="O3158" s="211"/>
      <c r="P3158" s="211"/>
    </row>
    <row r="3159" spans="15:16" ht="12.75" customHeight="1">
      <c r="O3159" s="211"/>
      <c r="P3159" s="211"/>
    </row>
    <row r="3160" spans="15:16" ht="12.75" customHeight="1">
      <c r="O3160" s="211"/>
      <c r="P3160" s="211"/>
    </row>
    <row r="3161" spans="15:16" ht="12.75" customHeight="1">
      <c r="O3161" s="211"/>
      <c r="P3161" s="211"/>
    </row>
    <row r="3162" spans="15:16" ht="12.75" customHeight="1">
      <c r="O3162" s="211"/>
      <c r="P3162" s="211"/>
    </row>
    <row r="3163" spans="15:16" ht="12.75" customHeight="1">
      <c r="O3163" s="211"/>
      <c r="P3163" s="211"/>
    </row>
    <row r="3164" spans="15:16" ht="12.75" customHeight="1">
      <c r="O3164" s="211"/>
      <c r="P3164" s="211"/>
    </row>
    <row r="3165" spans="15:16" ht="12.75" customHeight="1">
      <c r="O3165" s="211"/>
      <c r="P3165" s="211"/>
    </row>
    <row r="3166" spans="15:16" ht="12.75" customHeight="1">
      <c r="O3166" s="211"/>
      <c r="P3166" s="211"/>
    </row>
    <row r="3167" spans="15:16" ht="12.75" customHeight="1">
      <c r="O3167" s="211"/>
      <c r="P3167" s="211"/>
    </row>
    <row r="3168" spans="15:16" ht="12.75" customHeight="1">
      <c r="O3168" s="211"/>
      <c r="P3168" s="211"/>
    </row>
    <row r="3169" spans="15:16" ht="12.75" customHeight="1">
      <c r="O3169" s="211"/>
      <c r="P3169" s="211"/>
    </row>
    <row r="3170" spans="15:16" ht="12.75" customHeight="1">
      <c r="O3170" s="211"/>
      <c r="P3170" s="211"/>
    </row>
    <row r="3171" spans="15:16" ht="12.75" customHeight="1">
      <c r="O3171" s="211"/>
      <c r="P3171" s="211"/>
    </row>
    <row r="3172" spans="15:16" ht="12.75" customHeight="1">
      <c r="O3172" s="211"/>
      <c r="P3172" s="211"/>
    </row>
    <row r="3173" spans="15:16" ht="12.75" customHeight="1">
      <c r="O3173" s="211"/>
      <c r="P3173" s="211"/>
    </row>
    <row r="3174" spans="15:16" ht="12.75" customHeight="1">
      <c r="O3174" s="211"/>
      <c r="P3174" s="211"/>
    </row>
    <row r="3175" spans="15:16" ht="12.75" customHeight="1">
      <c r="O3175" s="211"/>
      <c r="P3175" s="211"/>
    </row>
    <row r="3176" spans="15:16" ht="12.75" customHeight="1">
      <c r="O3176" s="211"/>
      <c r="P3176" s="211"/>
    </row>
    <row r="3177" spans="15:16" ht="12.75" customHeight="1">
      <c r="O3177" s="211"/>
      <c r="P3177" s="211"/>
    </row>
    <row r="3178" spans="15:16" ht="12.75" customHeight="1">
      <c r="O3178" s="211"/>
      <c r="P3178" s="211"/>
    </row>
    <row r="3179" spans="15:16" ht="12.75" customHeight="1">
      <c r="O3179" s="211"/>
      <c r="P3179" s="211"/>
    </row>
    <row r="3180" spans="15:16" ht="12.75" customHeight="1">
      <c r="O3180" s="211"/>
      <c r="P3180" s="211"/>
    </row>
    <row r="3181" spans="15:16" ht="12.75" customHeight="1">
      <c r="O3181" s="211"/>
      <c r="P3181" s="211"/>
    </row>
    <row r="3182" spans="15:16" ht="12.75" customHeight="1">
      <c r="O3182" s="211"/>
      <c r="P3182" s="211"/>
    </row>
    <row r="3183" spans="15:16" ht="12.75" customHeight="1">
      <c r="O3183" s="211"/>
      <c r="P3183" s="211"/>
    </row>
    <row r="3184" spans="15:16" ht="12.75" customHeight="1">
      <c r="O3184" s="211"/>
      <c r="P3184" s="211"/>
    </row>
    <row r="3185" spans="15:16" ht="12.75" customHeight="1">
      <c r="O3185" s="211"/>
      <c r="P3185" s="211"/>
    </row>
    <row r="3186" spans="15:16" ht="12.75" customHeight="1">
      <c r="O3186" s="211"/>
      <c r="P3186" s="211"/>
    </row>
    <row r="3187" spans="15:16" ht="12.75" customHeight="1">
      <c r="O3187" s="211"/>
      <c r="P3187" s="211"/>
    </row>
    <row r="3188" spans="15:16" ht="12.75" customHeight="1">
      <c r="O3188" s="211"/>
      <c r="P3188" s="211"/>
    </row>
    <row r="3189" spans="15:16" ht="12.75" customHeight="1">
      <c r="O3189" s="211"/>
      <c r="P3189" s="211"/>
    </row>
    <row r="3190" spans="15:16" ht="12.75" customHeight="1">
      <c r="O3190" s="211"/>
      <c r="P3190" s="211"/>
    </row>
    <row r="3191" spans="15:16" ht="12.75" customHeight="1">
      <c r="O3191" s="211"/>
      <c r="P3191" s="211"/>
    </row>
    <row r="3192" spans="15:16" ht="12.75" customHeight="1">
      <c r="O3192" s="211"/>
      <c r="P3192" s="211"/>
    </row>
    <row r="3193" spans="15:16" ht="12.75" customHeight="1">
      <c r="O3193" s="211"/>
      <c r="P3193" s="211"/>
    </row>
    <row r="3194" spans="15:16" ht="12.75" customHeight="1">
      <c r="O3194" s="211"/>
      <c r="P3194" s="211"/>
    </row>
    <row r="3195" spans="15:16" ht="12.75" customHeight="1">
      <c r="O3195" s="211"/>
      <c r="P3195" s="211"/>
    </row>
    <row r="3196" spans="15:16" ht="12.75" customHeight="1">
      <c r="O3196" s="211"/>
      <c r="P3196" s="211"/>
    </row>
    <row r="3197" spans="15:16" ht="12.75" customHeight="1">
      <c r="O3197" s="211"/>
      <c r="P3197" s="211"/>
    </row>
    <row r="3198" spans="15:16" ht="12.75" customHeight="1">
      <c r="O3198" s="211"/>
      <c r="P3198" s="211"/>
    </row>
    <row r="3199" spans="15:16" ht="12.75" customHeight="1">
      <c r="O3199" s="211"/>
      <c r="P3199" s="211"/>
    </row>
    <row r="3200" spans="15:16" ht="12.75" customHeight="1">
      <c r="O3200" s="211"/>
      <c r="P3200" s="211"/>
    </row>
    <row r="3201" spans="15:16" ht="12.75" customHeight="1">
      <c r="O3201" s="211"/>
      <c r="P3201" s="211"/>
    </row>
    <row r="3202" spans="15:16" ht="12.75" customHeight="1">
      <c r="O3202" s="211"/>
      <c r="P3202" s="211"/>
    </row>
    <row r="3203" spans="15:16" ht="12.75" customHeight="1">
      <c r="O3203" s="211"/>
      <c r="P3203" s="211"/>
    </row>
    <row r="3204" spans="15:16" ht="12.75" customHeight="1">
      <c r="O3204" s="211"/>
      <c r="P3204" s="211"/>
    </row>
    <row r="3205" spans="15:16" ht="12.75" customHeight="1">
      <c r="O3205" s="211"/>
      <c r="P3205" s="211"/>
    </row>
    <row r="3206" spans="15:16" ht="12.75" customHeight="1">
      <c r="O3206" s="211"/>
      <c r="P3206" s="211"/>
    </row>
    <row r="3207" spans="15:16" ht="12.75" customHeight="1">
      <c r="O3207" s="211"/>
      <c r="P3207" s="211"/>
    </row>
    <row r="3208" spans="15:16" ht="12.75" customHeight="1">
      <c r="O3208" s="211"/>
      <c r="P3208" s="211"/>
    </row>
    <row r="3209" spans="15:16" ht="12.75" customHeight="1">
      <c r="O3209" s="211"/>
      <c r="P3209" s="211"/>
    </row>
    <row r="3210" spans="15:16" ht="12.75" customHeight="1">
      <c r="O3210" s="211"/>
      <c r="P3210" s="211"/>
    </row>
    <row r="3211" spans="15:16" ht="12.75" customHeight="1">
      <c r="O3211" s="211"/>
      <c r="P3211" s="211"/>
    </row>
    <row r="3212" spans="15:16" ht="12.75" customHeight="1">
      <c r="O3212" s="211"/>
      <c r="P3212" s="211"/>
    </row>
    <row r="3213" spans="15:16" ht="12.75" customHeight="1">
      <c r="O3213" s="211"/>
      <c r="P3213" s="211"/>
    </row>
    <row r="3214" spans="15:16" ht="12.75" customHeight="1">
      <c r="O3214" s="211"/>
      <c r="P3214" s="211"/>
    </row>
    <row r="3215" spans="15:16" ht="12.75" customHeight="1">
      <c r="O3215" s="211"/>
      <c r="P3215" s="211"/>
    </row>
    <row r="3216" spans="15:16" ht="12.75" customHeight="1">
      <c r="O3216" s="211"/>
      <c r="P3216" s="211"/>
    </row>
    <row r="3217" spans="15:16" ht="12.75" customHeight="1">
      <c r="O3217" s="211"/>
      <c r="P3217" s="211"/>
    </row>
    <row r="3218" spans="15:16" ht="12.75" customHeight="1">
      <c r="O3218" s="211"/>
      <c r="P3218" s="211"/>
    </row>
    <row r="3219" spans="15:16" ht="12.75" customHeight="1">
      <c r="O3219" s="211"/>
      <c r="P3219" s="211"/>
    </row>
    <row r="3220" spans="15:16" ht="12.75" customHeight="1">
      <c r="O3220" s="211"/>
      <c r="P3220" s="211"/>
    </row>
    <row r="3221" spans="15:16" ht="12.75" customHeight="1">
      <c r="O3221" s="211"/>
      <c r="P3221" s="211"/>
    </row>
    <row r="3222" spans="15:16" ht="12.75" customHeight="1">
      <c r="O3222" s="211"/>
      <c r="P3222" s="211"/>
    </row>
    <row r="3223" spans="15:16" ht="12.75" customHeight="1">
      <c r="O3223" s="211"/>
      <c r="P3223" s="211"/>
    </row>
    <row r="3224" spans="15:16" ht="12.75" customHeight="1">
      <c r="O3224" s="211"/>
      <c r="P3224" s="211"/>
    </row>
    <row r="3225" spans="15:16" ht="12.75" customHeight="1">
      <c r="O3225" s="211"/>
      <c r="P3225" s="211"/>
    </row>
    <row r="3226" spans="15:16" ht="12.75" customHeight="1">
      <c r="O3226" s="211"/>
      <c r="P3226" s="211"/>
    </row>
    <row r="3227" spans="15:16" ht="12.75" customHeight="1">
      <c r="O3227" s="211"/>
      <c r="P3227" s="211"/>
    </row>
    <row r="3228" spans="15:16" ht="12.75" customHeight="1">
      <c r="O3228" s="211"/>
      <c r="P3228" s="211"/>
    </row>
    <row r="3229" spans="15:16" ht="12.75" customHeight="1">
      <c r="O3229" s="211"/>
      <c r="P3229" s="211"/>
    </row>
    <row r="3230" spans="15:16" ht="12.75" customHeight="1">
      <c r="O3230" s="211"/>
      <c r="P3230" s="211"/>
    </row>
    <row r="3231" spans="15:16" ht="12.75" customHeight="1">
      <c r="O3231" s="211"/>
      <c r="P3231" s="211"/>
    </row>
    <row r="3232" spans="15:16" ht="12.75" customHeight="1">
      <c r="O3232" s="211"/>
      <c r="P3232" s="211"/>
    </row>
    <row r="3233" spans="15:16" ht="12.75" customHeight="1">
      <c r="O3233" s="211"/>
      <c r="P3233" s="211"/>
    </row>
    <row r="3234" spans="15:16" ht="12.75" customHeight="1">
      <c r="O3234" s="211"/>
      <c r="P3234" s="211"/>
    </row>
    <row r="3235" spans="15:16" ht="12.75" customHeight="1">
      <c r="O3235" s="211"/>
      <c r="P3235" s="211"/>
    </row>
    <row r="3236" spans="15:16" ht="12.75" customHeight="1">
      <c r="O3236" s="211"/>
      <c r="P3236" s="211"/>
    </row>
    <row r="3237" spans="15:16" ht="12.75" customHeight="1">
      <c r="O3237" s="211"/>
      <c r="P3237" s="211"/>
    </row>
    <row r="3238" spans="15:16" ht="12.75" customHeight="1">
      <c r="O3238" s="211"/>
      <c r="P3238" s="211"/>
    </row>
    <row r="3239" spans="15:16" ht="12.75" customHeight="1">
      <c r="O3239" s="211"/>
      <c r="P3239" s="211"/>
    </row>
    <row r="3240" spans="15:16" ht="12.75" customHeight="1">
      <c r="O3240" s="211"/>
      <c r="P3240" s="211"/>
    </row>
    <row r="3241" spans="15:16" ht="12.75" customHeight="1">
      <c r="O3241" s="211"/>
      <c r="P3241" s="211"/>
    </row>
    <row r="3242" spans="15:16" ht="12.75" customHeight="1">
      <c r="O3242" s="211"/>
      <c r="P3242" s="211"/>
    </row>
    <row r="3243" spans="15:16" ht="12.75" customHeight="1">
      <c r="O3243" s="211"/>
      <c r="P3243" s="211"/>
    </row>
    <row r="3244" spans="15:16" ht="12.75" customHeight="1">
      <c r="O3244" s="211"/>
      <c r="P3244" s="211"/>
    </row>
    <row r="3245" spans="15:16" ht="12.75" customHeight="1">
      <c r="O3245" s="211"/>
      <c r="P3245" s="211"/>
    </row>
    <row r="3246" spans="15:16" ht="12.75" customHeight="1">
      <c r="O3246" s="211"/>
      <c r="P3246" s="211"/>
    </row>
    <row r="3247" spans="15:16" ht="12.75" customHeight="1">
      <c r="O3247" s="211"/>
      <c r="P3247" s="211"/>
    </row>
    <row r="3248" spans="15:16" ht="12.75" customHeight="1">
      <c r="O3248" s="211"/>
      <c r="P3248" s="211"/>
    </row>
    <row r="3249" spans="15:16" ht="12.75" customHeight="1">
      <c r="O3249" s="211"/>
      <c r="P3249" s="211"/>
    </row>
    <row r="3250" spans="15:16" ht="12.75" customHeight="1">
      <c r="O3250" s="211"/>
      <c r="P3250" s="211"/>
    </row>
    <row r="3251" spans="15:16" ht="12.75" customHeight="1">
      <c r="O3251" s="211"/>
      <c r="P3251" s="211"/>
    </row>
    <row r="3252" spans="15:16" ht="12.75" customHeight="1">
      <c r="O3252" s="211"/>
      <c r="P3252" s="211"/>
    </row>
    <row r="3253" spans="15:16" ht="12.75" customHeight="1">
      <c r="O3253" s="211"/>
      <c r="P3253" s="211"/>
    </row>
    <row r="3254" spans="15:16" ht="12.75" customHeight="1">
      <c r="O3254" s="211"/>
      <c r="P3254" s="211"/>
    </row>
    <row r="3255" spans="15:16" ht="12.75" customHeight="1">
      <c r="O3255" s="211"/>
      <c r="P3255" s="211"/>
    </row>
    <row r="3256" spans="15:16" ht="12.75" customHeight="1">
      <c r="O3256" s="211"/>
      <c r="P3256" s="211"/>
    </row>
    <row r="3257" spans="15:16" ht="12.75" customHeight="1">
      <c r="O3257" s="211"/>
      <c r="P3257" s="211"/>
    </row>
    <row r="3258" spans="15:16" ht="12.75" customHeight="1">
      <c r="O3258" s="211"/>
      <c r="P3258" s="211"/>
    </row>
    <row r="3259" spans="15:16" ht="12.75" customHeight="1">
      <c r="O3259" s="211"/>
      <c r="P3259" s="211"/>
    </row>
    <row r="3260" spans="15:16" ht="12.75" customHeight="1">
      <c r="O3260" s="211"/>
      <c r="P3260" s="211"/>
    </row>
    <row r="3261" spans="15:16" ht="12.75" customHeight="1">
      <c r="O3261" s="211"/>
      <c r="P3261" s="211"/>
    </row>
    <row r="3262" spans="15:16" ht="12.75" customHeight="1">
      <c r="O3262" s="211"/>
      <c r="P3262" s="211"/>
    </row>
    <row r="3263" spans="15:16" ht="12.75" customHeight="1">
      <c r="O3263" s="211"/>
      <c r="P3263" s="211"/>
    </row>
    <row r="3264" spans="15:16" ht="12.75" customHeight="1">
      <c r="O3264" s="211"/>
      <c r="P3264" s="211"/>
    </row>
    <row r="3265" spans="15:16" ht="12.75" customHeight="1">
      <c r="O3265" s="211"/>
      <c r="P3265" s="211"/>
    </row>
    <row r="3266" spans="15:16" ht="12.75" customHeight="1">
      <c r="O3266" s="211"/>
      <c r="P3266" s="211"/>
    </row>
    <row r="3267" spans="15:16" ht="12.75" customHeight="1">
      <c r="O3267" s="211"/>
      <c r="P3267" s="211"/>
    </row>
    <row r="3268" spans="15:16" ht="12.75" customHeight="1">
      <c r="O3268" s="211"/>
      <c r="P3268" s="211"/>
    </row>
    <row r="3269" spans="15:16" ht="12.75" customHeight="1">
      <c r="O3269" s="211"/>
      <c r="P3269" s="211"/>
    </row>
    <row r="3270" spans="15:16" ht="12.75" customHeight="1">
      <c r="O3270" s="211"/>
      <c r="P3270" s="211"/>
    </row>
    <row r="3271" spans="15:16" ht="12.75" customHeight="1">
      <c r="O3271" s="211"/>
      <c r="P3271" s="211"/>
    </row>
    <row r="3272" spans="15:16" ht="12.75" customHeight="1">
      <c r="O3272" s="211"/>
      <c r="P3272" s="211"/>
    </row>
    <row r="3273" spans="15:16" ht="12.75" customHeight="1">
      <c r="O3273" s="211"/>
      <c r="P3273" s="211"/>
    </row>
    <row r="3274" spans="15:16" ht="12.75" customHeight="1">
      <c r="O3274" s="211"/>
      <c r="P3274" s="211"/>
    </row>
    <row r="3275" spans="15:16" ht="12.75" customHeight="1">
      <c r="O3275" s="211"/>
      <c r="P3275" s="211"/>
    </row>
    <row r="3276" spans="15:16" ht="12.75" customHeight="1">
      <c r="O3276" s="211"/>
      <c r="P3276" s="211"/>
    </row>
    <row r="3277" spans="15:16" ht="12.75" customHeight="1">
      <c r="O3277" s="211"/>
      <c r="P3277" s="211"/>
    </row>
    <row r="3278" spans="15:16" ht="12.75" customHeight="1">
      <c r="O3278" s="211"/>
      <c r="P3278" s="211"/>
    </row>
    <row r="3279" spans="15:16" ht="12.75" customHeight="1">
      <c r="O3279" s="211"/>
      <c r="P3279" s="211"/>
    </row>
    <row r="3280" spans="15:16" ht="12.75" customHeight="1">
      <c r="O3280" s="211"/>
      <c r="P3280" s="211"/>
    </row>
    <row r="3281" spans="15:16" ht="12.75" customHeight="1">
      <c r="O3281" s="211"/>
      <c r="P3281" s="211"/>
    </row>
    <row r="3282" spans="15:16" ht="12.75" customHeight="1">
      <c r="O3282" s="211"/>
      <c r="P3282" s="211"/>
    </row>
    <row r="3283" spans="15:16" ht="12.75" customHeight="1">
      <c r="O3283" s="211"/>
      <c r="P3283" s="211"/>
    </row>
    <row r="3284" spans="15:16" ht="12.75" customHeight="1">
      <c r="O3284" s="211"/>
      <c r="P3284" s="211"/>
    </row>
    <row r="3285" spans="15:16" ht="12.75" customHeight="1">
      <c r="O3285" s="211"/>
      <c r="P3285" s="211"/>
    </row>
    <row r="3286" spans="15:16" ht="12.75" customHeight="1">
      <c r="O3286" s="211"/>
      <c r="P3286" s="211"/>
    </row>
    <row r="3287" spans="15:16" ht="12.75" customHeight="1">
      <c r="O3287" s="211"/>
      <c r="P3287" s="211"/>
    </row>
    <row r="3288" spans="15:16" ht="12.75" customHeight="1">
      <c r="O3288" s="211"/>
      <c r="P3288" s="211"/>
    </row>
    <row r="3289" spans="15:16" ht="12.75" customHeight="1">
      <c r="O3289" s="211"/>
      <c r="P3289" s="211"/>
    </row>
    <row r="3290" spans="15:16" ht="12.75" customHeight="1">
      <c r="O3290" s="211"/>
      <c r="P3290" s="211"/>
    </row>
    <row r="3291" spans="15:16" ht="12.75" customHeight="1">
      <c r="O3291" s="211"/>
      <c r="P3291" s="211"/>
    </row>
    <row r="3292" spans="15:16" ht="12.75" customHeight="1">
      <c r="O3292" s="211"/>
      <c r="P3292" s="211"/>
    </row>
    <row r="3293" spans="15:16" ht="12.75" customHeight="1">
      <c r="O3293" s="211"/>
      <c r="P3293" s="211"/>
    </row>
    <row r="3294" spans="15:16" ht="12.75" customHeight="1">
      <c r="O3294" s="211"/>
      <c r="P3294" s="211"/>
    </row>
    <row r="3295" spans="15:16" ht="12.75" customHeight="1">
      <c r="O3295" s="211"/>
      <c r="P3295" s="211"/>
    </row>
    <row r="3296" spans="15:16" ht="12.75" customHeight="1">
      <c r="O3296" s="211"/>
      <c r="P3296" s="211"/>
    </row>
    <row r="3297" spans="15:16" ht="12.75" customHeight="1">
      <c r="O3297" s="211"/>
      <c r="P3297" s="211"/>
    </row>
    <row r="3298" spans="15:16" ht="12.75" customHeight="1">
      <c r="O3298" s="211"/>
      <c r="P3298" s="211"/>
    </row>
    <row r="3299" spans="15:16" ht="12.75" customHeight="1">
      <c r="O3299" s="211"/>
      <c r="P3299" s="211"/>
    </row>
    <row r="3300" spans="15:16" ht="12.75" customHeight="1">
      <c r="O3300" s="211"/>
      <c r="P3300" s="211"/>
    </row>
    <row r="3301" spans="15:16" ht="12.75" customHeight="1">
      <c r="O3301" s="211"/>
      <c r="P3301" s="211"/>
    </row>
    <row r="3302" spans="15:16" ht="12.75" customHeight="1">
      <c r="O3302" s="211"/>
      <c r="P3302" s="211"/>
    </row>
    <row r="3303" spans="15:16" ht="12.75" customHeight="1">
      <c r="O3303" s="211"/>
      <c r="P3303" s="211"/>
    </row>
    <row r="3304" spans="15:16" ht="12.75" customHeight="1">
      <c r="O3304" s="211"/>
      <c r="P3304" s="211"/>
    </row>
    <row r="3305" spans="15:16" ht="12.75" customHeight="1">
      <c r="O3305" s="211"/>
      <c r="P3305" s="211"/>
    </row>
    <row r="3306" spans="15:16" ht="12.75" customHeight="1">
      <c r="O3306" s="211"/>
      <c r="P3306" s="211"/>
    </row>
    <row r="3307" spans="15:16" ht="12.75" customHeight="1">
      <c r="O3307" s="211"/>
      <c r="P3307" s="211"/>
    </row>
    <row r="3308" spans="15:16" ht="12.75" customHeight="1">
      <c r="O3308" s="211"/>
      <c r="P3308" s="211"/>
    </row>
    <row r="3309" spans="15:16" ht="12.75" customHeight="1">
      <c r="O3309" s="211"/>
      <c r="P3309" s="211"/>
    </row>
    <row r="3310" spans="15:16" ht="12.75" customHeight="1">
      <c r="O3310" s="211"/>
      <c r="P3310" s="211"/>
    </row>
    <row r="3311" spans="15:16" ht="12.75" customHeight="1">
      <c r="O3311" s="211"/>
      <c r="P3311" s="211"/>
    </row>
    <row r="3312" spans="15:16" ht="12.75" customHeight="1">
      <c r="O3312" s="211"/>
      <c r="P3312" s="211"/>
    </row>
    <row r="3313" spans="15:16" ht="12.75" customHeight="1">
      <c r="O3313" s="211"/>
      <c r="P3313" s="211"/>
    </row>
    <row r="3314" spans="15:16" ht="12.75" customHeight="1">
      <c r="O3314" s="211"/>
      <c r="P3314" s="211"/>
    </row>
    <row r="3315" spans="15:16" ht="12.75" customHeight="1">
      <c r="O3315" s="211"/>
      <c r="P3315" s="211"/>
    </row>
    <row r="3316" spans="15:16" ht="12.75" customHeight="1">
      <c r="O3316" s="211"/>
      <c r="P3316" s="211"/>
    </row>
    <row r="3317" spans="15:16" ht="12.75" customHeight="1">
      <c r="O3317" s="211"/>
      <c r="P3317" s="211"/>
    </row>
    <row r="3318" spans="15:16" ht="12.75" customHeight="1">
      <c r="O3318" s="211"/>
      <c r="P3318" s="211"/>
    </row>
    <row r="3319" spans="15:16" ht="12.75" customHeight="1">
      <c r="O3319" s="211"/>
      <c r="P3319" s="211"/>
    </row>
    <row r="3320" spans="15:16" ht="12.75" customHeight="1">
      <c r="O3320" s="211"/>
      <c r="P3320" s="211"/>
    </row>
    <row r="3321" spans="15:16" ht="12.75" customHeight="1">
      <c r="O3321" s="211"/>
      <c r="P3321" s="211"/>
    </row>
    <row r="3322" spans="15:16" ht="12.75" customHeight="1">
      <c r="O3322" s="211"/>
      <c r="P3322" s="211"/>
    </row>
    <row r="3323" spans="15:16" ht="12.75" customHeight="1">
      <c r="O3323" s="211"/>
      <c r="P3323" s="211"/>
    </row>
    <row r="3324" spans="15:16" ht="12.75" customHeight="1">
      <c r="O3324" s="211"/>
      <c r="P3324" s="211"/>
    </row>
    <row r="3325" spans="15:16" ht="12.75" customHeight="1">
      <c r="O3325" s="211"/>
      <c r="P3325" s="211"/>
    </row>
    <row r="3326" spans="15:16" ht="12.75" customHeight="1">
      <c r="O3326" s="211"/>
      <c r="P3326" s="211"/>
    </row>
    <row r="3327" spans="15:16" ht="12.75" customHeight="1">
      <c r="O3327" s="211"/>
      <c r="P3327" s="211"/>
    </row>
    <row r="3328" spans="15:16" ht="12.75" customHeight="1">
      <c r="O3328" s="211"/>
      <c r="P3328" s="211"/>
    </row>
    <row r="3329" spans="15:16" ht="12.75" customHeight="1">
      <c r="O3329" s="211"/>
      <c r="P3329" s="211"/>
    </row>
    <row r="3330" spans="15:16" ht="12.75" customHeight="1">
      <c r="O3330" s="211"/>
      <c r="P3330" s="211"/>
    </row>
    <row r="3331" spans="15:16" ht="12.75" customHeight="1">
      <c r="O3331" s="211"/>
      <c r="P3331" s="211"/>
    </row>
    <row r="3332" spans="15:16" ht="12.75" customHeight="1">
      <c r="O3332" s="211"/>
      <c r="P3332" s="211"/>
    </row>
    <row r="3333" spans="15:16" ht="12.75" customHeight="1">
      <c r="O3333" s="211"/>
      <c r="P3333" s="211"/>
    </row>
    <row r="3334" spans="15:16" ht="12.75" customHeight="1">
      <c r="O3334" s="211"/>
      <c r="P3334" s="211"/>
    </row>
    <row r="3335" spans="15:16" ht="12.75" customHeight="1">
      <c r="O3335" s="211"/>
      <c r="P3335" s="211"/>
    </row>
    <row r="3336" spans="15:16" ht="12.75" customHeight="1">
      <c r="O3336" s="211"/>
      <c r="P3336" s="211"/>
    </row>
    <row r="3337" spans="15:16" ht="12.75" customHeight="1">
      <c r="O3337" s="211"/>
      <c r="P3337" s="211"/>
    </row>
    <row r="3338" spans="15:16" ht="12.75" customHeight="1">
      <c r="O3338" s="211"/>
      <c r="P3338" s="211"/>
    </row>
    <row r="3339" spans="15:16" ht="12.75" customHeight="1">
      <c r="O3339" s="211"/>
      <c r="P3339" s="211"/>
    </row>
    <row r="3340" spans="15:16" ht="12.75" customHeight="1">
      <c r="O3340" s="211"/>
      <c r="P3340" s="211"/>
    </row>
    <row r="3341" spans="15:16" ht="12.75" customHeight="1">
      <c r="O3341" s="211"/>
      <c r="P3341" s="211"/>
    </row>
    <row r="3342" spans="15:16" ht="12.75" customHeight="1">
      <c r="O3342" s="211"/>
      <c r="P3342" s="211"/>
    </row>
    <row r="3343" spans="15:16" ht="12.75" customHeight="1">
      <c r="O3343" s="211"/>
      <c r="P3343" s="211"/>
    </row>
    <row r="3344" spans="15:16" ht="12.75" customHeight="1">
      <c r="O3344" s="211"/>
      <c r="P3344" s="211"/>
    </row>
    <row r="3345" spans="15:16" ht="12.75" customHeight="1">
      <c r="O3345" s="211"/>
      <c r="P3345" s="211"/>
    </row>
    <row r="3346" spans="15:16" ht="12.75" customHeight="1">
      <c r="O3346" s="211"/>
      <c r="P3346" s="211"/>
    </row>
    <row r="3347" spans="15:16" ht="12.75" customHeight="1">
      <c r="O3347" s="211"/>
      <c r="P3347" s="211"/>
    </row>
    <row r="3348" spans="15:16" ht="12.75" customHeight="1">
      <c r="O3348" s="211"/>
      <c r="P3348" s="211"/>
    </row>
    <row r="3349" spans="15:16" ht="12.75" customHeight="1">
      <c r="O3349" s="211"/>
      <c r="P3349" s="211"/>
    </row>
    <row r="3350" spans="15:16" ht="12.75" customHeight="1">
      <c r="O3350" s="211"/>
      <c r="P3350" s="211"/>
    </row>
    <row r="3351" spans="15:16" ht="12.75" customHeight="1">
      <c r="O3351" s="211"/>
      <c r="P3351" s="211"/>
    </row>
    <row r="3352" spans="15:16" ht="12.75" customHeight="1">
      <c r="O3352" s="211"/>
      <c r="P3352" s="211"/>
    </row>
    <row r="3353" spans="15:16" ht="12.75" customHeight="1">
      <c r="O3353" s="211"/>
      <c r="P3353" s="211"/>
    </row>
    <row r="3354" spans="15:16" ht="12.75" customHeight="1">
      <c r="O3354" s="211"/>
      <c r="P3354" s="211"/>
    </row>
    <row r="3355" spans="15:16" ht="12.75" customHeight="1">
      <c r="O3355" s="211"/>
      <c r="P3355" s="211"/>
    </row>
    <row r="3356" spans="15:16" ht="12.75" customHeight="1">
      <c r="O3356" s="211"/>
      <c r="P3356" s="211"/>
    </row>
    <row r="3357" spans="15:16" ht="12.75" customHeight="1">
      <c r="O3357" s="211"/>
      <c r="P3357" s="211"/>
    </row>
    <row r="3358" spans="15:16" ht="12.75" customHeight="1">
      <c r="O3358" s="211"/>
      <c r="P3358" s="211"/>
    </row>
    <row r="3359" spans="15:16" ht="12.75" customHeight="1">
      <c r="O3359" s="211"/>
      <c r="P3359" s="211"/>
    </row>
    <row r="3360" spans="15:16" ht="12.75" customHeight="1">
      <c r="O3360" s="211"/>
      <c r="P3360" s="211"/>
    </row>
    <row r="3361" spans="15:16" ht="12.75" customHeight="1">
      <c r="O3361" s="211"/>
      <c r="P3361" s="211"/>
    </row>
    <row r="3362" spans="15:16" ht="12.75" customHeight="1">
      <c r="O3362" s="211"/>
      <c r="P3362" s="211"/>
    </row>
    <row r="3363" spans="15:16" ht="12.75" customHeight="1">
      <c r="O3363" s="211"/>
      <c r="P3363" s="211"/>
    </row>
    <row r="3364" spans="15:16" ht="12.75" customHeight="1">
      <c r="O3364" s="211"/>
      <c r="P3364" s="211"/>
    </row>
    <row r="3365" spans="15:16" ht="12.75" customHeight="1">
      <c r="O3365" s="211"/>
      <c r="P3365" s="211"/>
    </row>
    <row r="3366" spans="15:16" ht="12.75" customHeight="1">
      <c r="O3366" s="211"/>
      <c r="P3366" s="211"/>
    </row>
    <row r="3367" spans="15:16" ht="12.75" customHeight="1">
      <c r="O3367" s="211"/>
      <c r="P3367" s="211"/>
    </row>
    <row r="3368" spans="15:16" ht="12.75" customHeight="1">
      <c r="O3368" s="211"/>
      <c r="P3368" s="211"/>
    </row>
    <row r="3369" spans="15:16" ht="12.75" customHeight="1">
      <c r="O3369" s="211"/>
      <c r="P3369" s="211"/>
    </row>
    <row r="3370" spans="15:16" ht="12.75" customHeight="1">
      <c r="O3370" s="211"/>
      <c r="P3370" s="211"/>
    </row>
    <row r="3371" spans="15:16" ht="12.75" customHeight="1">
      <c r="O3371" s="211"/>
      <c r="P3371" s="211"/>
    </row>
    <row r="3372" spans="15:16" ht="12.75" customHeight="1">
      <c r="O3372" s="211"/>
      <c r="P3372" s="211"/>
    </row>
    <row r="3373" spans="15:16" ht="12.75" customHeight="1">
      <c r="O3373" s="211"/>
      <c r="P3373" s="211"/>
    </row>
    <row r="3374" spans="15:16" ht="12.75" customHeight="1">
      <c r="O3374" s="211"/>
      <c r="P3374" s="211"/>
    </row>
    <row r="3375" spans="15:16" ht="12.75" customHeight="1">
      <c r="O3375" s="211"/>
      <c r="P3375" s="211"/>
    </row>
    <row r="3376" spans="15:16" ht="12.75" customHeight="1">
      <c r="O3376" s="211"/>
      <c r="P3376" s="211"/>
    </row>
    <row r="3377" spans="15:16" ht="12.75" customHeight="1">
      <c r="O3377" s="211"/>
      <c r="P3377" s="211"/>
    </row>
    <row r="3378" spans="15:16" ht="12.75" customHeight="1">
      <c r="O3378" s="211"/>
      <c r="P3378" s="211"/>
    </row>
    <row r="3379" spans="15:16" ht="12.75" customHeight="1">
      <c r="O3379" s="211"/>
      <c r="P3379" s="211"/>
    </row>
    <row r="3380" spans="15:16" ht="12.75" customHeight="1">
      <c r="O3380" s="211"/>
      <c r="P3380" s="211"/>
    </row>
    <row r="3381" spans="15:16" ht="12.75" customHeight="1">
      <c r="O3381" s="211"/>
      <c r="P3381" s="211"/>
    </row>
    <row r="3382" spans="15:16" ht="12.75" customHeight="1">
      <c r="O3382" s="211"/>
      <c r="P3382" s="211"/>
    </row>
    <row r="3383" spans="15:16" ht="12.75" customHeight="1">
      <c r="O3383" s="211"/>
      <c r="P3383" s="211"/>
    </row>
    <row r="3384" spans="15:16" ht="12.75" customHeight="1">
      <c r="O3384" s="211"/>
      <c r="P3384" s="211"/>
    </row>
    <row r="3385" spans="15:16" ht="12.75" customHeight="1">
      <c r="O3385" s="211"/>
      <c r="P3385" s="211"/>
    </row>
    <row r="3386" spans="15:16" ht="12.75" customHeight="1">
      <c r="O3386" s="211"/>
      <c r="P3386" s="211"/>
    </row>
    <row r="3387" spans="15:16" ht="12.75" customHeight="1">
      <c r="O3387" s="211"/>
      <c r="P3387" s="211"/>
    </row>
    <row r="3388" spans="15:16" ht="12.75" customHeight="1">
      <c r="O3388" s="211"/>
      <c r="P3388" s="211"/>
    </row>
    <row r="3389" spans="15:16" ht="12.75" customHeight="1">
      <c r="O3389" s="211"/>
      <c r="P3389" s="211"/>
    </row>
    <row r="3390" spans="15:16" ht="12.75" customHeight="1">
      <c r="O3390" s="211"/>
      <c r="P3390" s="211"/>
    </row>
    <row r="3391" spans="15:16" ht="12.75" customHeight="1">
      <c r="O3391" s="211"/>
      <c r="P3391" s="211"/>
    </row>
    <row r="3392" spans="15:16" ht="12.75" customHeight="1">
      <c r="O3392" s="211"/>
      <c r="P3392" s="211"/>
    </row>
    <row r="3393" spans="15:16" ht="12.75" customHeight="1">
      <c r="O3393" s="211"/>
      <c r="P3393" s="211"/>
    </row>
    <row r="3394" spans="15:16" ht="12.75" customHeight="1">
      <c r="O3394" s="211"/>
      <c r="P3394" s="211"/>
    </row>
    <row r="3395" spans="15:16" ht="12.75" customHeight="1">
      <c r="O3395" s="211"/>
      <c r="P3395" s="211"/>
    </row>
    <row r="3396" spans="15:16" ht="12.75" customHeight="1">
      <c r="O3396" s="211"/>
      <c r="P3396" s="211"/>
    </row>
    <row r="3397" spans="15:16" ht="12.75" customHeight="1">
      <c r="O3397" s="211"/>
      <c r="P3397" s="211"/>
    </row>
    <row r="3398" spans="15:16" ht="12.75" customHeight="1">
      <c r="O3398" s="211"/>
      <c r="P3398" s="211"/>
    </row>
    <row r="3399" spans="15:16" ht="12.75" customHeight="1">
      <c r="O3399" s="211"/>
      <c r="P3399" s="211"/>
    </row>
    <row r="3400" spans="15:16" ht="12.75" customHeight="1">
      <c r="O3400" s="211"/>
      <c r="P3400" s="211"/>
    </row>
    <row r="3401" spans="15:16" ht="12.75" customHeight="1">
      <c r="O3401" s="211"/>
      <c r="P3401" s="211"/>
    </row>
    <row r="3402" spans="15:16" ht="12.75" customHeight="1">
      <c r="O3402" s="211"/>
      <c r="P3402" s="211"/>
    </row>
    <row r="3403" spans="15:16" ht="12.75" customHeight="1">
      <c r="O3403" s="211"/>
      <c r="P3403" s="211"/>
    </row>
    <row r="3404" spans="15:16" ht="12.75" customHeight="1">
      <c r="O3404" s="211"/>
      <c r="P3404" s="211"/>
    </row>
    <row r="3405" spans="15:16" ht="12.75" customHeight="1">
      <c r="O3405" s="211"/>
      <c r="P3405" s="211"/>
    </row>
    <row r="3406" spans="15:16" ht="12.75" customHeight="1">
      <c r="O3406" s="211"/>
      <c r="P3406" s="211"/>
    </row>
    <row r="3407" spans="15:16" ht="12.75" customHeight="1">
      <c r="O3407" s="211"/>
      <c r="P3407" s="211"/>
    </row>
    <row r="3408" spans="15:16" ht="12.75" customHeight="1">
      <c r="O3408" s="211"/>
      <c r="P3408" s="211"/>
    </row>
    <row r="3409" spans="15:16" ht="12.75" customHeight="1">
      <c r="O3409" s="211"/>
      <c r="P3409" s="211"/>
    </row>
    <row r="3410" spans="15:16" ht="12.75" customHeight="1">
      <c r="O3410" s="211"/>
      <c r="P3410" s="211"/>
    </row>
    <row r="3411" spans="15:16" ht="12.75" customHeight="1">
      <c r="O3411" s="211"/>
      <c r="P3411" s="211"/>
    </row>
    <row r="3412" spans="15:16" ht="12.75" customHeight="1">
      <c r="O3412" s="211"/>
      <c r="P3412" s="211"/>
    </row>
    <row r="3413" spans="15:16" ht="12.75" customHeight="1">
      <c r="O3413" s="211"/>
      <c r="P3413" s="211"/>
    </row>
    <row r="3414" spans="15:16" ht="12.75" customHeight="1">
      <c r="O3414" s="211"/>
      <c r="P3414" s="211"/>
    </row>
    <row r="3415" spans="15:16" ht="12.75" customHeight="1">
      <c r="O3415" s="211"/>
      <c r="P3415" s="211"/>
    </row>
    <row r="3416" spans="15:16" ht="12.75" customHeight="1">
      <c r="O3416" s="211"/>
      <c r="P3416" s="211"/>
    </row>
    <row r="3417" spans="15:16" ht="12.75" customHeight="1">
      <c r="O3417" s="211"/>
      <c r="P3417" s="211"/>
    </row>
    <row r="3418" spans="15:16" ht="12.75" customHeight="1">
      <c r="O3418" s="211"/>
      <c r="P3418" s="211"/>
    </row>
    <row r="3419" spans="15:16" ht="12.75" customHeight="1">
      <c r="O3419" s="211"/>
      <c r="P3419" s="211"/>
    </row>
    <row r="3420" spans="15:16" ht="12.75" customHeight="1">
      <c r="O3420" s="211"/>
      <c r="P3420" s="211"/>
    </row>
    <row r="3421" spans="15:16" ht="12.75" customHeight="1">
      <c r="O3421" s="211"/>
      <c r="P3421" s="211"/>
    </row>
    <row r="3422" spans="15:16" ht="12.75" customHeight="1">
      <c r="O3422" s="211"/>
      <c r="P3422" s="211"/>
    </row>
    <row r="3423" spans="15:16" ht="12.75" customHeight="1">
      <c r="O3423" s="211"/>
      <c r="P3423" s="211"/>
    </row>
    <row r="3424" spans="15:16" ht="12.75" customHeight="1">
      <c r="O3424" s="211"/>
      <c r="P3424" s="211"/>
    </row>
    <row r="3425" spans="15:16" ht="12.75" customHeight="1">
      <c r="O3425" s="211"/>
      <c r="P3425" s="211"/>
    </row>
    <row r="3426" spans="15:16" ht="12.75" customHeight="1">
      <c r="O3426" s="211"/>
      <c r="P3426" s="211"/>
    </row>
    <row r="3427" spans="15:16" ht="12.75" customHeight="1">
      <c r="O3427" s="211"/>
      <c r="P3427" s="211"/>
    </row>
    <row r="3428" spans="15:16" ht="12.75" customHeight="1">
      <c r="O3428" s="211"/>
      <c r="P3428" s="211"/>
    </row>
    <row r="3429" spans="15:16" ht="12.75" customHeight="1">
      <c r="O3429" s="211"/>
      <c r="P3429" s="211"/>
    </row>
    <row r="3430" spans="15:16" ht="12.75" customHeight="1">
      <c r="O3430" s="211"/>
      <c r="P3430" s="211"/>
    </row>
    <row r="3431" spans="15:16" ht="12.75" customHeight="1">
      <c r="O3431" s="211"/>
      <c r="P3431" s="211"/>
    </row>
    <row r="3432" spans="15:16" ht="12.75" customHeight="1">
      <c r="O3432" s="211"/>
      <c r="P3432" s="211"/>
    </row>
    <row r="3433" spans="15:16" ht="12.75" customHeight="1">
      <c r="O3433" s="211"/>
      <c r="P3433" s="211"/>
    </row>
    <row r="3434" spans="15:16" ht="12.75" customHeight="1">
      <c r="O3434" s="211"/>
      <c r="P3434" s="211"/>
    </row>
    <row r="3435" spans="15:16" ht="12.75" customHeight="1">
      <c r="O3435" s="211"/>
      <c r="P3435" s="211"/>
    </row>
    <row r="3436" spans="15:16" ht="12.75" customHeight="1">
      <c r="O3436" s="211"/>
      <c r="P3436" s="211"/>
    </row>
    <row r="3437" spans="15:16" ht="12.75" customHeight="1">
      <c r="O3437" s="211"/>
      <c r="P3437" s="211"/>
    </row>
    <row r="3438" spans="15:16" ht="12.75" customHeight="1">
      <c r="O3438" s="211"/>
      <c r="P3438" s="211"/>
    </row>
    <row r="3439" spans="15:16" ht="12.75" customHeight="1">
      <c r="O3439" s="211"/>
      <c r="P3439" s="211"/>
    </row>
    <row r="3440" spans="15:16" ht="12.75" customHeight="1">
      <c r="O3440" s="211"/>
      <c r="P3440" s="211"/>
    </row>
    <row r="3441" spans="15:16" ht="12.75" customHeight="1">
      <c r="O3441" s="211"/>
      <c r="P3441" s="211"/>
    </row>
    <row r="3442" spans="15:16" ht="12.75" customHeight="1">
      <c r="O3442" s="211"/>
      <c r="P3442" s="211"/>
    </row>
    <row r="3443" spans="15:16" ht="12.75" customHeight="1">
      <c r="O3443" s="211"/>
      <c r="P3443" s="211"/>
    </row>
    <row r="3444" spans="15:16" ht="12.75" customHeight="1">
      <c r="O3444" s="211"/>
      <c r="P3444" s="211"/>
    </row>
    <row r="3445" spans="15:16" ht="12.75" customHeight="1">
      <c r="O3445" s="211"/>
      <c r="P3445" s="211"/>
    </row>
    <row r="3446" spans="15:16" ht="12.75" customHeight="1">
      <c r="O3446" s="211"/>
      <c r="P3446" s="211"/>
    </row>
    <row r="3447" spans="15:16" ht="12.75" customHeight="1">
      <c r="O3447" s="211"/>
      <c r="P3447" s="211"/>
    </row>
    <row r="3448" spans="15:16" ht="12.75" customHeight="1">
      <c r="O3448" s="211"/>
      <c r="P3448" s="211"/>
    </row>
    <row r="3449" spans="15:16" ht="12.75" customHeight="1">
      <c r="O3449" s="211"/>
      <c r="P3449" s="211"/>
    </row>
    <row r="3450" spans="15:16" ht="12.75" customHeight="1">
      <c r="O3450" s="211"/>
      <c r="P3450" s="211"/>
    </row>
    <row r="3451" spans="15:16" ht="12.75" customHeight="1">
      <c r="O3451" s="211"/>
      <c r="P3451" s="211"/>
    </row>
    <row r="3452" spans="15:16" ht="12.75" customHeight="1">
      <c r="O3452" s="211"/>
      <c r="P3452" s="211"/>
    </row>
    <row r="3453" spans="15:16" ht="12.75" customHeight="1">
      <c r="O3453" s="211"/>
      <c r="P3453" s="211"/>
    </row>
    <row r="3454" spans="15:16" ht="12.75" customHeight="1">
      <c r="O3454" s="211"/>
      <c r="P3454" s="211"/>
    </row>
    <row r="3455" spans="15:16" ht="12.75" customHeight="1">
      <c r="O3455" s="211"/>
      <c r="P3455" s="211"/>
    </row>
    <row r="3456" spans="15:16" ht="12.75" customHeight="1">
      <c r="O3456" s="211"/>
      <c r="P3456" s="211"/>
    </row>
    <row r="3457" spans="15:16" ht="12.75" customHeight="1">
      <c r="O3457" s="211"/>
      <c r="P3457" s="211"/>
    </row>
    <row r="3458" spans="15:16" ht="12.75" customHeight="1">
      <c r="O3458" s="211"/>
      <c r="P3458" s="211"/>
    </row>
    <row r="3459" spans="15:16" ht="12.75" customHeight="1">
      <c r="O3459" s="211"/>
      <c r="P3459" s="211"/>
    </row>
    <row r="3460" spans="15:16" ht="12.75" customHeight="1">
      <c r="O3460" s="211"/>
      <c r="P3460" s="211"/>
    </row>
    <row r="3461" spans="15:16" ht="12.75" customHeight="1">
      <c r="O3461" s="211"/>
      <c r="P3461" s="211"/>
    </row>
    <row r="3462" spans="15:16" ht="12.75" customHeight="1">
      <c r="O3462" s="211"/>
      <c r="P3462" s="211"/>
    </row>
    <row r="3463" spans="15:16" ht="12.75" customHeight="1">
      <c r="O3463" s="211"/>
      <c r="P3463" s="211"/>
    </row>
    <row r="3464" spans="15:16" ht="12.75" customHeight="1">
      <c r="O3464" s="211"/>
      <c r="P3464" s="211"/>
    </row>
    <row r="3465" spans="15:16" ht="12.75" customHeight="1">
      <c r="O3465" s="211"/>
      <c r="P3465" s="211"/>
    </row>
    <row r="3466" spans="15:16" ht="12.75" customHeight="1">
      <c r="O3466" s="211"/>
      <c r="P3466" s="211"/>
    </row>
    <row r="3467" spans="15:16" ht="12.75" customHeight="1">
      <c r="O3467" s="211"/>
      <c r="P3467" s="211"/>
    </row>
    <row r="3468" spans="15:16" ht="12.75" customHeight="1">
      <c r="O3468" s="211"/>
      <c r="P3468" s="211"/>
    </row>
    <row r="3469" spans="15:16" ht="12.75" customHeight="1">
      <c r="O3469" s="211"/>
      <c r="P3469" s="211"/>
    </row>
    <row r="3470" spans="15:16" ht="12.75" customHeight="1">
      <c r="O3470" s="211"/>
      <c r="P3470" s="211"/>
    </row>
    <row r="3471" spans="15:16" ht="12.75" customHeight="1">
      <c r="O3471" s="211"/>
      <c r="P3471" s="211"/>
    </row>
    <row r="3472" spans="15:16" ht="12.75" customHeight="1">
      <c r="O3472" s="211"/>
      <c r="P3472" s="211"/>
    </row>
    <row r="3473" spans="15:16" ht="12.75" customHeight="1">
      <c r="O3473" s="211"/>
      <c r="P3473" s="211"/>
    </row>
    <row r="3474" spans="15:16" ht="12.75" customHeight="1">
      <c r="O3474" s="211"/>
      <c r="P3474" s="211"/>
    </row>
    <row r="3475" spans="15:16" ht="12.75" customHeight="1">
      <c r="O3475" s="211"/>
      <c r="P3475" s="211"/>
    </row>
    <row r="3476" spans="15:16" ht="12.75" customHeight="1">
      <c r="O3476" s="211"/>
      <c r="P3476" s="211"/>
    </row>
    <row r="3477" spans="15:16" ht="12.75" customHeight="1">
      <c r="O3477" s="211"/>
      <c r="P3477" s="211"/>
    </row>
    <row r="3478" spans="15:16" ht="12.75" customHeight="1">
      <c r="O3478" s="211"/>
      <c r="P3478" s="211"/>
    </row>
    <row r="3479" spans="15:16" ht="12.75" customHeight="1">
      <c r="O3479" s="211"/>
      <c r="P3479" s="211"/>
    </row>
    <row r="3480" spans="15:16" ht="12.75" customHeight="1">
      <c r="O3480" s="211"/>
      <c r="P3480" s="211"/>
    </row>
    <row r="3481" spans="15:16" ht="12.75" customHeight="1">
      <c r="O3481" s="211"/>
      <c r="P3481" s="211"/>
    </row>
    <row r="3482" spans="15:16" ht="12.75" customHeight="1">
      <c r="O3482" s="211"/>
      <c r="P3482" s="211"/>
    </row>
    <row r="3483" spans="15:16" ht="12.75" customHeight="1">
      <c r="O3483" s="211"/>
      <c r="P3483" s="211"/>
    </row>
    <row r="3484" spans="15:16" ht="12.75" customHeight="1">
      <c r="O3484" s="211"/>
      <c r="P3484" s="211"/>
    </row>
    <row r="3485" spans="15:16" ht="12.75" customHeight="1">
      <c r="O3485" s="211"/>
      <c r="P3485" s="211"/>
    </row>
    <row r="3486" spans="15:16" ht="12.75" customHeight="1">
      <c r="O3486" s="211"/>
      <c r="P3486" s="211"/>
    </row>
    <row r="3487" spans="15:16" ht="12.75" customHeight="1">
      <c r="O3487" s="211"/>
      <c r="P3487" s="211"/>
    </row>
    <row r="3488" spans="15:16" ht="12.75" customHeight="1">
      <c r="O3488" s="211"/>
      <c r="P3488" s="211"/>
    </row>
    <row r="3489" spans="15:16" ht="12.75" customHeight="1">
      <c r="O3489" s="211"/>
      <c r="P3489" s="211"/>
    </row>
    <row r="3490" spans="15:16" ht="12.75" customHeight="1">
      <c r="O3490" s="211"/>
      <c r="P3490" s="211"/>
    </row>
    <row r="3491" spans="15:16" ht="12.75" customHeight="1">
      <c r="O3491" s="211"/>
      <c r="P3491" s="211"/>
    </row>
    <row r="3492" spans="15:16" ht="12.75" customHeight="1">
      <c r="O3492" s="211"/>
      <c r="P3492" s="211"/>
    </row>
    <row r="3493" spans="15:16" ht="12.75" customHeight="1">
      <c r="O3493" s="211"/>
      <c r="P3493" s="211"/>
    </row>
    <row r="3494" spans="15:16" ht="12.75" customHeight="1">
      <c r="O3494" s="211"/>
      <c r="P3494" s="211"/>
    </row>
    <row r="3495" spans="15:16" ht="12.75" customHeight="1">
      <c r="O3495" s="211"/>
      <c r="P3495" s="211"/>
    </row>
    <row r="3496" spans="15:16" ht="12.75" customHeight="1">
      <c r="O3496" s="211"/>
      <c r="P3496" s="211"/>
    </row>
    <row r="3497" spans="15:16" ht="12.75" customHeight="1">
      <c r="O3497" s="211"/>
      <c r="P3497" s="211"/>
    </row>
    <row r="3498" spans="15:16" ht="12.75" customHeight="1">
      <c r="O3498" s="211"/>
      <c r="P3498" s="211"/>
    </row>
    <row r="3499" spans="15:16" ht="12.75" customHeight="1">
      <c r="O3499" s="211"/>
      <c r="P3499" s="211"/>
    </row>
    <row r="3500" spans="15:16" ht="12.75" customHeight="1">
      <c r="O3500" s="211"/>
      <c r="P3500" s="211"/>
    </row>
    <row r="3501" spans="15:16" ht="12.75" customHeight="1">
      <c r="O3501" s="211"/>
      <c r="P3501" s="211"/>
    </row>
    <row r="3502" spans="15:16" ht="12.75" customHeight="1">
      <c r="O3502" s="211"/>
      <c r="P3502" s="211"/>
    </row>
    <row r="3503" spans="15:16" ht="12.75" customHeight="1">
      <c r="O3503" s="211"/>
      <c r="P3503" s="211"/>
    </row>
    <row r="3504" spans="15:16" ht="12.75" customHeight="1">
      <c r="O3504" s="211"/>
      <c r="P3504" s="211"/>
    </row>
    <row r="3505" spans="15:16" ht="12.75" customHeight="1">
      <c r="O3505" s="211"/>
      <c r="P3505" s="211"/>
    </row>
    <row r="3506" spans="15:16" ht="12.75" customHeight="1">
      <c r="O3506" s="211"/>
      <c r="P3506" s="211"/>
    </row>
    <row r="3507" spans="15:16" ht="12.75" customHeight="1">
      <c r="O3507" s="211"/>
      <c r="P3507" s="211"/>
    </row>
    <row r="3508" spans="15:16" ht="12.75" customHeight="1">
      <c r="O3508" s="211"/>
      <c r="P3508" s="211"/>
    </row>
    <row r="3509" spans="15:16" ht="12.75" customHeight="1">
      <c r="O3509" s="211"/>
      <c r="P3509" s="211"/>
    </row>
    <row r="3510" spans="15:16" ht="12.75" customHeight="1">
      <c r="O3510" s="211"/>
      <c r="P3510" s="211"/>
    </row>
    <row r="3511" spans="15:16" ht="12.75" customHeight="1">
      <c r="O3511" s="211"/>
      <c r="P3511" s="211"/>
    </row>
    <row r="3512" spans="15:16" ht="12.75" customHeight="1">
      <c r="O3512" s="211"/>
      <c r="P3512" s="211"/>
    </row>
    <row r="3513" spans="15:16" ht="12.75" customHeight="1">
      <c r="O3513" s="211"/>
      <c r="P3513" s="211"/>
    </row>
    <row r="3514" spans="15:16" ht="12.75" customHeight="1">
      <c r="O3514" s="211"/>
      <c r="P3514" s="211"/>
    </row>
    <row r="3515" spans="15:16" ht="12.75" customHeight="1">
      <c r="O3515" s="211"/>
      <c r="P3515" s="211"/>
    </row>
    <row r="3516" spans="15:16" ht="12.75" customHeight="1">
      <c r="O3516" s="211"/>
      <c r="P3516" s="211"/>
    </row>
    <row r="3517" spans="15:16" ht="12.75" customHeight="1">
      <c r="O3517" s="211"/>
      <c r="P3517" s="211"/>
    </row>
    <row r="3518" spans="15:16" ht="12.75" customHeight="1">
      <c r="O3518" s="211"/>
      <c r="P3518" s="211"/>
    </row>
    <row r="3519" spans="15:16" ht="12.75" customHeight="1">
      <c r="O3519" s="211"/>
      <c r="P3519" s="211"/>
    </row>
    <row r="3520" spans="15:16" ht="12.75" customHeight="1">
      <c r="O3520" s="211"/>
      <c r="P3520" s="211"/>
    </row>
    <row r="3521" spans="15:16" ht="12.75" customHeight="1">
      <c r="O3521" s="211"/>
      <c r="P3521" s="211"/>
    </row>
    <row r="3522" spans="15:16" ht="12.75" customHeight="1">
      <c r="O3522" s="211"/>
      <c r="P3522" s="211"/>
    </row>
    <row r="3523" spans="15:16" ht="12.75" customHeight="1">
      <c r="O3523" s="211"/>
      <c r="P3523" s="211"/>
    </row>
    <row r="3524" spans="15:16" ht="12.75" customHeight="1">
      <c r="O3524" s="211"/>
      <c r="P3524" s="211"/>
    </row>
    <row r="3525" spans="15:16" ht="12.75" customHeight="1">
      <c r="O3525" s="211"/>
      <c r="P3525" s="211"/>
    </row>
    <row r="3526" spans="15:16" ht="12.75" customHeight="1">
      <c r="O3526" s="211"/>
      <c r="P3526" s="211"/>
    </row>
    <row r="3527" spans="15:16" ht="12.75" customHeight="1">
      <c r="O3527" s="211"/>
      <c r="P3527" s="211"/>
    </row>
    <row r="3528" spans="15:16" ht="12.75" customHeight="1">
      <c r="O3528" s="211"/>
      <c r="P3528" s="211"/>
    </row>
    <row r="3529" spans="15:16" ht="12.75" customHeight="1">
      <c r="O3529" s="211"/>
      <c r="P3529" s="211"/>
    </row>
    <row r="3530" spans="15:16" ht="12.75" customHeight="1">
      <c r="O3530" s="211"/>
      <c r="P3530" s="211"/>
    </row>
    <row r="3531" spans="15:16" ht="12.75" customHeight="1">
      <c r="O3531" s="211"/>
      <c r="P3531" s="211"/>
    </row>
    <row r="3532" spans="15:16" ht="12.75" customHeight="1">
      <c r="O3532" s="211"/>
      <c r="P3532" s="211"/>
    </row>
    <row r="3533" spans="15:16" ht="12.75" customHeight="1">
      <c r="O3533" s="211"/>
      <c r="P3533" s="211"/>
    </row>
    <row r="3534" spans="15:16" ht="12.75" customHeight="1">
      <c r="O3534" s="211"/>
      <c r="P3534" s="211"/>
    </row>
    <row r="3535" spans="15:16" ht="12.75" customHeight="1">
      <c r="O3535" s="211"/>
      <c r="P3535" s="211"/>
    </row>
    <row r="3536" spans="15:16" ht="12.75" customHeight="1">
      <c r="O3536" s="211"/>
      <c r="P3536" s="211"/>
    </row>
    <row r="3537" spans="15:16" ht="12.75" customHeight="1">
      <c r="O3537" s="211"/>
      <c r="P3537" s="211"/>
    </row>
    <row r="3538" spans="15:16" ht="12.75" customHeight="1">
      <c r="O3538" s="211"/>
      <c r="P3538" s="211"/>
    </row>
    <row r="3539" spans="15:16" ht="12.75" customHeight="1">
      <c r="O3539" s="211"/>
      <c r="P3539" s="211"/>
    </row>
    <row r="3540" spans="15:16" ht="12.75" customHeight="1">
      <c r="O3540" s="211"/>
      <c r="P3540" s="211"/>
    </row>
    <row r="3541" spans="15:16" ht="12.75" customHeight="1">
      <c r="O3541" s="211"/>
      <c r="P3541" s="211"/>
    </row>
    <row r="3542" spans="15:16" ht="12.75" customHeight="1">
      <c r="O3542" s="211"/>
      <c r="P3542" s="211"/>
    </row>
    <row r="3543" spans="15:16" ht="12.75" customHeight="1">
      <c r="O3543" s="211"/>
      <c r="P3543" s="211"/>
    </row>
    <row r="3544" spans="15:16" ht="12.75" customHeight="1">
      <c r="O3544" s="211"/>
      <c r="P3544" s="211"/>
    </row>
    <row r="3545" spans="15:16" ht="12.75" customHeight="1">
      <c r="O3545" s="211"/>
      <c r="P3545" s="211"/>
    </row>
    <row r="3546" spans="15:16" ht="12.75" customHeight="1">
      <c r="O3546" s="211"/>
      <c r="P3546" s="211"/>
    </row>
    <row r="3547" spans="15:16" ht="12.75" customHeight="1">
      <c r="O3547" s="211"/>
      <c r="P3547" s="211"/>
    </row>
    <row r="3548" spans="15:16" ht="12.75" customHeight="1">
      <c r="O3548" s="211"/>
      <c r="P3548" s="211"/>
    </row>
    <row r="3549" spans="15:16" ht="12.75" customHeight="1">
      <c r="O3549" s="211"/>
      <c r="P3549" s="211"/>
    </row>
    <row r="3550" spans="15:16" ht="12.75" customHeight="1">
      <c r="O3550" s="211"/>
      <c r="P3550" s="211"/>
    </row>
    <row r="3551" spans="15:16" ht="12.75" customHeight="1">
      <c r="O3551" s="211"/>
      <c r="P3551" s="211"/>
    </row>
    <row r="3552" spans="15:16" ht="12.75" customHeight="1">
      <c r="O3552" s="211"/>
      <c r="P3552" s="211"/>
    </row>
    <row r="3553" spans="15:16" ht="12.75" customHeight="1">
      <c r="O3553" s="211"/>
      <c r="P3553" s="211"/>
    </row>
    <row r="3554" spans="15:16" ht="12.75" customHeight="1">
      <c r="O3554" s="211"/>
      <c r="P3554" s="211"/>
    </row>
    <row r="3555" spans="15:16" ht="12.75" customHeight="1">
      <c r="O3555" s="211"/>
      <c r="P3555" s="211"/>
    </row>
    <row r="3556" spans="15:16" ht="12.75" customHeight="1">
      <c r="O3556" s="211"/>
      <c r="P3556" s="211"/>
    </row>
    <row r="3557" spans="15:16" ht="12.75" customHeight="1">
      <c r="O3557" s="211"/>
      <c r="P3557" s="211"/>
    </row>
    <row r="3558" spans="15:16" ht="12.75" customHeight="1">
      <c r="O3558" s="211"/>
      <c r="P3558" s="211"/>
    </row>
    <row r="3559" spans="15:16" ht="12.75" customHeight="1">
      <c r="O3559" s="211"/>
      <c r="P3559" s="211"/>
    </row>
    <row r="3560" spans="15:16" ht="12.75" customHeight="1">
      <c r="O3560" s="211"/>
      <c r="P3560" s="211"/>
    </row>
    <row r="3561" spans="15:16" ht="12.75" customHeight="1">
      <c r="O3561" s="211"/>
      <c r="P3561" s="211"/>
    </row>
    <row r="3562" spans="15:16" ht="12.75" customHeight="1">
      <c r="O3562" s="211"/>
      <c r="P3562" s="211"/>
    </row>
    <row r="3563" spans="15:16" ht="12.75" customHeight="1">
      <c r="O3563" s="211"/>
      <c r="P3563" s="211"/>
    </row>
    <row r="3564" spans="15:16" ht="12.75" customHeight="1">
      <c r="O3564" s="211"/>
      <c r="P3564" s="211"/>
    </row>
    <row r="3565" spans="15:16" ht="12.75" customHeight="1">
      <c r="O3565" s="211"/>
      <c r="P3565" s="211"/>
    </row>
    <row r="3566" spans="15:16" ht="12.75" customHeight="1">
      <c r="O3566" s="211"/>
      <c r="P3566" s="211"/>
    </row>
    <row r="3567" spans="15:16" ht="12.75" customHeight="1">
      <c r="O3567" s="211"/>
      <c r="P3567" s="211"/>
    </row>
    <row r="3568" spans="15:16" ht="12.75" customHeight="1">
      <c r="O3568" s="211"/>
      <c r="P3568" s="211"/>
    </row>
    <row r="3569" spans="15:16" ht="12.75" customHeight="1">
      <c r="O3569" s="211"/>
      <c r="P3569" s="211"/>
    </row>
    <row r="3570" spans="15:16" ht="12.75" customHeight="1">
      <c r="O3570" s="211"/>
      <c r="P3570" s="211"/>
    </row>
    <row r="3571" spans="15:16" ht="12.75" customHeight="1">
      <c r="O3571" s="211"/>
      <c r="P3571" s="211"/>
    </row>
    <row r="3572" spans="15:16" ht="12.75" customHeight="1">
      <c r="O3572" s="211"/>
      <c r="P3572" s="211"/>
    </row>
    <row r="3573" spans="15:16" ht="12.75" customHeight="1">
      <c r="O3573" s="211"/>
      <c r="P3573" s="211"/>
    </row>
    <row r="3574" spans="15:16" ht="12.75" customHeight="1">
      <c r="O3574" s="211"/>
      <c r="P3574" s="211"/>
    </row>
    <row r="3575" spans="15:16" ht="12.75" customHeight="1">
      <c r="O3575" s="211"/>
      <c r="P3575" s="211"/>
    </row>
    <row r="3576" spans="15:16" ht="12.75" customHeight="1">
      <c r="O3576" s="211"/>
      <c r="P3576" s="211"/>
    </row>
    <row r="3577" spans="15:16" ht="12.75" customHeight="1">
      <c r="O3577" s="211"/>
      <c r="P3577" s="211"/>
    </row>
    <row r="3578" spans="15:16" ht="12.75" customHeight="1">
      <c r="O3578" s="211"/>
      <c r="P3578" s="211"/>
    </row>
    <row r="3579" spans="15:16" ht="12.75" customHeight="1">
      <c r="O3579" s="211"/>
      <c r="P3579" s="211"/>
    </row>
    <row r="3580" spans="15:16" ht="12.75" customHeight="1">
      <c r="O3580" s="211"/>
      <c r="P3580" s="211"/>
    </row>
    <row r="3581" spans="15:16" ht="12.75" customHeight="1">
      <c r="O3581" s="211"/>
      <c r="P3581" s="211"/>
    </row>
    <row r="3582" spans="15:16" ht="12.75" customHeight="1">
      <c r="O3582" s="211"/>
      <c r="P3582" s="211"/>
    </row>
    <row r="3583" spans="15:16" ht="12.75" customHeight="1">
      <c r="O3583" s="211"/>
      <c r="P3583" s="211"/>
    </row>
    <row r="3584" spans="15:16" ht="12.75" customHeight="1">
      <c r="O3584" s="211"/>
      <c r="P3584" s="211"/>
    </row>
    <row r="3585" spans="15:16" ht="12.75" customHeight="1">
      <c r="O3585" s="211"/>
      <c r="P3585" s="211"/>
    </row>
    <row r="3586" spans="15:16" ht="12.75" customHeight="1">
      <c r="O3586" s="211"/>
      <c r="P3586" s="211"/>
    </row>
    <row r="3587" spans="15:16" ht="12.75" customHeight="1">
      <c r="O3587" s="211"/>
      <c r="P3587" s="211"/>
    </row>
    <row r="3588" spans="15:16" ht="12.75" customHeight="1">
      <c r="O3588" s="211"/>
      <c r="P3588" s="211"/>
    </row>
    <row r="3589" spans="15:16" ht="12.75" customHeight="1">
      <c r="O3589" s="211"/>
      <c r="P3589" s="211"/>
    </row>
    <row r="3590" spans="15:16" ht="12.75" customHeight="1">
      <c r="O3590" s="211"/>
      <c r="P3590" s="211"/>
    </row>
    <row r="3591" spans="15:16" ht="12.75" customHeight="1">
      <c r="O3591" s="211"/>
      <c r="P3591" s="211"/>
    </row>
    <row r="3592" spans="15:16" ht="12.75" customHeight="1">
      <c r="O3592" s="211"/>
      <c r="P3592" s="211"/>
    </row>
    <row r="3593" spans="15:16" ht="12.75" customHeight="1">
      <c r="O3593" s="211"/>
      <c r="P3593" s="211"/>
    </row>
    <row r="3594" spans="15:16" ht="12.75" customHeight="1">
      <c r="O3594" s="211"/>
      <c r="P3594" s="211"/>
    </row>
    <row r="3595" spans="15:16" ht="12.75" customHeight="1">
      <c r="O3595" s="211"/>
      <c r="P3595" s="211"/>
    </row>
    <row r="3596" spans="15:16" ht="12.75" customHeight="1">
      <c r="O3596" s="211"/>
      <c r="P3596" s="211"/>
    </row>
    <row r="3597" spans="15:16" ht="12.75" customHeight="1">
      <c r="O3597" s="211"/>
      <c r="P3597" s="211"/>
    </row>
    <row r="3598" spans="15:16" ht="12.75" customHeight="1">
      <c r="O3598" s="211"/>
      <c r="P3598" s="211"/>
    </row>
    <row r="3599" spans="15:16" ht="12.75" customHeight="1">
      <c r="O3599" s="211"/>
      <c r="P3599" s="211"/>
    </row>
    <row r="3600" spans="15:16" ht="12.75" customHeight="1">
      <c r="O3600" s="211"/>
      <c r="P3600" s="211"/>
    </row>
    <row r="3601" spans="15:16" ht="12.75" customHeight="1">
      <c r="O3601" s="211"/>
      <c r="P3601" s="211"/>
    </row>
    <row r="3602" spans="15:16" ht="12.75" customHeight="1">
      <c r="O3602" s="211"/>
      <c r="P3602" s="211"/>
    </row>
    <row r="3603" spans="15:16" ht="12.75" customHeight="1">
      <c r="O3603" s="211"/>
      <c r="P3603" s="211"/>
    </row>
    <row r="3604" spans="15:16" ht="12.75" customHeight="1">
      <c r="O3604" s="211"/>
      <c r="P3604" s="211"/>
    </row>
    <row r="3605" spans="15:16" ht="12.75" customHeight="1">
      <c r="O3605" s="211"/>
      <c r="P3605" s="211"/>
    </row>
    <row r="3606" spans="15:16" ht="12.75" customHeight="1">
      <c r="O3606" s="211"/>
      <c r="P3606" s="211"/>
    </row>
    <row r="3607" spans="15:16" ht="12.75" customHeight="1">
      <c r="O3607" s="211"/>
      <c r="P3607" s="211"/>
    </row>
    <row r="3608" spans="15:16" ht="12.75" customHeight="1">
      <c r="O3608" s="211"/>
      <c r="P3608" s="211"/>
    </row>
    <row r="3609" spans="15:16" ht="12.75" customHeight="1">
      <c r="O3609" s="211"/>
      <c r="P3609" s="211"/>
    </row>
    <row r="3610" spans="15:16" ht="12.75" customHeight="1">
      <c r="O3610" s="211"/>
      <c r="P3610" s="211"/>
    </row>
    <row r="3611" spans="15:16" ht="12.75" customHeight="1">
      <c r="O3611" s="211"/>
      <c r="P3611" s="211"/>
    </row>
    <row r="3612" spans="15:16" ht="12.75" customHeight="1">
      <c r="O3612" s="211"/>
      <c r="P3612" s="211"/>
    </row>
    <row r="3613" spans="15:16" ht="12.75" customHeight="1">
      <c r="O3613" s="211"/>
      <c r="P3613" s="211"/>
    </row>
    <row r="3614" spans="15:16" ht="12.75" customHeight="1">
      <c r="O3614" s="211"/>
      <c r="P3614" s="211"/>
    </row>
    <row r="3615" spans="15:16" ht="12.75" customHeight="1">
      <c r="O3615" s="211"/>
      <c r="P3615" s="211"/>
    </row>
    <row r="3616" spans="15:16" ht="12.75" customHeight="1">
      <c r="O3616" s="211"/>
      <c r="P3616" s="211"/>
    </row>
    <row r="3617" spans="15:16" ht="12.75" customHeight="1">
      <c r="O3617" s="211"/>
      <c r="P3617" s="211"/>
    </row>
    <row r="3618" spans="15:16" ht="12.75" customHeight="1">
      <c r="O3618" s="211"/>
      <c r="P3618" s="211"/>
    </row>
    <row r="3619" spans="15:16" ht="12.75" customHeight="1">
      <c r="O3619" s="211"/>
      <c r="P3619" s="211"/>
    </row>
    <row r="3620" spans="15:16" ht="12.75" customHeight="1">
      <c r="O3620" s="211"/>
      <c r="P3620" s="211"/>
    </row>
    <row r="3621" spans="15:16" ht="12.75" customHeight="1">
      <c r="O3621" s="211"/>
      <c r="P3621" s="211"/>
    </row>
    <row r="3622" spans="15:16" ht="12.75" customHeight="1">
      <c r="O3622" s="211"/>
      <c r="P3622" s="211"/>
    </row>
    <row r="3623" spans="15:16" ht="12.75" customHeight="1">
      <c r="O3623" s="211"/>
      <c r="P3623" s="211"/>
    </row>
    <row r="3624" spans="15:16" ht="12.75" customHeight="1">
      <c r="O3624" s="211"/>
      <c r="P3624" s="211"/>
    </row>
    <row r="3625" spans="15:16" ht="12.75" customHeight="1">
      <c r="O3625" s="211"/>
      <c r="P3625" s="211"/>
    </row>
    <row r="3626" spans="15:16" ht="12.75" customHeight="1">
      <c r="O3626" s="211"/>
      <c r="P3626" s="211"/>
    </row>
    <row r="3627" spans="15:16" ht="12.75" customHeight="1">
      <c r="O3627" s="211"/>
      <c r="P3627" s="211"/>
    </row>
    <row r="3628" spans="15:16" ht="12.75" customHeight="1">
      <c r="O3628" s="211"/>
      <c r="P3628" s="211"/>
    </row>
    <row r="3629" spans="15:16" ht="12.75" customHeight="1">
      <c r="O3629" s="211"/>
      <c r="P3629" s="211"/>
    </row>
    <row r="3630" spans="15:16" ht="12.75" customHeight="1">
      <c r="O3630" s="211"/>
      <c r="P3630" s="211"/>
    </row>
    <row r="3631" spans="15:16" ht="12.75" customHeight="1">
      <c r="O3631" s="211"/>
      <c r="P3631" s="211"/>
    </row>
    <row r="3632" spans="15:16" ht="12.75" customHeight="1">
      <c r="O3632" s="211"/>
      <c r="P3632" s="211"/>
    </row>
    <row r="3633" spans="15:16" ht="12.75" customHeight="1">
      <c r="O3633" s="211"/>
      <c r="P3633" s="211"/>
    </row>
    <row r="3634" spans="15:16" ht="12.75" customHeight="1">
      <c r="O3634" s="211"/>
      <c r="P3634" s="211"/>
    </row>
    <row r="3635" spans="15:16" ht="12.75" customHeight="1">
      <c r="O3635" s="211"/>
      <c r="P3635" s="211"/>
    </row>
    <row r="3636" spans="15:16" ht="12.75" customHeight="1">
      <c r="O3636" s="211"/>
      <c r="P3636" s="211"/>
    </row>
    <row r="3637" spans="15:16" ht="12.75" customHeight="1">
      <c r="O3637" s="211"/>
      <c r="P3637" s="211"/>
    </row>
    <row r="3638" spans="15:16" ht="12.75" customHeight="1">
      <c r="O3638" s="211"/>
      <c r="P3638" s="211"/>
    </row>
    <row r="3639" spans="15:16" ht="12.75" customHeight="1">
      <c r="O3639" s="211"/>
      <c r="P3639" s="211"/>
    </row>
    <row r="3640" spans="15:16" ht="12.75" customHeight="1">
      <c r="O3640" s="211"/>
      <c r="P3640" s="211"/>
    </row>
    <row r="3641" spans="15:16" ht="12.75" customHeight="1">
      <c r="O3641" s="211"/>
      <c r="P3641" s="211"/>
    </row>
    <row r="3642" spans="15:16" ht="12.75" customHeight="1">
      <c r="O3642" s="211"/>
      <c r="P3642" s="211"/>
    </row>
    <row r="3643" spans="15:16" ht="12.75" customHeight="1">
      <c r="O3643" s="211"/>
      <c r="P3643" s="211"/>
    </row>
    <row r="3644" spans="15:16" ht="12.75" customHeight="1">
      <c r="O3644" s="211"/>
      <c r="P3644" s="211"/>
    </row>
    <row r="3645" spans="15:16" ht="12.75" customHeight="1">
      <c r="O3645" s="211"/>
      <c r="P3645" s="211"/>
    </row>
    <row r="3646" spans="15:16" ht="12.75" customHeight="1">
      <c r="O3646" s="211"/>
      <c r="P3646" s="211"/>
    </row>
    <row r="3647" spans="15:16" ht="12.75" customHeight="1">
      <c r="O3647" s="211"/>
      <c r="P3647" s="211"/>
    </row>
    <row r="3648" spans="15:16" ht="12.75" customHeight="1">
      <c r="O3648" s="211"/>
      <c r="P3648" s="211"/>
    </row>
    <row r="3649" spans="15:16" ht="12.75" customHeight="1">
      <c r="O3649" s="211"/>
      <c r="P3649" s="211"/>
    </row>
    <row r="3650" spans="15:16" ht="12.75" customHeight="1">
      <c r="O3650" s="211"/>
      <c r="P3650" s="211"/>
    </row>
    <row r="3651" spans="15:16" ht="12.75" customHeight="1">
      <c r="O3651" s="211"/>
      <c r="P3651" s="211"/>
    </row>
    <row r="3652" spans="15:16" ht="12.75" customHeight="1">
      <c r="O3652" s="211"/>
      <c r="P3652" s="211"/>
    </row>
    <row r="3653" spans="15:16" ht="12.75" customHeight="1">
      <c r="O3653" s="211"/>
      <c r="P3653" s="211"/>
    </row>
    <row r="3654" spans="15:16" ht="12.75" customHeight="1">
      <c r="O3654" s="211"/>
      <c r="P3654" s="211"/>
    </row>
    <row r="3655" spans="15:16" ht="12.75" customHeight="1">
      <c r="O3655" s="211"/>
      <c r="P3655" s="211"/>
    </row>
    <row r="3656" spans="15:16" ht="12.75" customHeight="1">
      <c r="O3656" s="211"/>
      <c r="P3656" s="211"/>
    </row>
    <row r="3657" spans="15:16" ht="12.75" customHeight="1">
      <c r="O3657" s="211"/>
      <c r="P3657" s="211"/>
    </row>
    <row r="3658" spans="15:16" ht="12.75" customHeight="1">
      <c r="O3658" s="211"/>
      <c r="P3658" s="211"/>
    </row>
    <row r="3659" spans="15:16" ht="12.75" customHeight="1">
      <c r="O3659" s="211"/>
      <c r="P3659" s="211"/>
    </row>
    <row r="3660" spans="15:16" ht="12.75" customHeight="1">
      <c r="O3660" s="211"/>
      <c r="P3660" s="211"/>
    </row>
    <row r="3661" spans="15:16" ht="12.75" customHeight="1">
      <c r="O3661" s="211"/>
      <c r="P3661" s="211"/>
    </row>
    <row r="3662" spans="15:16" ht="12.75" customHeight="1">
      <c r="O3662" s="211"/>
      <c r="P3662" s="211"/>
    </row>
    <row r="3663" spans="15:16" ht="12.75" customHeight="1">
      <c r="O3663" s="211"/>
      <c r="P3663" s="211"/>
    </row>
    <row r="3664" spans="15:16" ht="12.75" customHeight="1">
      <c r="O3664" s="211"/>
      <c r="P3664" s="211"/>
    </row>
    <row r="3665" spans="15:16" ht="12.75" customHeight="1">
      <c r="O3665" s="211"/>
      <c r="P3665" s="211"/>
    </row>
    <row r="3666" spans="15:16" ht="12.75" customHeight="1">
      <c r="O3666" s="211"/>
      <c r="P3666" s="211"/>
    </row>
    <row r="3667" spans="15:16" ht="12.75" customHeight="1">
      <c r="O3667" s="211"/>
      <c r="P3667" s="211"/>
    </row>
    <row r="3668" spans="15:16" ht="12.75" customHeight="1">
      <c r="O3668" s="211"/>
      <c r="P3668" s="211"/>
    </row>
    <row r="3669" spans="15:16" ht="12.75" customHeight="1">
      <c r="O3669" s="211"/>
      <c r="P3669" s="211"/>
    </row>
    <row r="3670" spans="15:16" ht="12.75" customHeight="1">
      <c r="O3670" s="211"/>
      <c r="P3670" s="211"/>
    </row>
    <row r="3671" spans="15:16" ht="12.75" customHeight="1">
      <c r="O3671" s="211"/>
      <c r="P3671" s="211"/>
    </row>
    <row r="3672" spans="15:16" ht="12.75" customHeight="1">
      <c r="O3672" s="211"/>
      <c r="P3672" s="211"/>
    </row>
    <row r="3673" spans="15:16" ht="12.75" customHeight="1">
      <c r="O3673" s="211"/>
      <c r="P3673" s="211"/>
    </row>
    <row r="3674" spans="15:16" ht="12.75" customHeight="1">
      <c r="O3674" s="211"/>
      <c r="P3674" s="211"/>
    </row>
    <row r="3675" spans="15:16" ht="12.75" customHeight="1">
      <c r="O3675" s="211"/>
      <c r="P3675" s="211"/>
    </row>
    <row r="3676" spans="15:16" ht="12.75" customHeight="1">
      <c r="O3676" s="211"/>
      <c r="P3676" s="211"/>
    </row>
    <row r="3677" spans="15:16" ht="12.75" customHeight="1">
      <c r="O3677" s="211"/>
      <c r="P3677" s="211"/>
    </row>
    <row r="3678" spans="15:16" ht="12.75" customHeight="1">
      <c r="O3678" s="211"/>
      <c r="P3678" s="211"/>
    </row>
    <row r="3679" spans="15:16" ht="12.75" customHeight="1">
      <c r="O3679" s="211"/>
      <c r="P3679" s="211"/>
    </row>
    <row r="3680" spans="15:16" ht="12.75" customHeight="1">
      <c r="O3680" s="211"/>
      <c r="P3680" s="211"/>
    </row>
    <row r="3681" spans="15:16" ht="12.75" customHeight="1">
      <c r="O3681" s="211"/>
      <c r="P3681" s="211"/>
    </row>
    <row r="3682" spans="15:16" ht="12.75" customHeight="1">
      <c r="O3682" s="211"/>
      <c r="P3682" s="211"/>
    </row>
    <row r="3683" spans="15:16" ht="12.75" customHeight="1">
      <c r="O3683" s="211"/>
      <c r="P3683" s="211"/>
    </row>
    <row r="3684" spans="15:16" ht="12.75" customHeight="1">
      <c r="O3684" s="211"/>
      <c r="P3684" s="211"/>
    </row>
    <row r="3685" spans="15:16" ht="12.75" customHeight="1">
      <c r="O3685" s="211"/>
      <c r="P3685" s="211"/>
    </row>
    <row r="3686" spans="15:16" ht="12.75" customHeight="1">
      <c r="O3686" s="211"/>
      <c r="P3686" s="211"/>
    </row>
    <row r="3687" spans="15:16" ht="12.75" customHeight="1">
      <c r="O3687" s="211"/>
      <c r="P3687" s="211"/>
    </row>
    <row r="3688" spans="15:16" ht="12.75" customHeight="1">
      <c r="O3688" s="211"/>
      <c r="P3688" s="211"/>
    </row>
    <row r="3689" spans="15:16" ht="12.75" customHeight="1">
      <c r="O3689" s="211"/>
      <c r="P3689" s="211"/>
    </row>
    <row r="3690" spans="15:16" ht="12.75" customHeight="1">
      <c r="O3690" s="211"/>
      <c r="P3690" s="211"/>
    </row>
    <row r="3691" spans="15:16" ht="12.75" customHeight="1">
      <c r="O3691" s="211"/>
      <c r="P3691" s="211"/>
    </row>
    <row r="3692" spans="15:16" ht="12.75" customHeight="1">
      <c r="O3692" s="211"/>
      <c r="P3692" s="211"/>
    </row>
    <row r="3693" spans="15:16" ht="12.75" customHeight="1">
      <c r="O3693" s="211"/>
      <c r="P3693" s="211"/>
    </row>
    <row r="3694" spans="15:16" ht="12.75" customHeight="1">
      <c r="O3694" s="211"/>
      <c r="P3694" s="211"/>
    </row>
    <row r="3695" spans="15:16" ht="12.75" customHeight="1">
      <c r="O3695" s="211"/>
      <c r="P3695" s="211"/>
    </row>
    <row r="3696" spans="15:16" ht="12.75" customHeight="1">
      <c r="O3696" s="211"/>
      <c r="P3696" s="211"/>
    </row>
    <row r="3697" spans="15:16" ht="12.75" customHeight="1">
      <c r="O3697" s="211"/>
      <c r="P3697" s="211"/>
    </row>
    <row r="3698" spans="15:16" ht="12.75" customHeight="1">
      <c r="O3698" s="211"/>
      <c r="P3698" s="211"/>
    </row>
    <row r="3699" spans="15:16" ht="12.75" customHeight="1">
      <c r="O3699" s="211"/>
      <c r="P3699" s="211"/>
    </row>
    <row r="3700" spans="15:16" ht="12.75" customHeight="1">
      <c r="O3700" s="211"/>
      <c r="P3700" s="211"/>
    </row>
    <row r="3701" spans="15:16" ht="12.75" customHeight="1">
      <c r="O3701" s="211"/>
      <c r="P3701" s="211"/>
    </row>
    <row r="3702" spans="15:16" ht="12.75" customHeight="1">
      <c r="O3702" s="211"/>
      <c r="P3702" s="211"/>
    </row>
    <row r="3703" spans="15:16" ht="12.75" customHeight="1">
      <c r="O3703" s="211"/>
      <c r="P3703" s="211"/>
    </row>
    <row r="3704" spans="15:16" ht="12.75" customHeight="1">
      <c r="O3704" s="211"/>
      <c r="P3704" s="211"/>
    </row>
    <row r="3705" spans="15:16" ht="12.75" customHeight="1">
      <c r="O3705" s="211"/>
      <c r="P3705" s="211"/>
    </row>
    <row r="3706" spans="15:16" ht="12.75" customHeight="1">
      <c r="O3706" s="211"/>
      <c r="P3706" s="211"/>
    </row>
    <row r="3707" spans="15:16" ht="12.75" customHeight="1">
      <c r="O3707" s="211"/>
      <c r="P3707" s="211"/>
    </row>
    <row r="3708" spans="15:16" ht="12.75" customHeight="1">
      <c r="O3708" s="211"/>
      <c r="P3708" s="211"/>
    </row>
    <row r="3709" spans="15:16" ht="12.75" customHeight="1">
      <c r="O3709" s="211"/>
      <c r="P3709" s="211"/>
    </row>
    <row r="3710" spans="15:16" ht="12.75" customHeight="1">
      <c r="O3710" s="211"/>
      <c r="P3710" s="211"/>
    </row>
    <row r="3711" spans="15:16" ht="12.75" customHeight="1">
      <c r="O3711" s="211"/>
      <c r="P3711" s="211"/>
    </row>
    <row r="3712" spans="15:16" ht="12.75" customHeight="1">
      <c r="O3712" s="211"/>
      <c r="P3712" s="211"/>
    </row>
    <row r="3713" spans="15:16" ht="12.75" customHeight="1">
      <c r="O3713" s="211"/>
      <c r="P3713" s="211"/>
    </row>
    <row r="3714" spans="15:16" ht="12.75" customHeight="1">
      <c r="O3714" s="211"/>
      <c r="P3714" s="211"/>
    </row>
    <row r="3715" spans="15:16" ht="12.75" customHeight="1">
      <c r="O3715" s="211"/>
      <c r="P3715" s="211"/>
    </row>
    <row r="3716" spans="15:16" ht="12.75" customHeight="1">
      <c r="O3716" s="211"/>
      <c r="P3716" s="211"/>
    </row>
    <row r="3717" spans="15:16" ht="12.75" customHeight="1">
      <c r="O3717" s="211"/>
      <c r="P3717" s="211"/>
    </row>
    <row r="3718" spans="15:16" ht="12.75" customHeight="1">
      <c r="O3718" s="211"/>
      <c r="P3718" s="211"/>
    </row>
    <row r="3719" spans="15:16" ht="12.75" customHeight="1">
      <c r="O3719" s="211"/>
      <c r="P3719" s="211"/>
    </row>
    <row r="3720" spans="15:16" ht="12.75" customHeight="1">
      <c r="O3720" s="211"/>
      <c r="P3720" s="211"/>
    </row>
    <row r="3721" spans="15:16" ht="12.75" customHeight="1">
      <c r="O3721" s="211"/>
      <c r="P3721" s="211"/>
    </row>
    <row r="3722" spans="15:16" ht="12.75" customHeight="1">
      <c r="O3722" s="211"/>
      <c r="P3722" s="211"/>
    </row>
    <row r="3723" spans="15:16" ht="12.75" customHeight="1">
      <c r="O3723" s="211"/>
      <c r="P3723" s="211"/>
    </row>
    <row r="3724" spans="15:16" ht="12.75" customHeight="1">
      <c r="O3724" s="211"/>
      <c r="P3724" s="211"/>
    </row>
    <row r="3725" spans="15:16" ht="12.75" customHeight="1">
      <c r="O3725" s="211"/>
      <c r="P3725" s="211"/>
    </row>
    <row r="3726" spans="15:16" ht="12.75" customHeight="1">
      <c r="O3726" s="211"/>
      <c r="P3726" s="211"/>
    </row>
    <row r="3727" spans="15:16" ht="12.75" customHeight="1">
      <c r="O3727" s="211"/>
      <c r="P3727" s="211"/>
    </row>
  </sheetData>
  <dataConsolidate link="1"/>
  <mergeCells count="189">
    <mergeCell ref="H1313:L1313"/>
    <mergeCell ref="H1316:L1316"/>
    <mergeCell ref="H1321:L1321"/>
    <mergeCell ref="B635:L635"/>
    <mergeCell ref="B708:L708"/>
    <mergeCell ref="C578:L578"/>
    <mergeCell ref="D582:L582"/>
    <mergeCell ref="D584:L584"/>
    <mergeCell ref="B633:L633"/>
    <mergeCell ref="D588:L588"/>
    <mergeCell ref="E624:L624"/>
    <mergeCell ref="B601:L601"/>
    <mergeCell ref="H1267:L1267"/>
    <mergeCell ref="J1254:K1254"/>
    <mergeCell ref="J1231:K1231"/>
    <mergeCell ref="H1288:L1288"/>
    <mergeCell ref="H1278:L1278"/>
    <mergeCell ref="H1303:L1303"/>
    <mergeCell ref="H1307:L1307"/>
    <mergeCell ref="B713:L713"/>
    <mergeCell ref="E734:L734"/>
    <mergeCell ref="H1291:L1291"/>
    <mergeCell ref="K1119:K1129"/>
    <mergeCell ref="B841:L841"/>
    <mergeCell ref="B326:L326"/>
    <mergeCell ref="B412:L412"/>
    <mergeCell ref="C263:L263"/>
    <mergeCell ref="C266:L266"/>
    <mergeCell ref="C265:L265"/>
    <mergeCell ref="C424:L424"/>
    <mergeCell ref="B476:L476"/>
    <mergeCell ref="C267:L267"/>
    <mergeCell ref="E504:L504"/>
    <mergeCell ref="B279:L279"/>
    <mergeCell ref="B284:L284"/>
    <mergeCell ref="B296:L296"/>
    <mergeCell ref="B302:L302"/>
    <mergeCell ref="E335:L335"/>
    <mergeCell ref="B318:L318"/>
    <mergeCell ref="B416:L416"/>
    <mergeCell ref="B355:L355"/>
    <mergeCell ref="B359:L359"/>
    <mergeCell ref="E315:L315"/>
    <mergeCell ref="B420:L420"/>
    <mergeCell ref="B530:L530"/>
    <mergeCell ref="E503:L503"/>
    <mergeCell ref="B520:L520"/>
    <mergeCell ref="B369:L369"/>
    <mergeCell ref="B361:L361"/>
    <mergeCell ref="B372:L372"/>
    <mergeCell ref="C422:L422"/>
    <mergeCell ref="C423:L423"/>
    <mergeCell ref="B374:L374"/>
    <mergeCell ref="B418:L418"/>
    <mergeCell ref="K1138:K1148"/>
    <mergeCell ref="B1091:L1091"/>
    <mergeCell ref="C947:L947"/>
    <mergeCell ref="B1106:L1106"/>
    <mergeCell ref="B1070:L1070"/>
    <mergeCell ref="B1080:L1080"/>
    <mergeCell ref="E536:L536"/>
    <mergeCell ref="E32:L32"/>
    <mergeCell ref="C177:L177"/>
    <mergeCell ref="C55:L55"/>
    <mergeCell ref="C59:L59"/>
    <mergeCell ref="C61:L61"/>
    <mergeCell ref="C89:L89"/>
    <mergeCell ref="C110:L110"/>
    <mergeCell ref="C151:L151"/>
    <mergeCell ref="E121:L121"/>
    <mergeCell ref="E47:L47"/>
    <mergeCell ref="C253:L253"/>
    <mergeCell ref="C261:L261"/>
    <mergeCell ref="C209:L209"/>
    <mergeCell ref="B215:L215"/>
    <mergeCell ref="B217:L217"/>
    <mergeCell ref="E344:L344"/>
    <mergeCell ref="E512:L512"/>
    <mergeCell ref="H1343:L1343"/>
    <mergeCell ref="H1346:L1346"/>
    <mergeCell ref="H1326:L1326"/>
    <mergeCell ref="H1330:L1330"/>
    <mergeCell ref="H1334:L1334"/>
    <mergeCell ref="H1271:L1271"/>
    <mergeCell ref="H1275:L1275"/>
    <mergeCell ref="B7:L7"/>
    <mergeCell ref="E5:G5"/>
    <mergeCell ref="B1172:L1172"/>
    <mergeCell ref="G1216:L1216"/>
    <mergeCell ref="B1205:L1205"/>
    <mergeCell ref="B1191:L1191"/>
    <mergeCell ref="J1187:K1187"/>
    <mergeCell ref="B1224:L1224"/>
    <mergeCell ref="J1225:K1225"/>
    <mergeCell ref="G1218:L1218"/>
    <mergeCell ref="B1157:L1157"/>
    <mergeCell ref="B1117:K1117"/>
    <mergeCell ref="C1022:L1022"/>
    <mergeCell ref="B1037:L1037"/>
    <mergeCell ref="B1101:L1101"/>
    <mergeCell ref="B1104:L1104"/>
    <mergeCell ref="E870:L870"/>
    <mergeCell ref="C949:L949"/>
    <mergeCell ref="B1111:L1111"/>
    <mergeCell ref="B971:L971"/>
    <mergeCell ref="B976:L976"/>
    <mergeCell ref="B974:L974"/>
    <mergeCell ref="C1020:L1020"/>
    <mergeCell ref="B1057:L1057"/>
    <mergeCell ref="B1353:U1353"/>
    <mergeCell ref="J1177:K1177"/>
    <mergeCell ref="J1179:K1179"/>
    <mergeCell ref="J1181:K1181"/>
    <mergeCell ref="J1185:K1185"/>
    <mergeCell ref="J1189:K1189"/>
    <mergeCell ref="G1217:L1217"/>
    <mergeCell ref="B1260:L1260"/>
    <mergeCell ref="J1249:K1249"/>
    <mergeCell ref="H1285:L1285"/>
    <mergeCell ref="H1261:L1261"/>
    <mergeCell ref="J1236:K1236"/>
    <mergeCell ref="J1243:K1243"/>
    <mergeCell ref="H1294:L1294"/>
    <mergeCell ref="H1299:L1299"/>
    <mergeCell ref="B1242:L1242"/>
    <mergeCell ref="H1338:L1338"/>
    <mergeCell ref="B744:L744"/>
    <mergeCell ref="B810:L810"/>
    <mergeCell ref="B528:L528"/>
    <mergeCell ref="B481:L481"/>
    <mergeCell ref="B483:L483"/>
    <mergeCell ref="E434:L434"/>
    <mergeCell ref="B436:L436"/>
    <mergeCell ref="B444:L444"/>
    <mergeCell ref="B446:L446"/>
    <mergeCell ref="B485:L485"/>
    <mergeCell ref="C487:L487"/>
    <mergeCell ref="C488:L488"/>
    <mergeCell ref="C489:L489"/>
    <mergeCell ref="B552:L552"/>
    <mergeCell ref="B572:L572"/>
    <mergeCell ref="C576:L576"/>
    <mergeCell ref="C577:L577"/>
    <mergeCell ref="B742:L742"/>
    <mergeCell ref="D586:L586"/>
    <mergeCell ref="C717:L717"/>
    <mergeCell ref="B711:L711"/>
    <mergeCell ref="B721:L721"/>
    <mergeCell ref="B608:L608"/>
    <mergeCell ref="B596:L596"/>
    <mergeCell ref="B815:L815"/>
    <mergeCell ref="B1047:L1047"/>
    <mergeCell ref="B825:L825"/>
    <mergeCell ref="C819:L819"/>
    <mergeCell ref="C820:L820"/>
    <mergeCell ref="C821:L821"/>
    <mergeCell ref="E1034:L1034"/>
    <mergeCell ref="C856:L856"/>
    <mergeCell ref="C857:L857"/>
    <mergeCell ref="B861:L861"/>
    <mergeCell ref="B849:L849"/>
    <mergeCell ref="B852:L852"/>
    <mergeCell ref="C854:L854"/>
    <mergeCell ref="B1017:L1017"/>
    <mergeCell ref="C1021:L1021"/>
    <mergeCell ref="E967:L967"/>
    <mergeCell ref="C817:L817"/>
    <mergeCell ref="B877:L877"/>
    <mergeCell ref="B880:L880"/>
    <mergeCell ref="B882:L882"/>
    <mergeCell ref="B910:L910"/>
    <mergeCell ref="B943:L943"/>
    <mergeCell ref="B945:L945"/>
    <mergeCell ref="C948:L948"/>
    <mergeCell ref="E737:L737"/>
    <mergeCell ref="B738:L738"/>
    <mergeCell ref="B599:L599"/>
    <mergeCell ref="B629:L629"/>
    <mergeCell ref="B537:L537"/>
    <mergeCell ref="B542:L542"/>
    <mergeCell ref="B555:L555"/>
    <mergeCell ref="B557:L557"/>
    <mergeCell ref="B567:L567"/>
    <mergeCell ref="E548:L548"/>
    <mergeCell ref="B570:L570"/>
    <mergeCell ref="E541:L541"/>
    <mergeCell ref="B574:L574"/>
    <mergeCell ref="C715:L715"/>
    <mergeCell ref="C716:L716"/>
  </mergeCells>
  <phoneticPr fontId="55" type="noConversion"/>
  <conditionalFormatting sqref="P1018">
    <cfRule type="cellIs" dxfId="1" priority="29" operator="greaterThan">
      <formula>0</formula>
    </cfRule>
    <cfRule type="cellIs" dxfId="0" priority="30" operator="greaterThan">
      <formula>1</formula>
    </cfRule>
  </conditionalFormatting>
  <printOptions horizontalCentered="1"/>
  <pageMargins left="0" right="0" top="0.25" bottom="0.25" header="0" footer="0"/>
  <pageSetup scale="56" fitToHeight="20" orientation="landscape" horizontalDpi="1200" verticalDpi="1200" r:id="rId1"/>
  <headerFooter alignWithMargins="0"/>
  <rowBreaks count="37" manualBreakCount="37">
    <brk id="62" min="1" max="26" man="1"/>
    <brk id="90" min="1" max="26" man="1"/>
    <brk id="111" min="1" max="26" man="1"/>
    <brk id="152" min="1" max="26" man="1"/>
    <brk id="178" min="1" max="26" man="1"/>
    <brk id="218" min="1" max="26" man="1"/>
    <brk id="253" min="1" max="26" man="1"/>
    <brk id="274" min="1" max="26" man="1"/>
    <brk id="291" min="1" max="26" man="1"/>
    <brk id="308" min="1" max="26" man="1"/>
    <brk id="332" min="1" max="26" man="1"/>
    <brk id="375" min="1" max="26" man="1"/>
    <brk id="413" min="1" max="26" man="1"/>
    <brk id="429" min="1" max="26" man="1"/>
    <brk id="469" min="1" max="26" man="1"/>
    <brk id="494" min="1" max="26" man="1"/>
    <brk id="531" min="1" max="26" man="1"/>
    <brk id="568" min="1" max="26" man="1"/>
    <brk id="592" min="1" max="26" man="1"/>
    <brk id="613" min="1" max="26" man="1"/>
    <brk id="695" min="1" max="26" man="1"/>
    <brk id="723" min="1" max="26" man="1"/>
    <brk id="806" min="1" max="26" man="1"/>
    <brk id="827" min="1" max="26" man="1"/>
    <brk id="862" min="1" max="26" man="1"/>
    <brk id="940" min="1" max="26" man="1"/>
    <brk id="955" min="1" max="26" man="1"/>
    <brk id="1030" min="1" max="26" man="1"/>
    <brk id="1052" min="1" max="26" man="1"/>
    <brk id="1075" min="1" max="26" man="1"/>
    <brk id="1096" min="1" max="26" man="1"/>
    <brk id="1116" min="1" max="26" man="1"/>
    <brk id="1156" min="1" max="26" man="1"/>
    <brk id="1171" min="1" max="26" man="1"/>
    <brk id="1204" min="1" max="26" man="1"/>
    <brk id="1241" min="1" max="26" man="1"/>
    <brk id="1282" min="1"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2020-27</vt:lpstr>
      <vt:lpstr>'Budget Detail FY 2020-27'!Print_Area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2020-27'!Print_Titles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2022-04-14T18:20:51Z</cp:lastPrinted>
  <dcterms:created xsi:type="dcterms:W3CDTF">2010-07-13T03:18:21Z</dcterms:created>
  <dcterms:modified xsi:type="dcterms:W3CDTF">2022-04-14T19:37:29Z</dcterms:modified>
</cp:coreProperties>
</file>