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showInkAnnotation="0" defaultThemeVersion="124226"/>
  <mc:AlternateContent xmlns:mc="http://schemas.openxmlformats.org/markup-compatibility/2006">
    <mc:Choice Requires="x15">
      <x15ac:absPath xmlns:x15ac="http://schemas.microsoft.com/office/spreadsheetml/2010/11/ac" url="\\CITY01\Finance\Budget\FY 2020\Budget Document\Published Budget Documents\Adopted Budget - First Draft\"/>
    </mc:Choice>
  </mc:AlternateContent>
  <xr:revisionPtr revIDLastSave="0" documentId="13_ncr:1_{DE765BFA-938E-4B99-A478-3FA4360C95CA}" xr6:coauthVersionLast="43" xr6:coauthVersionMax="43" xr10:uidLastSave="{00000000-0000-0000-0000-000000000000}"/>
  <bookViews>
    <workbookView xWindow="-108" yWindow="-108" windowWidth="23256" windowHeight="12576" tabRatio="955" activeTab="6" xr2:uid="{00000000-000D-0000-FFFF-FFFF00000000}"/>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17-24" sheetId="36" r:id="rId7"/>
  </sheets>
  <definedNames>
    <definedName name="_xlnm.Print_Area" localSheetId="6">'Budget Detail FY 2017-24'!$A$4:$T$1215</definedName>
    <definedName name="_xlnm.Print_Area" localSheetId="0">'Budget Summary'!$A$1:$K$35,'Budget Summary'!$A$38:$K$72</definedName>
    <definedName name="_xlnm.Print_Area" localSheetId="1">'Budget Summary by Category'!$A$1:$M$36,'Budget Summary by Category'!$A$39:$K$74</definedName>
    <definedName name="_xlnm.Print_Area" localSheetId="2">'Fund Balance History'!$A$1:$K$48</definedName>
    <definedName name="_xlnm.Print_Area" localSheetId="3">'Fund Balance Summary'!$A$1:$L$36</definedName>
    <definedName name="_xlnm.Print_Area" localSheetId="5">'Fund Cover Sheets'!$B$1:$K$825</definedName>
    <definedName name="_xlnm.Print_Area" localSheetId="4">'Gen Fd Cover Sheets'!$A$1:$K$184</definedName>
    <definedName name="_xlnm.Print_Titles" localSheetId="6">'Budget Detail FY 2017-24'!$3:$6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4" i="42" l="1"/>
  <c r="G7" i="42"/>
  <c r="O437" i="36" l="1"/>
  <c r="O447" i="36"/>
  <c r="P447" i="36"/>
  <c r="O454" i="36"/>
  <c r="P454" i="36"/>
  <c r="O459" i="36"/>
  <c r="P459" i="36"/>
  <c r="L1090" i="36" l="1"/>
  <c r="M1203" i="36" l="1"/>
  <c r="M1202" i="36" s="1"/>
  <c r="N1203" i="36"/>
  <c r="N1202" i="36" s="1"/>
  <c r="O1203" i="36"/>
  <c r="O1202" i="36" s="1"/>
  <c r="P1203" i="36"/>
  <c r="Q1203" i="36"/>
  <c r="Q1202" i="36" s="1"/>
  <c r="R1203" i="36"/>
  <c r="R1202" i="36" s="1"/>
  <c r="S1203" i="36"/>
  <c r="S1202" i="36" s="1"/>
  <c r="T1203" i="36"/>
  <c r="T1202" i="36" s="1"/>
  <c r="L1203" i="36"/>
  <c r="L1202" i="36" s="1"/>
  <c r="M1215" i="36"/>
  <c r="N1215" i="36"/>
  <c r="O1215" i="36"/>
  <c r="P1215" i="36"/>
  <c r="Q1215" i="36"/>
  <c r="R1215" i="36"/>
  <c r="S1215" i="36"/>
  <c r="T1215" i="36"/>
  <c r="M1214" i="36"/>
  <c r="N1214" i="36"/>
  <c r="O1214" i="36"/>
  <c r="P1214" i="36"/>
  <c r="Q1214" i="36"/>
  <c r="R1214" i="36"/>
  <c r="S1214" i="36"/>
  <c r="T1214" i="36"/>
  <c r="L1215" i="36"/>
  <c r="L1214" i="36"/>
  <c r="P1202" i="36" l="1"/>
  <c r="M1144" i="36" l="1"/>
  <c r="N1144" i="36"/>
  <c r="O1144" i="36"/>
  <c r="P1144" i="36"/>
  <c r="M1146" i="36"/>
  <c r="N1146" i="36"/>
  <c r="O1146" i="36"/>
  <c r="L1146" i="36"/>
  <c r="L1145" i="36"/>
  <c r="L1136" i="36"/>
  <c r="L1135" i="36"/>
  <c r="M1125" i="36"/>
  <c r="N1125" i="36"/>
  <c r="O1125" i="36"/>
  <c r="P1125" i="36"/>
  <c r="Q1125" i="36"/>
  <c r="R1125" i="36"/>
  <c r="L1125" i="36"/>
  <c r="L1065" i="36"/>
  <c r="D461" i="39"/>
  <c r="E461" i="39"/>
  <c r="M1210" i="36" l="1"/>
  <c r="N1210" i="36"/>
  <c r="O1210" i="36"/>
  <c r="P1210" i="36"/>
  <c r="S1210" i="36"/>
  <c r="T1210" i="36"/>
  <c r="L1210" i="36"/>
  <c r="M1192" i="36"/>
  <c r="N1192" i="36"/>
  <c r="O1192" i="36"/>
  <c r="Q1192" i="36"/>
  <c r="R1192" i="36"/>
  <c r="S1192" i="36"/>
  <c r="T1192" i="36"/>
  <c r="L1192" i="36"/>
  <c r="M1213" i="36"/>
  <c r="M1212" i="36" s="1"/>
  <c r="N1213" i="36"/>
  <c r="N1212" i="36" s="1"/>
  <c r="O1213" i="36"/>
  <c r="O1212" i="36" s="1"/>
  <c r="P1213" i="36"/>
  <c r="Q1213" i="36"/>
  <c r="Q1212" i="36" s="1"/>
  <c r="R1213" i="36"/>
  <c r="R1212" i="36" s="1"/>
  <c r="S1213" i="36"/>
  <c r="S1212" i="36" s="1"/>
  <c r="T1213" i="36"/>
  <c r="T1212" i="36" s="1"/>
  <c r="L1213" i="36"/>
  <c r="R1200" i="36"/>
  <c r="S1200" i="36"/>
  <c r="T1200" i="36"/>
  <c r="P1212" i="36" l="1"/>
  <c r="L1212" i="36"/>
  <c r="D658" i="39" l="1"/>
  <c r="E658" i="39"/>
  <c r="F658" i="39"/>
  <c r="G658" i="39"/>
  <c r="H658" i="39"/>
  <c r="I658" i="39"/>
  <c r="J658" i="39"/>
  <c r="K658" i="39"/>
  <c r="C658" i="39"/>
  <c r="D621" i="39"/>
  <c r="E621" i="39"/>
  <c r="F621" i="39"/>
  <c r="G621" i="39"/>
  <c r="C621" i="39"/>
  <c r="S1125" i="36" l="1"/>
  <c r="T1125" i="36" l="1"/>
  <c r="P1192" i="36" l="1"/>
  <c r="P1146" i="36" l="1"/>
  <c r="M172" i="36"/>
  <c r="L172" i="36"/>
  <c r="Q1146" i="36" l="1"/>
  <c r="R1146" i="36" l="1"/>
  <c r="T1146" i="36" l="1"/>
  <c r="S1146" i="36"/>
  <c r="F461" i="39" l="1"/>
  <c r="D412" i="39" l="1"/>
  <c r="E412" i="39"/>
  <c r="F412" i="39"/>
  <c r="G412" i="39"/>
  <c r="H412" i="39"/>
  <c r="I412" i="39"/>
  <c r="J412" i="39"/>
  <c r="K412" i="39"/>
  <c r="C412" i="39"/>
  <c r="O220" i="36"/>
  <c r="N220" i="36"/>
  <c r="M220" i="36"/>
  <c r="L220" i="36"/>
  <c r="O325" i="36" l="1"/>
  <c r="M1136" i="36" l="1"/>
  <c r="N1136" i="36"/>
  <c r="O1136" i="36"/>
  <c r="M1135" i="36"/>
  <c r="N1135" i="36"/>
  <c r="O1135" i="36"/>
  <c r="M986" i="36" l="1"/>
  <c r="R1210" i="36" l="1"/>
  <c r="Q1210" i="36"/>
  <c r="L680" i="36" l="1"/>
  <c r="C371" i="39" s="1"/>
  <c r="F106" i="40"/>
  <c r="F19" i="39"/>
  <c r="D617" i="39"/>
  <c r="E617" i="39"/>
  <c r="F617" i="39"/>
  <c r="G617" i="39"/>
  <c r="H617" i="39"/>
  <c r="I617" i="39"/>
  <c r="J617" i="39"/>
  <c r="K617" i="39"/>
  <c r="C617" i="39"/>
  <c r="L978" i="36"/>
  <c r="N177" i="36"/>
  <c r="M175" i="36"/>
  <c r="D107" i="40" s="1"/>
  <c r="L175" i="36"/>
  <c r="L177" i="36" s="1"/>
  <c r="P1105" i="36"/>
  <c r="P1106" i="36"/>
  <c r="L44" i="36"/>
  <c r="M56" i="36"/>
  <c r="N56" i="36"/>
  <c r="L64" i="36"/>
  <c r="L1144" i="36" s="1"/>
  <c r="M87" i="36"/>
  <c r="N87" i="36"/>
  <c r="O87" i="36"/>
  <c r="G45" i="40"/>
  <c r="H45" i="40"/>
  <c r="I45" i="40"/>
  <c r="L107" i="36"/>
  <c r="L108" i="36" s="1"/>
  <c r="M108" i="36"/>
  <c r="N108" i="36"/>
  <c r="O108" i="36"/>
  <c r="L135" i="36"/>
  <c r="L145" i="36"/>
  <c r="C74" i="40" s="1"/>
  <c r="H74" i="40"/>
  <c r="M151" i="36"/>
  <c r="N151" i="36"/>
  <c r="I107" i="40"/>
  <c r="L214" i="36"/>
  <c r="M214" i="36"/>
  <c r="N214" i="36"/>
  <c r="N222" i="36" s="1"/>
  <c r="J164" i="40"/>
  <c r="L263" i="36"/>
  <c r="M263" i="36"/>
  <c r="H57" i="39"/>
  <c r="R278" i="36"/>
  <c r="S278" i="36"/>
  <c r="L278" i="36"/>
  <c r="M278" i="36"/>
  <c r="N278" i="36"/>
  <c r="O278" i="36"/>
  <c r="P278" i="36"/>
  <c r="L283" i="36"/>
  <c r="M283" i="36"/>
  <c r="N283" i="36"/>
  <c r="N288" i="36" s="1"/>
  <c r="O283" i="36"/>
  <c r="S295" i="36"/>
  <c r="L295" i="36"/>
  <c r="M295" i="36"/>
  <c r="D19" i="42" s="1"/>
  <c r="N295" i="36"/>
  <c r="O295" i="36"/>
  <c r="F19" i="42" s="1"/>
  <c r="Q295" i="36"/>
  <c r="H19" i="42" s="1"/>
  <c r="R295" i="36"/>
  <c r="I19" i="42" s="1"/>
  <c r="O298" i="36"/>
  <c r="G97" i="39"/>
  <c r="O299" i="36"/>
  <c r="L301" i="36"/>
  <c r="C56" i="42" s="1"/>
  <c r="M301" i="36"/>
  <c r="D56" i="42" s="1"/>
  <c r="G127" i="39"/>
  <c r="D13" i="43" s="1"/>
  <c r="L315" i="36"/>
  <c r="C12" i="42" s="1"/>
  <c r="M315" i="36"/>
  <c r="N315" i="36"/>
  <c r="R327" i="36"/>
  <c r="T327" i="36"/>
  <c r="S1180" i="36"/>
  <c r="L327" i="36"/>
  <c r="M327" i="36"/>
  <c r="N327" i="36"/>
  <c r="E49" i="42" s="1"/>
  <c r="O327" i="36"/>
  <c r="L342" i="36"/>
  <c r="L362" i="36" s="1"/>
  <c r="H19" i="39"/>
  <c r="I19" i="39"/>
  <c r="M362" i="36"/>
  <c r="G176" i="39"/>
  <c r="F64" i="43" s="1"/>
  <c r="H176" i="39"/>
  <c r="I176" i="39"/>
  <c r="L374" i="36"/>
  <c r="M374" i="36"/>
  <c r="N374" i="36"/>
  <c r="L377" i="36"/>
  <c r="C175" i="39" s="1"/>
  <c r="M412" i="36"/>
  <c r="N412" i="36"/>
  <c r="L437" i="36"/>
  <c r="C214" i="39" s="1"/>
  <c r="M447" i="36"/>
  <c r="N447" i="36"/>
  <c r="E24" i="42" s="1"/>
  <c r="L454" i="36"/>
  <c r="M454" i="36"/>
  <c r="N454" i="36"/>
  <c r="Q454" i="36"/>
  <c r="R454" i="36"/>
  <c r="S454" i="36"/>
  <c r="T454" i="36"/>
  <c r="N457" i="36"/>
  <c r="N459" i="36" s="1"/>
  <c r="M459" i="36"/>
  <c r="G232" i="39"/>
  <c r="J232" i="39"/>
  <c r="K233" i="39"/>
  <c r="L470" i="36"/>
  <c r="M470" i="36"/>
  <c r="N470" i="36"/>
  <c r="O470" i="36"/>
  <c r="G238" i="39"/>
  <c r="H240" i="39"/>
  <c r="L481" i="36"/>
  <c r="M481" i="36"/>
  <c r="M1059" i="36" s="1"/>
  <c r="N481" i="36"/>
  <c r="N1059" i="36" s="1"/>
  <c r="O481" i="36"/>
  <c r="O1059" i="36" s="1"/>
  <c r="L502" i="36"/>
  <c r="C279" i="39" s="1"/>
  <c r="H280" i="39"/>
  <c r="M505" i="36"/>
  <c r="N505" i="36"/>
  <c r="T505" i="36"/>
  <c r="L507" i="36"/>
  <c r="C284" i="39" s="1"/>
  <c r="P513" i="36"/>
  <c r="M513" i="36"/>
  <c r="D58" i="42" s="1"/>
  <c r="N513" i="36"/>
  <c r="O513" i="36"/>
  <c r="F58" i="42" s="1"/>
  <c r="Q513" i="36"/>
  <c r="H58" i="42" s="1"/>
  <c r="R513" i="36"/>
  <c r="I58" i="42" s="1"/>
  <c r="S513" i="36"/>
  <c r="T513" i="36"/>
  <c r="L539" i="36"/>
  <c r="C28" i="42" s="1"/>
  <c r="M539" i="36"/>
  <c r="D28" i="42" s="1"/>
  <c r="N539" i="36"/>
  <c r="L578" i="36"/>
  <c r="M578" i="36"/>
  <c r="O1181" i="36"/>
  <c r="S1181" i="36"/>
  <c r="N623" i="36"/>
  <c r="L634" i="36"/>
  <c r="C360" i="39" s="1"/>
  <c r="L643" i="36"/>
  <c r="C363" i="39" s="1"/>
  <c r="G364" i="39"/>
  <c r="M646" i="36"/>
  <c r="N646" i="36"/>
  <c r="O646" i="36"/>
  <c r="I368" i="39"/>
  <c r="L661" i="36"/>
  <c r="O1182" i="36"/>
  <c r="P1182" i="36"/>
  <c r="R1182" i="36"/>
  <c r="J372" i="39"/>
  <c r="G375" i="39"/>
  <c r="M709" i="36"/>
  <c r="M714" i="36" s="1"/>
  <c r="N709" i="36"/>
  <c r="M739" i="36"/>
  <c r="L741" i="36"/>
  <c r="C14" i="42" s="1"/>
  <c r="N741" i="36"/>
  <c r="O741" i="36"/>
  <c r="P741" i="36"/>
  <c r="Q741" i="36"/>
  <c r="H14" i="42" s="1"/>
  <c r="R741" i="36"/>
  <c r="S741" i="36"/>
  <c r="J14" i="42" s="1"/>
  <c r="T741" i="36"/>
  <c r="F418" i="39"/>
  <c r="L760" i="36"/>
  <c r="M760" i="36"/>
  <c r="N760" i="36"/>
  <c r="P760" i="36"/>
  <c r="Q760" i="36"/>
  <c r="H51" i="42" s="1"/>
  <c r="R760" i="36"/>
  <c r="S760" i="36"/>
  <c r="T760" i="36"/>
  <c r="P782" i="36"/>
  <c r="L782" i="36"/>
  <c r="C13" i="42" s="1"/>
  <c r="M782" i="36"/>
  <c r="N782" i="36"/>
  <c r="E13" i="42" s="1"/>
  <c r="O782" i="36"/>
  <c r="Q782" i="36"/>
  <c r="H13" i="42" s="1"/>
  <c r="R782" i="36"/>
  <c r="S782" i="36"/>
  <c r="T782" i="36"/>
  <c r="K13" i="42" s="1"/>
  <c r="L805" i="36"/>
  <c r="L810" i="36" s="1"/>
  <c r="M810" i="36"/>
  <c r="N810" i="36"/>
  <c r="O810" i="36"/>
  <c r="L834" i="36"/>
  <c r="C461" i="39" s="1"/>
  <c r="M847" i="36"/>
  <c r="N847" i="36"/>
  <c r="O847" i="36"/>
  <c r="O1118" i="36"/>
  <c r="P1118" i="36"/>
  <c r="Q1118" i="36"/>
  <c r="R1118" i="36"/>
  <c r="S1118" i="36"/>
  <c r="T1118" i="36"/>
  <c r="F493" i="39"/>
  <c r="F744" i="39" s="1"/>
  <c r="G495" i="39"/>
  <c r="G33" i="43" s="1"/>
  <c r="H495" i="39"/>
  <c r="H747" i="39" s="1"/>
  <c r="I495" i="39"/>
  <c r="I747" i="39" s="1"/>
  <c r="J495" i="39"/>
  <c r="J747" i="39" s="1"/>
  <c r="K495" i="39"/>
  <c r="K747" i="39" s="1"/>
  <c r="L868" i="36"/>
  <c r="C496" i="39" s="1"/>
  <c r="M876" i="36"/>
  <c r="D32" i="42" s="1"/>
  <c r="N876" i="36"/>
  <c r="E32" i="42" s="1"/>
  <c r="H505" i="39"/>
  <c r="L916" i="36"/>
  <c r="M916" i="36"/>
  <c r="D69" i="42" s="1"/>
  <c r="N916" i="36"/>
  <c r="O916" i="36"/>
  <c r="P932" i="36"/>
  <c r="H540" i="39"/>
  <c r="H745" i="39" s="1"/>
  <c r="I540" i="39"/>
  <c r="S932" i="36"/>
  <c r="K540" i="39"/>
  <c r="L932" i="36"/>
  <c r="M932" i="36"/>
  <c r="D33" i="42" s="1"/>
  <c r="N932" i="36"/>
  <c r="O932" i="36"/>
  <c r="F33" i="42" s="1"/>
  <c r="Q932" i="36"/>
  <c r="T943" i="36"/>
  <c r="L943" i="36"/>
  <c r="M943" i="36"/>
  <c r="N943" i="36"/>
  <c r="O943" i="36"/>
  <c r="P943" i="36"/>
  <c r="Q943" i="36"/>
  <c r="R943" i="36"/>
  <c r="I70" i="42" s="1"/>
  <c r="S943" i="36"/>
  <c r="G580" i="39"/>
  <c r="C16" i="43" s="1"/>
  <c r="M16" i="43" s="1"/>
  <c r="H580" i="39"/>
  <c r="H581" i="39" s="1"/>
  <c r="L953" i="36"/>
  <c r="M953" i="36"/>
  <c r="D15" i="42" s="1"/>
  <c r="N953" i="36"/>
  <c r="E15" i="42" s="1"/>
  <c r="H584" i="39"/>
  <c r="L966" i="36"/>
  <c r="M966" i="36"/>
  <c r="N966" i="36"/>
  <c r="E52" i="42" s="1"/>
  <c r="O966" i="36"/>
  <c r="M978" i="36"/>
  <c r="N978" i="36"/>
  <c r="E16" i="42" s="1"/>
  <c r="O978" i="36"/>
  <c r="P978" i="36"/>
  <c r="Q978" i="36"/>
  <c r="R978" i="36"/>
  <c r="S978" i="36"/>
  <c r="J16" i="42" s="1"/>
  <c r="T978" i="36"/>
  <c r="K16" i="42" s="1"/>
  <c r="N985" i="36"/>
  <c r="N995" i="36" s="1"/>
  <c r="O1183" i="36"/>
  <c r="Q1183" i="36"/>
  <c r="R1183" i="36"/>
  <c r="L995" i="36"/>
  <c r="M995" i="36"/>
  <c r="D53" i="42" s="1"/>
  <c r="L1006" i="36"/>
  <c r="M1006" i="36"/>
  <c r="N1006" i="36"/>
  <c r="O1006" i="36"/>
  <c r="P1006" i="36"/>
  <c r="Q1006" i="36"/>
  <c r="R1006" i="36"/>
  <c r="S1006" i="36"/>
  <c r="T1006" i="36"/>
  <c r="L1014" i="36"/>
  <c r="M1014" i="36"/>
  <c r="N1014" i="36"/>
  <c r="O1014" i="36"/>
  <c r="P1014" i="36"/>
  <c r="Q1014" i="36"/>
  <c r="R1014" i="36"/>
  <c r="S1014" i="36"/>
  <c r="T1014" i="36"/>
  <c r="L1039" i="36"/>
  <c r="M1039" i="36"/>
  <c r="N1039" i="36"/>
  <c r="L1040" i="36"/>
  <c r="M1040" i="36"/>
  <c r="N1040" i="36"/>
  <c r="L1041" i="36"/>
  <c r="M1041" i="36"/>
  <c r="N1041" i="36"/>
  <c r="L1042" i="36"/>
  <c r="M1042" i="36"/>
  <c r="N1042" i="36"/>
  <c r="L1043" i="36"/>
  <c r="M1043" i="36"/>
  <c r="N1043" i="36"/>
  <c r="L1044" i="36"/>
  <c r="M1044" i="36"/>
  <c r="N1044" i="36"/>
  <c r="L1045" i="36"/>
  <c r="M1045" i="36"/>
  <c r="N1045" i="36"/>
  <c r="L1046" i="36"/>
  <c r="M1046" i="36"/>
  <c r="N1046" i="36"/>
  <c r="L1047" i="36"/>
  <c r="M1047" i="36"/>
  <c r="N1047" i="36"/>
  <c r="L1048" i="36"/>
  <c r="M1048" i="36"/>
  <c r="N1048" i="36"/>
  <c r="L1049" i="36"/>
  <c r="M1049" i="36"/>
  <c r="N1049" i="36"/>
  <c r="L1050" i="36"/>
  <c r="M1050" i="36"/>
  <c r="N1050" i="36"/>
  <c r="L1051" i="36"/>
  <c r="M1051" i="36"/>
  <c r="N1051" i="36"/>
  <c r="M1065" i="36"/>
  <c r="N1065" i="36"/>
  <c r="L1066" i="36"/>
  <c r="M1066" i="36"/>
  <c r="N1066" i="36"/>
  <c r="L1079" i="36"/>
  <c r="M1079" i="36"/>
  <c r="N1079" i="36"/>
  <c r="L1080" i="36"/>
  <c r="M1080" i="36"/>
  <c r="N1080" i="36"/>
  <c r="L1086" i="36"/>
  <c r="M1086" i="36"/>
  <c r="N1086" i="36"/>
  <c r="O1086" i="36"/>
  <c r="L1088" i="36"/>
  <c r="M1088" i="36"/>
  <c r="N1088" i="36"/>
  <c r="O1088" i="36"/>
  <c r="P1088" i="36"/>
  <c r="Q1088" i="36"/>
  <c r="R1088" i="36"/>
  <c r="S1088" i="36"/>
  <c r="T1088" i="36"/>
  <c r="M1090" i="36"/>
  <c r="N1090" i="36"/>
  <c r="O1090" i="36"/>
  <c r="P1090" i="36"/>
  <c r="L1092" i="36"/>
  <c r="M1092" i="36"/>
  <c r="N1092" i="36"/>
  <c r="O1092" i="36"/>
  <c r="P1092" i="36"/>
  <c r="L1094" i="36"/>
  <c r="M1094" i="36"/>
  <c r="N1094" i="36"/>
  <c r="O1094" i="36"/>
  <c r="P1094" i="36"/>
  <c r="L1097" i="36"/>
  <c r="M1097" i="36"/>
  <c r="N1097" i="36"/>
  <c r="O1097" i="36"/>
  <c r="L1099" i="36"/>
  <c r="M1099" i="36"/>
  <c r="N1099" i="36"/>
  <c r="O1099" i="36"/>
  <c r="P1099" i="36"/>
  <c r="L1101" i="36"/>
  <c r="M1101" i="36"/>
  <c r="N1101" i="36"/>
  <c r="O1101" i="36"/>
  <c r="L1105" i="36"/>
  <c r="M1105" i="36"/>
  <c r="N1105" i="36"/>
  <c r="O1105" i="36"/>
  <c r="L1106" i="36"/>
  <c r="M1106" i="36"/>
  <c r="N1106" i="36"/>
  <c r="O1106" i="36"/>
  <c r="L1111" i="36"/>
  <c r="L1112" i="36" s="1"/>
  <c r="M1111" i="36"/>
  <c r="N1111" i="36"/>
  <c r="O1111" i="36"/>
  <c r="P1111" i="36"/>
  <c r="Q1111" i="36"/>
  <c r="R1111" i="36"/>
  <c r="S1111" i="36"/>
  <c r="T1111" i="36"/>
  <c r="L1117" i="36"/>
  <c r="M1117" i="36"/>
  <c r="N1117" i="36"/>
  <c r="L1118" i="36"/>
  <c r="M1118" i="36"/>
  <c r="N1118" i="36"/>
  <c r="L1121" i="36"/>
  <c r="M1121" i="36"/>
  <c r="N1121" i="36"/>
  <c r="O1121" i="36"/>
  <c r="R1121" i="36"/>
  <c r="L1126" i="36"/>
  <c r="L1128" i="36"/>
  <c r="L1129" i="36" s="1"/>
  <c r="M1128" i="36"/>
  <c r="N1128" i="36"/>
  <c r="O1128" i="36"/>
  <c r="P1128" i="36"/>
  <c r="Q1128" i="36"/>
  <c r="R1128" i="36"/>
  <c r="S1128" i="36"/>
  <c r="T1128" i="36"/>
  <c r="L1134" i="36"/>
  <c r="L1139" i="36"/>
  <c r="M1139" i="36"/>
  <c r="N1139" i="36"/>
  <c r="O1139" i="36"/>
  <c r="P1139" i="36"/>
  <c r="Q1139" i="36"/>
  <c r="R1139" i="36"/>
  <c r="S1139" i="36"/>
  <c r="T1139" i="36"/>
  <c r="L1156" i="36"/>
  <c r="M1145" i="36"/>
  <c r="M1156" i="36" s="1"/>
  <c r="N1145" i="36"/>
  <c r="P1145" i="36"/>
  <c r="P1156" i="36" s="1"/>
  <c r="Q1145" i="36"/>
  <c r="Q1156" i="36" s="1"/>
  <c r="R1145" i="36"/>
  <c r="R1156" i="36" s="1"/>
  <c r="S1145" i="36"/>
  <c r="S1156" i="36" s="1"/>
  <c r="T1145" i="36"/>
  <c r="T1156" i="36" s="1"/>
  <c r="L1150" i="36"/>
  <c r="M1150" i="36"/>
  <c r="N1150" i="36"/>
  <c r="O1150" i="36"/>
  <c r="P1150" i="36"/>
  <c r="L1151" i="36"/>
  <c r="M1151" i="36"/>
  <c r="N1151" i="36"/>
  <c r="O1151" i="36"/>
  <c r="P1151" i="36"/>
  <c r="L1162" i="36"/>
  <c r="M1162" i="36"/>
  <c r="N1162" i="36"/>
  <c r="O1162" i="36"/>
  <c r="P1162" i="36"/>
  <c r="L1163" i="36"/>
  <c r="L1174" i="36" s="1"/>
  <c r="M1163" i="36"/>
  <c r="M1174" i="36" s="1"/>
  <c r="N1163" i="36"/>
  <c r="N1174" i="36" s="1"/>
  <c r="O1163" i="36"/>
  <c r="O1174" i="36" s="1"/>
  <c r="L1164" i="36"/>
  <c r="M1164" i="36"/>
  <c r="N1164" i="36"/>
  <c r="O1164" i="36"/>
  <c r="P1164" i="36"/>
  <c r="L1168" i="36"/>
  <c r="M1168" i="36"/>
  <c r="N1168" i="36"/>
  <c r="O1168" i="36"/>
  <c r="P1168" i="36"/>
  <c r="L1169" i="36"/>
  <c r="M1169" i="36"/>
  <c r="N1169" i="36"/>
  <c r="O1169" i="36"/>
  <c r="P1169" i="36"/>
  <c r="L1180" i="36"/>
  <c r="M1180" i="36"/>
  <c r="N1180" i="36"/>
  <c r="O1180" i="36"/>
  <c r="P1180" i="36"/>
  <c r="Q1180" i="36"/>
  <c r="R1180" i="36"/>
  <c r="T1180" i="36"/>
  <c r="L1181" i="36"/>
  <c r="M1181" i="36"/>
  <c r="N1181" i="36"/>
  <c r="T1181" i="36"/>
  <c r="L1182" i="36"/>
  <c r="M1182" i="36"/>
  <c r="N1182" i="36"/>
  <c r="T1182" i="36"/>
  <c r="L1183" i="36"/>
  <c r="M1183" i="36"/>
  <c r="N1183" i="36"/>
  <c r="T1183" i="36"/>
  <c r="L1186" i="36"/>
  <c r="M1186" i="36"/>
  <c r="N1186" i="36"/>
  <c r="O1186" i="36"/>
  <c r="Q1186" i="36"/>
  <c r="S1186" i="36"/>
  <c r="T1186" i="36"/>
  <c r="L1187" i="36"/>
  <c r="M1187" i="36"/>
  <c r="N1187" i="36"/>
  <c r="O1187" i="36"/>
  <c r="P1187" i="36"/>
  <c r="Q1187" i="36"/>
  <c r="R1187" i="36"/>
  <c r="S1187" i="36"/>
  <c r="T1187" i="36"/>
  <c r="L1188" i="36"/>
  <c r="M1188" i="36"/>
  <c r="N1188" i="36"/>
  <c r="O1188" i="36"/>
  <c r="P1188" i="36"/>
  <c r="Q1188" i="36"/>
  <c r="R1188" i="36"/>
  <c r="S1188" i="36"/>
  <c r="T1188" i="36"/>
  <c r="L1189" i="36"/>
  <c r="M1189" i="36"/>
  <c r="N1189" i="36"/>
  <c r="O1189" i="36"/>
  <c r="P1189" i="36"/>
  <c r="Q1189" i="36"/>
  <c r="R1189" i="36"/>
  <c r="S1189" i="36"/>
  <c r="T1189" i="36"/>
  <c r="L1196" i="36"/>
  <c r="M1196" i="36"/>
  <c r="N1196" i="36"/>
  <c r="O1196" i="36"/>
  <c r="P1196" i="36"/>
  <c r="Q1196" i="36"/>
  <c r="R1196" i="36"/>
  <c r="S1196" i="36"/>
  <c r="T1196" i="36"/>
  <c r="L1197" i="36"/>
  <c r="M1197" i="36"/>
  <c r="N1197" i="36"/>
  <c r="O1197" i="36"/>
  <c r="P1197" i="36"/>
  <c r="Q1197" i="36"/>
  <c r="R1197" i="36"/>
  <c r="S1197" i="36"/>
  <c r="T1197" i="36"/>
  <c r="L1200" i="36"/>
  <c r="L1199" i="36" s="1"/>
  <c r="M1200" i="36"/>
  <c r="M1199" i="36" s="1"/>
  <c r="N1200" i="36"/>
  <c r="N1199" i="36" s="1"/>
  <c r="O1200" i="36"/>
  <c r="O1199" i="36" s="1"/>
  <c r="P1200" i="36"/>
  <c r="Q1200" i="36"/>
  <c r="Q1199" i="36" s="1"/>
  <c r="R1199" i="36"/>
  <c r="S1199" i="36"/>
  <c r="T1199" i="36"/>
  <c r="L1206" i="36"/>
  <c r="M1206" i="36"/>
  <c r="N1206" i="36"/>
  <c r="O1206" i="36"/>
  <c r="P1206" i="36"/>
  <c r="Q1206" i="36"/>
  <c r="R1206" i="36"/>
  <c r="S1206" i="36"/>
  <c r="T1206" i="36"/>
  <c r="L1207" i="36"/>
  <c r="M1207" i="36"/>
  <c r="N1207" i="36"/>
  <c r="O1207" i="36"/>
  <c r="P1207" i="36"/>
  <c r="Q1207" i="36"/>
  <c r="R1207" i="36"/>
  <c r="S1207" i="36"/>
  <c r="T1207" i="36"/>
  <c r="G8" i="39"/>
  <c r="C11" i="39"/>
  <c r="D11" i="39"/>
  <c r="E11" i="39"/>
  <c r="C12" i="39"/>
  <c r="D12" i="39"/>
  <c r="E12" i="39"/>
  <c r="F12" i="39"/>
  <c r="C13" i="39"/>
  <c r="D13" i="39"/>
  <c r="E13" i="39"/>
  <c r="F13" i="39"/>
  <c r="G13" i="39"/>
  <c r="H13" i="39"/>
  <c r="I13" i="39"/>
  <c r="J13" i="39"/>
  <c r="K13" i="39"/>
  <c r="C14" i="39"/>
  <c r="C694" i="39" s="1"/>
  <c r="D14" i="39"/>
  <c r="D694" i="39" s="1"/>
  <c r="E14" i="39"/>
  <c r="E694" i="39" s="1"/>
  <c r="F14" i="39"/>
  <c r="F694" i="39" s="1"/>
  <c r="G14" i="39"/>
  <c r="F10" i="43" s="1"/>
  <c r="H14" i="39"/>
  <c r="I14" i="39"/>
  <c r="I694" i="39" s="1"/>
  <c r="J14" i="39"/>
  <c r="K14" i="39"/>
  <c r="D15" i="39"/>
  <c r="E15" i="39"/>
  <c r="C16" i="39"/>
  <c r="D16" i="39"/>
  <c r="E16" i="39"/>
  <c r="F16" i="39"/>
  <c r="H16" i="39"/>
  <c r="I16" i="39"/>
  <c r="J16" i="39"/>
  <c r="K16" i="39"/>
  <c r="C17" i="39"/>
  <c r="D17" i="39"/>
  <c r="E17" i="39"/>
  <c r="F17" i="39"/>
  <c r="G17" i="39"/>
  <c r="I10" i="43" s="1"/>
  <c r="H17" i="39"/>
  <c r="I17" i="39"/>
  <c r="J17" i="39"/>
  <c r="K17" i="39"/>
  <c r="C18" i="39"/>
  <c r="D18" i="39"/>
  <c r="E18" i="39"/>
  <c r="F18" i="39"/>
  <c r="G18" i="39"/>
  <c r="H18" i="39"/>
  <c r="I18" i="39"/>
  <c r="J18" i="39"/>
  <c r="K18" i="39"/>
  <c r="C19" i="39"/>
  <c r="D19" i="39"/>
  <c r="E19" i="39"/>
  <c r="G54" i="39"/>
  <c r="C57" i="39"/>
  <c r="D57" i="39"/>
  <c r="E57" i="39"/>
  <c r="F57" i="39"/>
  <c r="G57" i="39"/>
  <c r="C19" i="43" s="1"/>
  <c r="M19" i="43" s="1"/>
  <c r="I57" i="39"/>
  <c r="C58" i="39"/>
  <c r="D58" i="39"/>
  <c r="E58" i="39"/>
  <c r="F58" i="39"/>
  <c r="G58" i="39"/>
  <c r="H58" i="39"/>
  <c r="I58" i="39"/>
  <c r="J58" i="39"/>
  <c r="K58" i="39"/>
  <c r="C62" i="39"/>
  <c r="C63" i="39" s="1"/>
  <c r="D62" i="39"/>
  <c r="D63" i="39" s="1"/>
  <c r="D68" i="39" s="1"/>
  <c r="E62" i="39"/>
  <c r="E63" i="39" s="1"/>
  <c r="F62" i="39"/>
  <c r="F63" i="39" s="1"/>
  <c r="G90" i="39"/>
  <c r="C93" i="39"/>
  <c r="C94" i="39" s="1"/>
  <c r="D93" i="39"/>
  <c r="D94" i="39" s="1"/>
  <c r="E93" i="39"/>
  <c r="E94" i="39" s="1"/>
  <c r="F93" i="39"/>
  <c r="F94" i="39" s="1"/>
  <c r="H93" i="39"/>
  <c r="H94" i="39" s="1"/>
  <c r="I93" i="39"/>
  <c r="I94" i="39" s="1"/>
  <c r="C97" i="39"/>
  <c r="C98" i="39" s="1"/>
  <c r="D97" i="39"/>
  <c r="D98" i="39" s="1"/>
  <c r="D103" i="39" s="1"/>
  <c r="G124" i="39"/>
  <c r="C127" i="39"/>
  <c r="D127" i="39"/>
  <c r="E127" i="39"/>
  <c r="F127" i="39"/>
  <c r="C128" i="39"/>
  <c r="D128" i="39"/>
  <c r="E128" i="39"/>
  <c r="G128" i="39"/>
  <c r="H13" i="43" s="1"/>
  <c r="H128" i="39"/>
  <c r="I128" i="39"/>
  <c r="J128" i="39"/>
  <c r="K128" i="39"/>
  <c r="C129" i="39"/>
  <c r="D129" i="39"/>
  <c r="E129" i="39"/>
  <c r="F129" i="39"/>
  <c r="G129" i="39"/>
  <c r="L13" i="43" s="1"/>
  <c r="H129" i="39"/>
  <c r="I129" i="39"/>
  <c r="J129" i="39"/>
  <c r="K129" i="39"/>
  <c r="C133" i="39"/>
  <c r="D133" i="39"/>
  <c r="E133" i="39"/>
  <c r="F133" i="39"/>
  <c r="G133" i="39"/>
  <c r="E51" i="43" s="1"/>
  <c r="H133" i="39"/>
  <c r="I133" i="39"/>
  <c r="J133" i="39"/>
  <c r="K133" i="39"/>
  <c r="C134" i="39"/>
  <c r="D134" i="39"/>
  <c r="E134" i="39"/>
  <c r="F134" i="39"/>
  <c r="G134" i="39"/>
  <c r="H134" i="39"/>
  <c r="I134" i="39"/>
  <c r="J134" i="39"/>
  <c r="K134" i="39"/>
  <c r="C135" i="39"/>
  <c r="D135" i="39"/>
  <c r="E135" i="39"/>
  <c r="F135" i="39"/>
  <c r="H135" i="39"/>
  <c r="K135" i="39"/>
  <c r="G162" i="39"/>
  <c r="C165" i="39"/>
  <c r="D165" i="39"/>
  <c r="E165" i="39"/>
  <c r="F165" i="39"/>
  <c r="G165" i="39"/>
  <c r="D26" i="43" s="1"/>
  <c r="H165" i="39"/>
  <c r="I165" i="39"/>
  <c r="J165" i="39"/>
  <c r="K165" i="39"/>
  <c r="D166" i="39"/>
  <c r="E166" i="39"/>
  <c r="F166" i="39"/>
  <c r="I166" i="39"/>
  <c r="C167" i="39"/>
  <c r="D167" i="39"/>
  <c r="E167" i="39"/>
  <c r="F167" i="39"/>
  <c r="G167" i="39"/>
  <c r="G26" i="43" s="1"/>
  <c r="H167" i="39"/>
  <c r="I167" i="39"/>
  <c r="J167" i="39"/>
  <c r="K167" i="39"/>
  <c r="C168" i="39"/>
  <c r="D168" i="39"/>
  <c r="E168" i="39"/>
  <c r="F168" i="39"/>
  <c r="G168" i="39"/>
  <c r="H26" i="43" s="1"/>
  <c r="H168" i="39"/>
  <c r="I168" i="39"/>
  <c r="J168" i="39"/>
  <c r="K168" i="39"/>
  <c r="C169" i="39"/>
  <c r="D169" i="39"/>
  <c r="E169" i="39"/>
  <c r="F169" i="39"/>
  <c r="C170" i="39"/>
  <c r="D170" i="39"/>
  <c r="E170" i="39"/>
  <c r="F170" i="39"/>
  <c r="G170" i="39"/>
  <c r="J26" i="43" s="1"/>
  <c r="H170" i="39"/>
  <c r="I170" i="39"/>
  <c r="J170" i="39"/>
  <c r="K170" i="39"/>
  <c r="C171" i="39"/>
  <c r="D171" i="39"/>
  <c r="G171" i="39"/>
  <c r="L26" i="43" s="1"/>
  <c r="H171" i="39"/>
  <c r="I171" i="39"/>
  <c r="J171" i="39"/>
  <c r="K171" i="39"/>
  <c r="D175" i="39"/>
  <c r="E175" i="39"/>
  <c r="F175" i="39"/>
  <c r="C176" i="39"/>
  <c r="D176" i="39"/>
  <c r="E176" i="39"/>
  <c r="C177" i="39"/>
  <c r="D177" i="39"/>
  <c r="E177" i="39"/>
  <c r="F177" i="39"/>
  <c r="I177" i="39"/>
  <c r="J177" i="39"/>
  <c r="C178" i="39"/>
  <c r="D178" i="39"/>
  <c r="E178" i="39"/>
  <c r="F178" i="39"/>
  <c r="G178" i="39"/>
  <c r="I64" i="43" s="1"/>
  <c r="H178" i="39"/>
  <c r="I178" i="39"/>
  <c r="J178" i="39"/>
  <c r="K178" i="39"/>
  <c r="C179" i="39"/>
  <c r="D179" i="39"/>
  <c r="E179" i="39"/>
  <c r="G209" i="39"/>
  <c r="C212" i="39"/>
  <c r="D212" i="39"/>
  <c r="E212" i="39"/>
  <c r="F212" i="39"/>
  <c r="C213" i="39"/>
  <c r="D213" i="39"/>
  <c r="E213" i="39"/>
  <c r="F213" i="39"/>
  <c r="G213" i="39"/>
  <c r="F25" i="43" s="1"/>
  <c r="H213" i="39"/>
  <c r="I213" i="39"/>
  <c r="J213" i="39"/>
  <c r="K213" i="39"/>
  <c r="D214" i="39"/>
  <c r="E214" i="39"/>
  <c r="C215" i="39"/>
  <c r="D215" i="39"/>
  <c r="E215" i="39"/>
  <c r="F215" i="39"/>
  <c r="G215" i="39"/>
  <c r="H25" i="43" s="1"/>
  <c r="H215" i="39"/>
  <c r="I215" i="39"/>
  <c r="J215" i="39"/>
  <c r="K215" i="39"/>
  <c r="C216" i="39"/>
  <c r="D216" i="39"/>
  <c r="E216" i="39"/>
  <c r="F216" i="39"/>
  <c r="G216" i="39"/>
  <c r="J25" i="43" s="1"/>
  <c r="H216" i="39"/>
  <c r="I216" i="39"/>
  <c r="J216" i="39"/>
  <c r="K216" i="39"/>
  <c r="C217" i="39"/>
  <c r="D217" i="39"/>
  <c r="E217" i="39"/>
  <c r="F217" i="39"/>
  <c r="G217" i="39"/>
  <c r="L25" i="43" s="1"/>
  <c r="H217" i="39"/>
  <c r="I217" i="39"/>
  <c r="J217" i="39"/>
  <c r="K217" i="39"/>
  <c r="C221" i="39"/>
  <c r="D221" i="39"/>
  <c r="E221" i="39"/>
  <c r="F221" i="39"/>
  <c r="G221" i="39"/>
  <c r="H221" i="39"/>
  <c r="I221" i="39"/>
  <c r="J221" i="39"/>
  <c r="K221" i="39"/>
  <c r="C222" i="39"/>
  <c r="D222" i="39"/>
  <c r="E222" i="39"/>
  <c r="F222" i="39"/>
  <c r="G222" i="39"/>
  <c r="H222" i="39"/>
  <c r="I222" i="39"/>
  <c r="J222" i="39"/>
  <c r="K222" i="39"/>
  <c r="D226" i="39"/>
  <c r="C227" i="39"/>
  <c r="D227" i="39"/>
  <c r="E227" i="39"/>
  <c r="F227" i="39"/>
  <c r="G227" i="39"/>
  <c r="H227" i="39"/>
  <c r="I227" i="39"/>
  <c r="J227" i="39"/>
  <c r="K227" i="39"/>
  <c r="C231" i="39"/>
  <c r="D231" i="39"/>
  <c r="E231" i="39"/>
  <c r="F231" i="39"/>
  <c r="G231" i="39"/>
  <c r="H231" i="39"/>
  <c r="I231" i="39"/>
  <c r="J231" i="39"/>
  <c r="K231" i="39"/>
  <c r="C232" i="39"/>
  <c r="D232" i="39"/>
  <c r="E232" i="39"/>
  <c r="F232" i="39"/>
  <c r="C233" i="39"/>
  <c r="D233" i="39"/>
  <c r="E233" i="39"/>
  <c r="F233" i="39"/>
  <c r="G233" i="39"/>
  <c r="H233" i="39"/>
  <c r="I233" i="39"/>
  <c r="C234" i="39"/>
  <c r="D234" i="39"/>
  <c r="E234" i="39"/>
  <c r="F234" i="39"/>
  <c r="C238" i="39"/>
  <c r="D238" i="39"/>
  <c r="E238" i="39"/>
  <c r="F238" i="39"/>
  <c r="H238" i="39"/>
  <c r="I238" i="39"/>
  <c r="J238" i="39"/>
  <c r="K238" i="39"/>
  <c r="C239" i="39"/>
  <c r="D239" i="39"/>
  <c r="D806" i="39" s="1"/>
  <c r="E239" i="39"/>
  <c r="E806" i="39" s="1"/>
  <c r="F239" i="39"/>
  <c r="F806" i="39" s="1"/>
  <c r="G239" i="39"/>
  <c r="H239" i="39"/>
  <c r="H806" i="39" s="1"/>
  <c r="I239" i="39"/>
  <c r="J239" i="39"/>
  <c r="J806" i="39" s="1"/>
  <c r="K239" i="39"/>
  <c r="C240" i="39"/>
  <c r="C807" i="39" s="1"/>
  <c r="D240" i="39"/>
  <c r="D807" i="39" s="1"/>
  <c r="E240" i="39"/>
  <c r="E807" i="39" s="1"/>
  <c r="F240" i="39"/>
  <c r="F807" i="39" s="1"/>
  <c r="C249" i="39"/>
  <c r="D249" i="39"/>
  <c r="E249" i="39"/>
  <c r="G275" i="39"/>
  <c r="C278" i="39"/>
  <c r="D278" i="39"/>
  <c r="E278" i="39"/>
  <c r="F278" i="39"/>
  <c r="G278" i="39"/>
  <c r="C22" i="43" s="1"/>
  <c r="H278" i="39"/>
  <c r="I278" i="39"/>
  <c r="J278" i="39"/>
  <c r="K278" i="39"/>
  <c r="D279" i="39"/>
  <c r="E279" i="39"/>
  <c r="F279" i="39"/>
  <c r="G279" i="39"/>
  <c r="H279" i="39"/>
  <c r="I279" i="39"/>
  <c r="J279" i="39"/>
  <c r="K279" i="39"/>
  <c r="C280" i="39"/>
  <c r="D280" i="39"/>
  <c r="E280" i="39"/>
  <c r="K280" i="39"/>
  <c r="D284" i="39"/>
  <c r="E284" i="39"/>
  <c r="F284" i="39"/>
  <c r="G284" i="39"/>
  <c r="E60" i="43" s="1"/>
  <c r="H284" i="39"/>
  <c r="I284" i="39"/>
  <c r="J284" i="39"/>
  <c r="K284" i="39"/>
  <c r="C285" i="39"/>
  <c r="D285" i="39"/>
  <c r="E285" i="39"/>
  <c r="F285" i="39"/>
  <c r="H285" i="39"/>
  <c r="I285" i="39"/>
  <c r="J285" i="39"/>
  <c r="K285" i="39"/>
  <c r="G311" i="39"/>
  <c r="C314" i="39"/>
  <c r="D314" i="39"/>
  <c r="E314" i="39"/>
  <c r="F314" i="39"/>
  <c r="G314" i="39"/>
  <c r="H314" i="39"/>
  <c r="I314" i="39"/>
  <c r="J314" i="39"/>
  <c r="K314" i="39"/>
  <c r="C315" i="39"/>
  <c r="D315" i="39"/>
  <c r="E315" i="39"/>
  <c r="F315" i="39"/>
  <c r="C316" i="39"/>
  <c r="D316" i="39"/>
  <c r="E316" i="39"/>
  <c r="F316" i="39"/>
  <c r="G316" i="39"/>
  <c r="H316" i="39"/>
  <c r="I316" i="39"/>
  <c r="J316" i="39"/>
  <c r="K316" i="39"/>
  <c r="C317" i="39"/>
  <c r="D317" i="39"/>
  <c r="E317" i="39"/>
  <c r="F317" i="39"/>
  <c r="G317" i="39"/>
  <c r="I29" i="43" s="1"/>
  <c r="H317" i="39"/>
  <c r="I317" i="39"/>
  <c r="J317" i="39"/>
  <c r="K317" i="39"/>
  <c r="C318" i="39"/>
  <c r="D318" i="39"/>
  <c r="E318" i="39"/>
  <c r="F318" i="39"/>
  <c r="C319" i="39"/>
  <c r="D319" i="39"/>
  <c r="E319" i="39"/>
  <c r="C323" i="39"/>
  <c r="D323" i="39"/>
  <c r="E323" i="39"/>
  <c r="F323" i="39"/>
  <c r="G323" i="39"/>
  <c r="C324" i="39"/>
  <c r="D324" i="39"/>
  <c r="E324" i="39"/>
  <c r="F324" i="39"/>
  <c r="C325" i="39"/>
  <c r="D325" i="39"/>
  <c r="E325" i="39"/>
  <c r="F325" i="39"/>
  <c r="E326" i="39"/>
  <c r="F326" i="39"/>
  <c r="C327" i="39"/>
  <c r="D327" i="39"/>
  <c r="E327" i="39"/>
  <c r="K327" i="39"/>
  <c r="C328" i="39"/>
  <c r="D328" i="39"/>
  <c r="E328" i="39"/>
  <c r="F328" i="39"/>
  <c r="C329" i="39"/>
  <c r="D329" i="39"/>
  <c r="E329" i="39"/>
  <c r="F329" i="39"/>
  <c r="G329" i="39"/>
  <c r="H329" i="39"/>
  <c r="I329" i="39"/>
  <c r="J329" i="39"/>
  <c r="K329" i="39"/>
  <c r="G357" i="39"/>
  <c r="D360" i="39"/>
  <c r="E360" i="39"/>
  <c r="F360" i="39"/>
  <c r="G360" i="39"/>
  <c r="H360" i="39"/>
  <c r="I360" i="39"/>
  <c r="J360" i="39"/>
  <c r="K360" i="39"/>
  <c r="C361" i="39"/>
  <c r="D361" i="39"/>
  <c r="E361" i="39"/>
  <c r="F361" i="39"/>
  <c r="C362" i="39"/>
  <c r="D362" i="39"/>
  <c r="E362" i="39"/>
  <c r="F362" i="39"/>
  <c r="G362" i="39"/>
  <c r="H30" i="43" s="1"/>
  <c r="H362" i="39"/>
  <c r="I362" i="39"/>
  <c r="J362" i="39"/>
  <c r="K362" i="39"/>
  <c r="D363" i="39"/>
  <c r="E363" i="39"/>
  <c r="F363" i="39"/>
  <c r="G363" i="39"/>
  <c r="H363" i="39"/>
  <c r="I363" i="39"/>
  <c r="J363" i="39"/>
  <c r="K363" i="39"/>
  <c r="C364" i="39"/>
  <c r="D364" i="39"/>
  <c r="E364" i="39"/>
  <c r="F364" i="39"/>
  <c r="C368" i="39"/>
  <c r="D368" i="39"/>
  <c r="E368" i="39"/>
  <c r="F368" i="39"/>
  <c r="G368" i="39"/>
  <c r="C369" i="39"/>
  <c r="D369" i="39"/>
  <c r="E369" i="39"/>
  <c r="F369" i="39"/>
  <c r="D370" i="39"/>
  <c r="E370" i="39"/>
  <c r="F370" i="39"/>
  <c r="D371" i="39"/>
  <c r="E371" i="39"/>
  <c r="F371" i="39"/>
  <c r="C372" i="39"/>
  <c r="D372" i="39"/>
  <c r="E372" i="39"/>
  <c r="K372" i="39"/>
  <c r="C373" i="39"/>
  <c r="C709" i="39" s="1"/>
  <c r="D373" i="39"/>
  <c r="D709" i="39" s="1"/>
  <c r="E373" i="39"/>
  <c r="E709" i="39" s="1"/>
  <c r="F373" i="39"/>
  <c r="F709" i="39" s="1"/>
  <c r="G373" i="39"/>
  <c r="H373" i="39"/>
  <c r="H709" i="39" s="1"/>
  <c r="I373" i="39"/>
  <c r="I709" i="39" s="1"/>
  <c r="J373" i="39"/>
  <c r="J709" i="39" s="1"/>
  <c r="K373" i="39"/>
  <c r="K709" i="39" s="1"/>
  <c r="C374" i="39"/>
  <c r="D374" i="39"/>
  <c r="E374" i="39"/>
  <c r="F374" i="39"/>
  <c r="G374" i="39"/>
  <c r="H374" i="39"/>
  <c r="I374" i="39"/>
  <c r="J374" i="39"/>
  <c r="K374" i="39"/>
  <c r="C375" i="39"/>
  <c r="D375" i="39"/>
  <c r="E375" i="39"/>
  <c r="F375" i="39"/>
  <c r="G405" i="39"/>
  <c r="C408" i="39"/>
  <c r="D408" i="39"/>
  <c r="E408" i="39"/>
  <c r="F408" i="39"/>
  <c r="G408" i="39"/>
  <c r="D15" i="43" s="1"/>
  <c r="H408" i="39"/>
  <c r="I408" i="39"/>
  <c r="J408" i="39"/>
  <c r="K408" i="39"/>
  <c r="C409" i="39"/>
  <c r="D409" i="39"/>
  <c r="E409" i="39"/>
  <c r="F409" i="39"/>
  <c r="G409" i="39"/>
  <c r="H409" i="39"/>
  <c r="I409" i="39"/>
  <c r="J409" i="39"/>
  <c r="K409" i="39"/>
  <c r="C410" i="39"/>
  <c r="C698" i="39" s="1"/>
  <c r="D410" i="39"/>
  <c r="D698" i="39" s="1"/>
  <c r="E410" i="39"/>
  <c r="F410" i="39"/>
  <c r="F698" i="39" s="1"/>
  <c r="G410" i="39"/>
  <c r="G698" i="39" s="1"/>
  <c r="H410" i="39"/>
  <c r="H698" i="39" s="1"/>
  <c r="I410" i="39"/>
  <c r="I698" i="39" s="1"/>
  <c r="J410" i="39"/>
  <c r="J698" i="39" s="1"/>
  <c r="K410" i="39"/>
  <c r="K698" i="39" s="1"/>
  <c r="C411" i="39"/>
  <c r="D411" i="39"/>
  <c r="E411" i="39"/>
  <c r="F411" i="39"/>
  <c r="G411" i="39"/>
  <c r="H411" i="39"/>
  <c r="I411" i="39"/>
  <c r="J411" i="39"/>
  <c r="K411" i="39"/>
  <c r="C413" i="39"/>
  <c r="E413" i="39"/>
  <c r="F413" i="39"/>
  <c r="G413" i="39"/>
  <c r="L15" i="43" s="1"/>
  <c r="H413" i="39"/>
  <c r="I413" i="39"/>
  <c r="J413" i="39"/>
  <c r="K413" i="39"/>
  <c r="C417" i="39"/>
  <c r="D417" i="39"/>
  <c r="E417" i="39"/>
  <c r="F417" i="39"/>
  <c r="G417" i="39"/>
  <c r="E53" i="43" s="1"/>
  <c r="H417" i="39"/>
  <c r="I417" i="39"/>
  <c r="J417" i="39"/>
  <c r="K417" i="39"/>
  <c r="C418" i="39"/>
  <c r="D418" i="39"/>
  <c r="E418" i="39"/>
  <c r="G418" i="39"/>
  <c r="G53" i="43" s="1"/>
  <c r="H418" i="39"/>
  <c r="I418" i="39"/>
  <c r="J418" i="39"/>
  <c r="K418" i="39"/>
  <c r="G447" i="39"/>
  <c r="C450" i="39"/>
  <c r="C793" i="39" s="1"/>
  <c r="D450" i="39"/>
  <c r="D793" i="39" s="1"/>
  <c r="E450" i="39"/>
  <c r="E793" i="39" s="1"/>
  <c r="F450" i="39"/>
  <c r="F793" i="39" s="1"/>
  <c r="G450" i="39"/>
  <c r="G793" i="39" s="1"/>
  <c r="H450" i="39"/>
  <c r="H793" i="39" s="1"/>
  <c r="I450" i="39"/>
  <c r="I793" i="39" s="1"/>
  <c r="J450" i="39"/>
  <c r="J793" i="39" s="1"/>
  <c r="K450" i="39"/>
  <c r="K793" i="39" s="1"/>
  <c r="C451" i="39"/>
  <c r="C794" i="39" s="1"/>
  <c r="D451" i="39"/>
  <c r="D794" i="39" s="1"/>
  <c r="E451" i="39"/>
  <c r="E794" i="39" s="1"/>
  <c r="F451" i="39"/>
  <c r="G451" i="39"/>
  <c r="H451" i="39"/>
  <c r="I451" i="39"/>
  <c r="J451" i="39"/>
  <c r="J794" i="39" s="1"/>
  <c r="K451" i="39"/>
  <c r="C452" i="39"/>
  <c r="C795" i="39" s="1"/>
  <c r="D452" i="39"/>
  <c r="D795" i="39" s="1"/>
  <c r="E452" i="39"/>
  <c r="E795" i="39" s="1"/>
  <c r="F452" i="39"/>
  <c r="F795" i="39" s="1"/>
  <c r="G452" i="39"/>
  <c r="G795" i="39" s="1"/>
  <c r="H452" i="39"/>
  <c r="H795" i="39" s="1"/>
  <c r="I452" i="39"/>
  <c r="I795" i="39" s="1"/>
  <c r="J452" i="39"/>
  <c r="J795" i="39" s="1"/>
  <c r="K452" i="39"/>
  <c r="K795" i="39" s="1"/>
  <c r="C453" i="39"/>
  <c r="C796" i="39" s="1"/>
  <c r="D453" i="39"/>
  <c r="D796" i="39" s="1"/>
  <c r="E453" i="39"/>
  <c r="E796" i="39" s="1"/>
  <c r="F453" i="39"/>
  <c r="F796" i="39" s="1"/>
  <c r="G453" i="39"/>
  <c r="I14" i="43" s="1"/>
  <c r="H453" i="39"/>
  <c r="I453" i="39"/>
  <c r="I796" i="39" s="1"/>
  <c r="J453" i="39"/>
  <c r="J796" i="39" s="1"/>
  <c r="K453" i="39"/>
  <c r="K796" i="39" s="1"/>
  <c r="C454" i="39"/>
  <c r="C797" i="39" s="1"/>
  <c r="D454" i="39"/>
  <c r="D797" i="39" s="1"/>
  <c r="E454" i="39"/>
  <c r="E797" i="39" s="1"/>
  <c r="F454" i="39"/>
  <c r="F797" i="39" s="1"/>
  <c r="G454" i="39"/>
  <c r="H454" i="39"/>
  <c r="H797" i="39" s="1"/>
  <c r="I454" i="39"/>
  <c r="I797" i="39" s="1"/>
  <c r="J454" i="39"/>
  <c r="J797" i="39" s="1"/>
  <c r="K454" i="39"/>
  <c r="K797" i="39" s="1"/>
  <c r="C455" i="39"/>
  <c r="C798" i="39" s="1"/>
  <c r="D455" i="39"/>
  <c r="D798" i="39" s="1"/>
  <c r="E455" i="39"/>
  <c r="F455" i="39"/>
  <c r="F798" i="39" s="1"/>
  <c r="H455" i="39"/>
  <c r="H798" i="39" s="1"/>
  <c r="I455" i="39"/>
  <c r="I798" i="39" s="1"/>
  <c r="J455" i="39"/>
  <c r="J798" i="39" s="1"/>
  <c r="K455" i="39"/>
  <c r="K798" i="39" s="1"/>
  <c r="C459" i="39"/>
  <c r="C802" i="39" s="1"/>
  <c r="D459" i="39"/>
  <c r="D802" i="39" s="1"/>
  <c r="E459" i="39"/>
  <c r="E802" i="39" s="1"/>
  <c r="F459" i="39"/>
  <c r="F802" i="39" s="1"/>
  <c r="G459" i="39"/>
  <c r="C460" i="39"/>
  <c r="C803" i="39" s="1"/>
  <c r="D460" i="39"/>
  <c r="D803" i="39" s="1"/>
  <c r="E460" i="39"/>
  <c r="E803" i="39" s="1"/>
  <c r="F460" i="39"/>
  <c r="G460" i="39"/>
  <c r="D52" i="43" s="1"/>
  <c r="D462" i="39"/>
  <c r="D805" i="39" s="1"/>
  <c r="E462" i="39"/>
  <c r="E805" i="39" s="1"/>
  <c r="F462" i="39"/>
  <c r="F805" i="39" s="1"/>
  <c r="G489" i="39"/>
  <c r="C492" i="39"/>
  <c r="C743" i="39" s="1"/>
  <c r="D492" i="39"/>
  <c r="D743" i="39" s="1"/>
  <c r="E492" i="39"/>
  <c r="E743" i="39" s="1"/>
  <c r="C493" i="39"/>
  <c r="D493" i="39"/>
  <c r="D744" i="39" s="1"/>
  <c r="E493" i="39"/>
  <c r="G493" i="39"/>
  <c r="G744" i="39" s="1"/>
  <c r="H493" i="39"/>
  <c r="H744" i="39" s="1"/>
  <c r="I493" i="39"/>
  <c r="I744" i="39" s="1"/>
  <c r="J493" i="39"/>
  <c r="J744" i="39" s="1"/>
  <c r="K493" i="39"/>
  <c r="K744" i="39" s="1"/>
  <c r="C494" i="39"/>
  <c r="C746" i="39" s="1"/>
  <c r="D494" i="39"/>
  <c r="D746" i="39" s="1"/>
  <c r="E494" i="39"/>
  <c r="E746" i="39" s="1"/>
  <c r="F494" i="39"/>
  <c r="F746" i="39" s="1"/>
  <c r="G494" i="39"/>
  <c r="G746" i="39" s="1"/>
  <c r="H494" i="39"/>
  <c r="H746" i="39" s="1"/>
  <c r="I494" i="39"/>
  <c r="I746" i="39" s="1"/>
  <c r="J494" i="39"/>
  <c r="J746" i="39" s="1"/>
  <c r="K494" i="39"/>
  <c r="K746" i="39" s="1"/>
  <c r="C495" i="39"/>
  <c r="C747" i="39" s="1"/>
  <c r="D495" i="39"/>
  <c r="D747" i="39" s="1"/>
  <c r="E495" i="39"/>
  <c r="E747" i="39" s="1"/>
  <c r="F495" i="39"/>
  <c r="D496" i="39"/>
  <c r="E496" i="39"/>
  <c r="F496" i="39"/>
  <c r="G496" i="39"/>
  <c r="H496" i="39"/>
  <c r="I496" i="39"/>
  <c r="J496" i="39"/>
  <c r="K496" i="39"/>
  <c r="C497" i="39"/>
  <c r="D497" i="39"/>
  <c r="E497" i="39"/>
  <c r="F497" i="39"/>
  <c r="G497" i="39"/>
  <c r="I33" i="43" s="1"/>
  <c r="H497" i="39"/>
  <c r="I497" i="39"/>
  <c r="J497" i="39"/>
  <c r="K497" i="39"/>
  <c r="C498" i="39"/>
  <c r="D498" i="39"/>
  <c r="E498" i="39"/>
  <c r="F498" i="39"/>
  <c r="G498" i="39"/>
  <c r="H498" i="39"/>
  <c r="I498" i="39"/>
  <c r="J498" i="39"/>
  <c r="K498" i="39"/>
  <c r="C499" i="39"/>
  <c r="C751" i="39" s="1"/>
  <c r="D499" i="39"/>
  <c r="D751" i="39" s="1"/>
  <c r="E499" i="39"/>
  <c r="E751" i="39" s="1"/>
  <c r="F499" i="39"/>
  <c r="F751" i="39" s="1"/>
  <c r="C503" i="39"/>
  <c r="C755" i="39" s="1"/>
  <c r="D503" i="39"/>
  <c r="D755" i="39" s="1"/>
  <c r="E503" i="39"/>
  <c r="E755" i="39" s="1"/>
  <c r="F503" i="39"/>
  <c r="F755" i="39" s="1"/>
  <c r="G503" i="39"/>
  <c r="C504" i="39"/>
  <c r="C756" i="39" s="1"/>
  <c r="D504" i="39"/>
  <c r="D756" i="39" s="1"/>
  <c r="E504" i="39"/>
  <c r="E756" i="39" s="1"/>
  <c r="F504" i="39"/>
  <c r="C505" i="39"/>
  <c r="D505" i="39"/>
  <c r="E505" i="39"/>
  <c r="F505" i="39"/>
  <c r="C506" i="39"/>
  <c r="D506" i="39"/>
  <c r="E506" i="39"/>
  <c r="F506" i="39"/>
  <c r="G506" i="39"/>
  <c r="H506" i="39"/>
  <c r="I506" i="39"/>
  <c r="J506" i="39"/>
  <c r="K506" i="39"/>
  <c r="C507" i="39"/>
  <c r="C760" i="39" s="1"/>
  <c r="D507" i="39"/>
  <c r="D760" i="39" s="1"/>
  <c r="E507" i="39"/>
  <c r="E760" i="39" s="1"/>
  <c r="F507" i="39"/>
  <c r="F760" i="39" s="1"/>
  <c r="G507" i="39"/>
  <c r="I71" i="43" s="1"/>
  <c r="H507" i="39"/>
  <c r="H760" i="39" s="1"/>
  <c r="I507" i="39"/>
  <c r="I760" i="39" s="1"/>
  <c r="J507" i="39"/>
  <c r="J760" i="39" s="1"/>
  <c r="K507" i="39"/>
  <c r="K760" i="39" s="1"/>
  <c r="G537" i="39"/>
  <c r="C540" i="39"/>
  <c r="D540" i="39"/>
  <c r="D745" i="39" s="1"/>
  <c r="E540" i="39"/>
  <c r="E745" i="39" s="1"/>
  <c r="F540" i="39"/>
  <c r="C541" i="39"/>
  <c r="D541" i="39"/>
  <c r="E541" i="39"/>
  <c r="F541" i="39"/>
  <c r="G541" i="39"/>
  <c r="H541" i="39"/>
  <c r="I541" i="39"/>
  <c r="J541" i="39"/>
  <c r="K541" i="39"/>
  <c r="C542" i="39"/>
  <c r="D542" i="39"/>
  <c r="E542" i="39"/>
  <c r="F542" i="39"/>
  <c r="G542" i="39"/>
  <c r="H542" i="39"/>
  <c r="I542" i="39"/>
  <c r="J542" i="39"/>
  <c r="K542" i="39"/>
  <c r="C546" i="39"/>
  <c r="D546" i="39"/>
  <c r="E546" i="39"/>
  <c r="F546" i="39"/>
  <c r="G546" i="39"/>
  <c r="H546" i="39"/>
  <c r="I546" i="39"/>
  <c r="J546" i="39"/>
  <c r="K546" i="39"/>
  <c r="C547" i="39"/>
  <c r="D547" i="39"/>
  <c r="E547" i="39"/>
  <c r="F547" i="39"/>
  <c r="G547" i="39"/>
  <c r="F72" i="43" s="1"/>
  <c r="H547" i="39"/>
  <c r="I547" i="39"/>
  <c r="J547" i="39"/>
  <c r="C548" i="39"/>
  <c r="D548" i="39"/>
  <c r="E548" i="39"/>
  <c r="F548" i="39"/>
  <c r="G548" i="39"/>
  <c r="H548" i="39"/>
  <c r="I548" i="39"/>
  <c r="J548" i="39"/>
  <c r="K548" i="39"/>
  <c r="G577" i="39"/>
  <c r="C580" i="39"/>
  <c r="C581" i="39" s="1"/>
  <c r="D580" i="39"/>
  <c r="D581" i="39" s="1"/>
  <c r="E580" i="39"/>
  <c r="E581" i="39" s="1"/>
  <c r="F580" i="39"/>
  <c r="F581" i="39" s="1"/>
  <c r="C584" i="39"/>
  <c r="D584" i="39"/>
  <c r="E584" i="39"/>
  <c r="F584" i="39"/>
  <c r="G584" i="39"/>
  <c r="E54" i="43" s="1"/>
  <c r="C585" i="39"/>
  <c r="D585" i="39"/>
  <c r="E585" i="39"/>
  <c r="F585" i="39"/>
  <c r="G612" i="39"/>
  <c r="C615" i="39"/>
  <c r="D615" i="39"/>
  <c r="E615" i="39"/>
  <c r="F615" i="39"/>
  <c r="G615" i="39"/>
  <c r="C17" i="43" s="1"/>
  <c r="M17" i="43" s="1"/>
  <c r="H615" i="39"/>
  <c r="I615" i="39"/>
  <c r="J615" i="39"/>
  <c r="K615" i="39"/>
  <c r="C616" i="39"/>
  <c r="D616" i="39"/>
  <c r="E616" i="39"/>
  <c r="F616" i="39"/>
  <c r="G616" i="39"/>
  <c r="H616" i="39"/>
  <c r="I616" i="39"/>
  <c r="J616" i="39"/>
  <c r="K616" i="39"/>
  <c r="E55" i="43"/>
  <c r="C622" i="39"/>
  <c r="D622" i="39"/>
  <c r="I622" i="39"/>
  <c r="K622" i="39"/>
  <c r="C623" i="39"/>
  <c r="D623" i="39"/>
  <c r="E623" i="39"/>
  <c r="F623" i="39"/>
  <c r="G623" i="39"/>
  <c r="I55" i="43" s="1"/>
  <c r="H623" i="39"/>
  <c r="I623" i="39"/>
  <c r="J623" i="39"/>
  <c r="K623" i="39"/>
  <c r="G650" i="39"/>
  <c r="C653" i="39"/>
  <c r="D653" i="39"/>
  <c r="E653" i="39"/>
  <c r="F653" i="39"/>
  <c r="G653" i="39"/>
  <c r="C18" i="43" s="1"/>
  <c r="H653" i="39"/>
  <c r="I653" i="39"/>
  <c r="J653" i="39"/>
  <c r="K653" i="39"/>
  <c r="C654" i="39"/>
  <c r="D654" i="39"/>
  <c r="E654" i="39"/>
  <c r="F654" i="39"/>
  <c r="G654" i="39"/>
  <c r="H18" i="43" s="1"/>
  <c r="H654" i="39"/>
  <c r="I654" i="39"/>
  <c r="J654" i="39"/>
  <c r="K654" i="39"/>
  <c r="E56" i="43"/>
  <c r="C659" i="39"/>
  <c r="D659" i="39"/>
  <c r="E659" i="39"/>
  <c r="F659" i="39"/>
  <c r="G659" i="39"/>
  <c r="G56" i="43" s="1"/>
  <c r="H659" i="39"/>
  <c r="I659" i="39"/>
  <c r="J659" i="39"/>
  <c r="K659" i="39"/>
  <c r="G688" i="39"/>
  <c r="G740" i="39"/>
  <c r="C749" i="39"/>
  <c r="D749" i="39"/>
  <c r="E749" i="39"/>
  <c r="F749" i="39"/>
  <c r="G749" i="39"/>
  <c r="H749" i="39"/>
  <c r="I749" i="39"/>
  <c r="J749" i="39"/>
  <c r="K749" i="39"/>
  <c r="C759" i="39"/>
  <c r="D759" i="39"/>
  <c r="E759" i="39"/>
  <c r="F759" i="39"/>
  <c r="G759" i="39"/>
  <c r="H759" i="39"/>
  <c r="I759" i="39"/>
  <c r="J759" i="39"/>
  <c r="K759" i="39"/>
  <c r="G790" i="39"/>
  <c r="G9" i="40"/>
  <c r="D12" i="40"/>
  <c r="E12" i="40"/>
  <c r="F12" i="40"/>
  <c r="G12" i="40"/>
  <c r="C13" i="40"/>
  <c r="D13" i="40"/>
  <c r="E13" i="40"/>
  <c r="F13" i="40"/>
  <c r="G13" i="40"/>
  <c r="C14" i="40"/>
  <c r="D14" i="40"/>
  <c r="E14" i="40"/>
  <c r="F14" i="40"/>
  <c r="C15" i="40"/>
  <c r="D15" i="40"/>
  <c r="E15" i="40"/>
  <c r="F15" i="40"/>
  <c r="G15" i="40"/>
  <c r="H15" i="40"/>
  <c r="I15" i="40"/>
  <c r="J15" i="40"/>
  <c r="K15" i="40"/>
  <c r="G40" i="40"/>
  <c r="C43" i="40"/>
  <c r="D43" i="40"/>
  <c r="E43" i="40"/>
  <c r="F43" i="40"/>
  <c r="G43" i="40"/>
  <c r="C44" i="40"/>
  <c r="D44" i="40"/>
  <c r="E44" i="40"/>
  <c r="F44" i="40"/>
  <c r="G44" i="40"/>
  <c r="C45" i="40"/>
  <c r="D45" i="40"/>
  <c r="E45" i="40"/>
  <c r="F45" i="40"/>
  <c r="J45" i="40"/>
  <c r="K45" i="40"/>
  <c r="D46" i="40"/>
  <c r="E46" i="40"/>
  <c r="F46" i="40"/>
  <c r="G46" i="40"/>
  <c r="H46" i="40"/>
  <c r="I46" i="40"/>
  <c r="J46" i="40"/>
  <c r="K46" i="40"/>
  <c r="G68" i="40"/>
  <c r="C71" i="40"/>
  <c r="D71" i="40"/>
  <c r="E71" i="40"/>
  <c r="F71" i="40"/>
  <c r="G71" i="40"/>
  <c r="C72" i="40"/>
  <c r="D72" i="40"/>
  <c r="E72" i="40"/>
  <c r="F72" i="40"/>
  <c r="D73" i="40"/>
  <c r="E73" i="40"/>
  <c r="D74" i="40"/>
  <c r="E74" i="40"/>
  <c r="F74" i="40"/>
  <c r="G101" i="40"/>
  <c r="C104" i="40"/>
  <c r="D104" i="40"/>
  <c r="E104" i="40"/>
  <c r="F104" i="40"/>
  <c r="G104" i="40"/>
  <c r="C105" i="40"/>
  <c r="D105" i="40"/>
  <c r="E105" i="40"/>
  <c r="F105" i="40"/>
  <c r="G105" i="40"/>
  <c r="C106" i="40"/>
  <c r="D106" i="40"/>
  <c r="E106" i="40"/>
  <c r="F107" i="40"/>
  <c r="G129" i="40"/>
  <c r="C132" i="40"/>
  <c r="D132" i="40"/>
  <c r="E132" i="40"/>
  <c r="F132" i="40"/>
  <c r="C133" i="40"/>
  <c r="D133" i="40"/>
  <c r="E133" i="40"/>
  <c r="F133" i="40"/>
  <c r="G133" i="40"/>
  <c r="C134" i="40"/>
  <c r="D134" i="40"/>
  <c r="E134" i="40"/>
  <c r="C135" i="40"/>
  <c r="D135" i="40"/>
  <c r="E135" i="40"/>
  <c r="F135" i="40"/>
  <c r="G160" i="40"/>
  <c r="C163" i="40"/>
  <c r="D163" i="40"/>
  <c r="E163" i="40"/>
  <c r="G163" i="40"/>
  <c r="H163" i="40"/>
  <c r="I163" i="40"/>
  <c r="J163" i="40"/>
  <c r="K163" i="40"/>
  <c r="C164" i="40"/>
  <c r="D164" i="40"/>
  <c r="E164" i="40"/>
  <c r="F164" i="40"/>
  <c r="G164" i="40"/>
  <c r="C165" i="40"/>
  <c r="D165" i="40"/>
  <c r="E165" i="40"/>
  <c r="C166" i="40"/>
  <c r="D166" i="40"/>
  <c r="E166" i="40"/>
  <c r="F166" i="40"/>
  <c r="G166" i="40"/>
  <c r="H166" i="40"/>
  <c r="I166" i="40"/>
  <c r="J166" i="40"/>
  <c r="K166" i="40"/>
  <c r="C167" i="40"/>
  <c r="C27" i="39" s="1"/>
  <c r="D167" i="40"/>
  <c r="D27" i="39" s="1"/>
  <c r="G7" i="45"/>
  <c r="C9" i="45"/>
  <c r="D9" i="45"/>
  <c r="E9" i="45"/>
  <c r="C14" i="45"/>
  <c r="D14" i="45"/>
  <c r="E14" i="45"/>
  <c r="C15" i="45"/>
  <c r="D15" i="45"/>
  <c r="E15" i="45"/>
  <c r="C16" i="45"/>
  <c r="D16" i="45"/>
  <c r="E16" i="45"/>
  <c r="C17" i="45"/>
  <c r="D17" i="45"/>
  <c r="E17" i="45"/>
  <c r="C18" i="45"/>
  <c r="D18" i="45"/>
  <c r="E18" i="45"/>
  <c r="C19" i="45"/>
  <c r="D19" i="45"/>
  <c r="E19" i="45"/>
  <c r="C20" i="45"/>
  <c r="D20" i="45"/>
  <c r="E20" i="45"/>
  <c r="C21" i="45"/>
  <c r="D21" i="45"/>
  <c r="E21" i="45"/>
  <c r="C25" i="45"/>
  <c r="D25" i="45"/>
  <c r="E25" i="45"/>
  <c r="C30" i="45"/>
  <c r="D30" i="45"/>
  <c r="E30" i="45"/>
  <c r="C31" i="45"/>
  <c r="D31" i="45"/>
  <c r="E31" i="45"/>
  <c r="C36" i="45"/>
  <c r="D36" i="45"/>
  <c r="E36" i="45"/>
  <c r="C37" i="45"/>
  <c r="D37" i="45"/>
  <c r="E37" i="45"/>
  <c r="C42" i="45"/>
  <c r="D42" i="45"/>
  <c r="E42" i="45"/>
  <c r="C43" i="45"/>
  <c r="D43" i="45"/>
  <c r="E43" i="45"/>
  <c r="J57" i="39"/>
  <c r="S1121" i="36"/>
  <c r="Q1097" i="36"/>
  <c r="P1097" i="36"/>
  <c r="P1101" i="36"/>
  <c r="H621" i="39"/>
  <c r="Q505" i="36"/>
  <c r="H21" i="42" s="1"/>
  <c r="G492" i="39"/>
  <c r="P1117" i="36"/>
  <c r="S327" i="36"/>
  <c r="P327" i="36"/>
  <c r="G49" i="42" s="1"/>
  <c r="G135" i="39"/>
  <c r="G51" i="43" s="1"/>
  <c r="P1186" i="36"/>
  <c r="Q1121" i="36"/>
  <c r="F11" i="39"/>
  <c r="N1134" i="36"/>
  <c r="Q1151" i="36"/>
  <c r="S1182" i="36"/>
  <c r="S1183" i="36"/>
  <c r="E171" i="39" l="1"/>
  <c r="E700" i="39" s="1"/>
  <c r="N997" i="36"/>
  <c r="N1033" i="36" s="1"/>
  <c r="I16" i="42"/>
  <c r="F18" i="42"/>
  <c r="D18" i="42"/>
  <c r="I18" i="42"/>
  <c r="G499" i="39"/>
  <c r="G751" i="39" s="1"/>
  <c r="D55" i="42"/>
  <c r="D413" i="39"/>
  <c r="D414" i="39" s="1"/>
  <c r="K232" i="39"/>
  <c r="N628" i="36"/>
  <c r="K585" i="39"/>
  <c r="M623" i="36"/>
  <c r="L1027" i="36"/>
  <c r="L1059" i="36"/>
  <c r="O1122" i="36"/>
  <c r="N1122" i="36"/>
  <c r="L709" i="36"/>
  <c r="G461" i="39"/>
  <c r="H12" i="40"/>
  <c r="Q1144" i="36"/>
  <c r="N1108" i="36"/>
  <c r="N1114" i="36" s="1"/>
  <c r="T1135" i="36"/>
  <c r="E622" i="39"/>
  <c r="E624" i="39" s="1"/>
  <c r="J233" i="39"/>
  <c r="I327" i="39"/>
  <c r="L1108" i="36"/>
  <c r="L1114" i="36" s="1"/>
  <c r="L1115" i="36" s="1"/>
  <c r="H327" i="39"/>
  <c r="P1181" i="36"/>
  <c r="J328" i="39"/>
  <c r="O623" i="36"/>
  <c r="N362" i="36"/>
  <c r="E25" i="42" s="1"/>
  <c r="R1181" i="36"/>
  <c r="R1179" i="36" s="1"/>
  <c r="N1068" i="36"/>
  <c r="C107" i="40"/>
  <c r="C108" i="40" s="1"/>
  <c r="G18" i="42"/>
  <c r="M921" i="36"/>
  <c r="G372" i="39"/>
  <c r="G68" i="43" s="1"/>
  <c r="L505" i="36"/>
  <c r="C21" i="42" s="1"/>
  <c r="P301" i="36"/>
  <c r="G56" i="42" s="1"/>
  <c r="D13" i="42"/>
  <c r="G585" i="39"/>
  <c r="I54" i="43" s="1"/>
  <c r="K54" i="43" s="1"/>
  <c r="E51" i="42"/>
  <c r="G285" i="39"/>
  <c r="I60" i="43" s="1"/>
  <c r="K60" i="43" s="1"/>
  <c r="I364" i="39"/>
  <c r="G622" i="39"/>
  <c r="G55" i="43" s="1"/>
  <c r="K55" i="43" s="1"/>
  <c r="K49" i="42"/>
  <c r="F699" i="39"/>
  <c r="C699" i="39"/>
  <c r="E699" i="39"/>
  <c r="C700" i="39"/>
  <c r="D699" i="39"/>
  <c r="Q220" i="36"/>
  <c r="P220" i="36"/>
  <c r="F134" i="40"/>
  <c r="F136" i="40" s="1"/>
  <c r="O214" i="36"/>
  <c r="O222" i="36" s="1"/>
  <c r="E226" i="39"/>
  <c r="E228" i="39" s="1"/>
  <c r="M923" i="36"/>
  <c r="H214" i="39"/>
  <c r="C166" i="39"/>
  <c r="C172" i="39" s="1"/>
  <c r="E55" i="42"/>
  <c r="H371" i="39"/>
  <c r="I372" i="39"/>
  <c r="D29" i="42"/>
  <c r="C370" i="39"/>
  <c r="C376" i="39" s="1"/>
  <c r="M285" i="36"/>
  <c r="L412" i="36"/>
  <c r="L414" i="36" s="1"/>
  <c r="P315" i="36"/>
  <c r="E28" i="42"/>
  <c r="J540" i="39"/>
  <c r="J745" i="39" s="1"/>
  <c r="H794" i="39"/>
  <c r="P966" i="36"/>
  <c r="G52" i="42" s="1"/>
  <c r="N945" i="36"/>
  <c r="N1074" i="36" s="1"/>
  <c r="K176" i="39"/>
  <c r="M1068" i="36"/>
  <c r="L876" i="36"/>
  <c r="I328" i="39"/>
  <c r="H364" i="39"/>
  <c r="R301" i="36"/>
  <c r="M918" i="36"/>
  <c r="M1073" i="36" s="1"/>
  <c r="G73" i="40"/>
  <c r="I51" i="42"/>
  <c r="M177" i="36"/>
  <c r="E70" i="42"/>
  <c r="E29" i="42"/>
  <c r="F13" i="42"/>
  <c r="C462" i="39"/>
  <c r="C805" i="39" s="1"/>
  <c r="G455" i="39"/>
  <c r="L14" i="43" s="1"/>
  <c r="G369" i="39"/>
  <c r="F280" i="39"/>
  <c r="F281" i="39" s="1"/>
  <c r="H166" i="39"/>
  <c r="G177" i="39"/>
  <c r="G64" i="43" s="1"/>
  <c r="P362" i="36"/>
  <c r="G25" i="42" s="1"/>
  <c r="G15" i="39"/>
  <c r="G10" i="43" s="1"/>
  <c r="K14" i="42"/>
  <c r="Q1181" i="36"/>
  <c r="I371" i="39"/>
  <c r="N714" i="36"/>
  <c r="C19" i="42"/>
  <c r="R762" i="36"/>
  <c r="C18" i="42"/>
  <c r="H323" i="39"/>
  <c r="G12" i="39"/>
  <c r="D10" i="43" s="1"/>
  <c r="G504" i="39"/>
  <c r="G756" i="39" s="1"/>
  <c r="Q966" i="36"/>
  <c r="F33" i="43"/>
  <c r="F36" i="43" s="1"/>
  <c r="H459" i="39"/>
  <c r="H802" i="39" s="1"/>
  <c r="O849" i="36"/>
  <c r="H460" i="39"/>
  <c r="H803" i="39" s="1"/>
  <c r="L222" i="36"/>
  <c r="J584" i="39"/>
  <c r="K547" i="39"/>
  <c r="K549" i="39" s="1"/>
  <c r="J67" i="43"/>
  <c r="Q762" i="36"/>
  <c r="Q1031" i="36" s="1"/>
  <c r="I280" i="39"/>
  <c r="I281" i="39" s="1"/>
  <c r="D51" i="42"/>
  <c r="K21" i="42"/>
  <c r="J375" i="39"/>
  <c r="F372" i="39"/>
  <c r="F376" i="39" s="1"/>
  <c r="M1119" i="36"/>
  <c r="K240" i="39"/>
  <c r="K807" i="39" s="1"/>
  <c r="R505" i="36"/>
  <c r="R412" i="36"/>
  <c r="D12" i="42"/>
  <c r="N1209" i="36"/>
  <c r="L1205" i="36"/>
  <c r="L1191" i="36"/>
  <c r="O1108" i="36"/>
  <c r="O1114" i="36" s="1"/>
  <c r="S481" i="36"/>
  <c r="L447" i="36"/>
  <c r="G540" i="39"/>
  <c r="G745" i="39" s="1"/>
  <c r="Q1169" i="36"/>
  <c r="K58" i="42"/>
  <c r="F15" i="42"/>
  <c r="C748" i="39"/>
  <c r="H232" i="39"/>
  <c r="I240" i="39"/>
  <c r="I807" i="39" s="1"/>
  <c r="H73" i="40"/>
  <c r="L513" i="36"/>
  <c r="G318" i="39"/>
  <c r="H133" i="40"/>
  <c r="T515" i="36"/>
  <c r="T1028" i="36" s="1"/>
  <c r="J135" i="39"/>
  <c r="J136" i="39" s="1"/>
  <c r="T932" i="36"/>
  <c r="T945" i="36" s="1"/>
  <c r="H70" i="42"/>
  <c r="C71" i="43"/>
  <c r="P1016" i="36"/>
  <c r="H127" i="39"/>
  <c r="H130" i="39" s="1"/>
  <c r="P876" i="36"/>
  <c r="L457" i="36"/>
  <c r="L459" i="36" s="1"/>
  <c r="F52" i="42"/>
  <c r="E107" i="40"/>
  <c r="E108" i="40" s="1"/>
  <c r="J33" i="42"/>
  <c r="K70" i="42"/>
  <c r="J107" i="40"/>
  <c r="G328" i="39"/>
  <c r="I67" i="43" s="1"/>
  <c r="G315" i="39"/>
  <c r="G29" i="43" s="1"/>
  <c r="I74" i="40"/>
  <c r="P1157" i="36"/>
  <c r="M1027" i="36"/>
  <c r="P108" i="36"/>
  <c r="J14" i="43"/>
  <c r="G74" i="40"/>
  <c r="P1129" i="36"/>
  <c r="G797" i="39"/>
  <c r="P1086" i="36"/>
  <c r="P1195" i="36"/>
  <c r="L1195" i="36"/>
  <c r="P1173" i="36"/>
  <c r="L1173" i="36"/>
  <c r="M1175" i="36"/>
  <c r="P1152" i="36"/>
  <c r="I106" i="40"/>
  <c r="O505" i="36"/>
  <c r="O515" i="36" s="1"/>
  <c r="C223" i="39"/>
  <c r="G760" i="39"/>
  <c r="H543" i="39"/>
  <c r="I49" i="42"/>
  <c r="Q1117" i="36"/>
  <c r="Q1119" i="36" s="1"/>
  <c r="F622" i="39"/>
  <c r="F624" i="39" s="1"/>
  <c r="D66" i="42"/>
  <c r="H375" i="39"/>
  <c r="R1209" i="36"/>
  <c r="N1205" i="36"/>
  <c r="M1152" i="36"/>
  <c r="T481" i="36"/>
  <c r="T1059" i="36" s="1"/>
  <c r="G240" i="39"/>
  <c r="G807" i="39" s="1"/>
  <c r="H368" i="39"/>
  <c r="C46" i="40"/>
  <c r="S1191" i="36"/>
  <c r="R470" i="36"/>
  <c r="K234" i="39"/>
  <c r="G214" i="39"/>
  <c r="G25" i="43" s="1"/>
  <c r="N1027" i="36"/>
  <c r="Q481" i="36"/>
  <c r="E9" i="42"/>
  <c r="H104" i="40"/>
  <c r="S1209" i="36"/>
  <c r="N1170" i="36"/>
  <c r="K56" i="43"/>
  <c r="E286" i="39"/>
  <c r="G803" i="39"/>
  <c r="P810" i="36"/>
  <c r="G212" i="39"/>
  <c r="E66" i="42"/>
  <c r="Q214" i="36"/>
  <c r="K214" i="39"/>
  <c r="H325" i="39"/>
  <c r="F327" i="39"/>
  <c r="F330" i="39" s="1"/>
  <c r="Q459" i="36"/>
  <c r="P470" i="36"/>
  <c r="P1027" i="36" s="1"/>
  <c r="I234" i="39"/>
  <c r="Q515" i="36"/>
  <c r="Q1028" i="36" s="1"/>
  <c r="M1112" i="36"/>
  <c r="D70" i="42"/>
  <c r="F16" i="42"/>
  <c r="K655" i="39"/>
  <c r="K17" i="42" s="1"/>
  <c r="C655" i="39"/>
  <c r="C17" i="42" s="1"/>
  <c r="D326" i="39"/>
  <c r="D330" i="39" s="1"/>
  <c r="D335" i="39" s="1"/>
  <c r="M1205" i="36"/>
  <c r="N1195" i="36"/>
  <c r="S1195" i="36"/>
  <c r="O1195" i="36"/>
  <c r="R1191" i="36"/>
  <c r="N1191" i="36"/>
  <c r="L1170" i="36"/>
  <c r="N1175" i="36"/>
  <c r="L1157" i="36"/>
  <c r="O1157" i="36"/>
  <c r="M1155" i="36"/>
  <c r="M1108" i="36"/>
  <c r="M1114" i="36" s="1"/>
  <c r="M741" i="36"/>
  <c r="M762" i="36" s="1"/>
  <c r="M1031" i="36" s="1"/>
  <c r="O709" i="36"/>
  <c r="R459" i="36"/>
  <c r="R362" i="36"/>
  <c r="J169" i="39"/>
  <c r="J697" i="39" s="1"/>
  <c r="I73" i="40"/>
  <c r="Q945" i="36"/>
  <c r="N711" i="36"/>
  <c r="N483" i="36"/>
  <c r="N485" i="36" s="1"/>
  <c r="J327" i="39"/>
  <c r="H105" i="40"/>
  <c r="H226" i="39"/>
  <c r="H228" i="39" s="1"/>
  <c r="D21" i="42"/>
  <c r="M1209" i="36"/>
  <c r="N918" i="36"/>
  <c r="Q1090" i="36"/>
  <c r="H33" i="42"/>
  <c r="M1165" i="36"/>
  <c r="J132" i="40"/>
  <c r="N968" i="36"/>
  <c r="N1032" i="36" s="1"/>
  <c r="G325" i="39"/>
  <c r="D52" i="42"/>
  <c r="T1191" i="36"/>
  <c r="N1157" i="36"/>
  <c r="M1157" i="36"/>
  <c r="Q1016" i="36"/>
  <c r="E97" i="39"/>
  <c r="E98" i="39" s="1"/>
  <c r="E103" i="39" s="1"/>
  <c r="R1151" i="36"/>
  <c r="R1157" i="36" s="1"/>
  <c r="G13" i="42"/>
  <c r="I318" i="39"/>
  <c r="I699" i="39" s="1"/>
  <c r="H318" i="39"/>
  <c r="H699" i="39" s="1"/>
  <c r="G58" i="42"/>
  <c r="L646" i="36"/>
  <c r="S1136" i="36"/>
  <c r="Q1135" i="36"/>
  <c r="L151" i="36"/>
  <c r="J214" i="39"/>
  <c r="T1136" i="36"/>
  <c r="J73" i="40"/>
  <c r="M1185" i="36"/>
  <c r="O1173" i="36"/>
  <c r="N1126" i="36"/>
  <c r="R1097" i="36"/>
  <c r="Q995" i="36"/>
  <c r="E33" i="42"/>
  <c r="H16" i="42"/>
  <c r="H655" i="39"/>
  <c r="H17" i="42" s="1"/>
  <c r="G59" i="39"/>
  <c r="F17" i="44" s="1"/>
  <c r="P1209" i="36"/>
  <c r="M1195" i="36"/>
  <c r="L1179" i="36"/>
  <c r="M1179" i="36"/>
  <c r="O1170" i="36"/>
  <c r="M1126" i="36"/>
  <c r="N1119" i="36"/>
  <c r="O968" i="36"/>
  <c r="O1032" i="36" s="1"/>
  <c r="O760" i="36"/>
  <c r="P1136" i="36"/>
  <c r="R1135" i="36"/>
  <c r="I214" i="39"/>
  <c r="Q1136" i="36"/>
  <c r="S1135" i="36"/>
  <c r="M329" i="36"/>
  <c r="M303" i="36"/>
  <c r="H106" i="40"/>
  <c r="K106" i="40"/>
  <c r="G370" i="39"/>
  <c r="E68" i="43" s="1"/>
  <c r="F165" i="40"/>
  <c r="O1179" i="36"/>
  <c r="L1053" i="36"/>
  <c r="M1082" i="36"/>
  <c r="P1119" i="36"/>
  <c r="Q1129" i="36"/>
  <c r="P916" i="36"/>
  <c r="I655" i="39"/>
  <c r="I17" i="42" s="1"/>
  <c r="E655" i="39"/>
  <c r="E17" i="42" s="1"/>
  <c r="H622" i="39"/>
  <c r="G505" i="39"/>
  <c r="C419" i="39"/>
  <c r="T1195" i="36"/>
  <c r="N1165" i="36"/>
  <c r="L1119" i="36"/>
  <c r="S945" i="36"/>
  <c r="S1074" i="36" s="1"/>
  <c r="L945" i="36"/>
  <c r="P481" i="36"/>
  <c r="R1136" i="36"/>
  <c r="P1135" i="36"/>
  <c r="J176" i="39"/>
  <c r="G135" i="40"/>
  <c r="H135" i="40"/>
  <c r="J106" i="40"/>
  <c r="F586" i="39"/>
  <c r="F588" i="39" s="1"/>
  <c r="F549" i="39"/>
  <c r="D750" i="39"/>
  <c r="E59" i="39"/>
  <c r="E65" i="39" s="1"/>
  <c r="G796" i="39"/>
  <c r="C758" i="39"/>
  <c r="D757" i="39"/>
  <c r="D543" i="39"/>
  <c r="K164" i="40"/>
  <c r="G72" i="40"/>
  <c r="P1108" i="36"/>
  <c r="P1114" i="36" s="1"/>
  <c r="L30" i="43"/>
  <c r="E46" i="45"/>
  <c r="H14" i="43"/>
  <c r="G747" i="39"/>
  <c r="I660" i="39"/>
  <c r="E660" i="39"/>
  <c r="D748" i="39"/>
  <c r="C130" i="39"/>
  <c r="K660" i="39"/>
  <c r="C660" i="39"/>
  <c r="C54" i="42" s="1"/>
  <c r="F660" i="39"/>
  <c r="F54" i="42" s="1"/>
  <c r="E586" i="39"/>
  <c r="I758" i="39"/>
  <c r="J748" i="39"/>
  <c r="D804" i="39"/>
  <c r="D808" i="39" s="1"/>
  <c r="D813" i="39" s="1"/>
  <c r="J585" i="39"/>
  <c r="C15" i="42"/>
  <c r="L968" i="36"/>
  <c r="L56" i="36"/>
  <c r="C15" i="39"/>
  <c r="C20" i="39" s="1"/>
  <c r="G62" i="39"/>
  <c r="P283" i="36"/>
  <c r="Q374" i="36"/>
  <c r="O1027" i="36"/>
  <c r="F214" i="39"/>
  <c r="F218" i="39" s="1"/>
  <c r="H326" i="39"/>
  <c r="F69" i="42"/>
  <c r="J19" i="39"/>
  <c r="J166" i="39"/>
  <c r="S362" i="36"/>
  <c r="C49" i="42"/>
  <c r="L329" i="36"/>
  <c r="N329" i="36"/>
  <c r="L306" i="36"/>
  <c r="J19" i="42"/>
  <c r="E19" i="42"/>
  <c r="N285" i="36"/>
  <c r="E18" i="42"/>
  <c r="J18" i="42"/>
  <c r="R1090" i="36"/>
  <c r="H315" i="39"/>
  <c r="G802" i="39"/>
  <c r="M1173" i="36"/>
  <c r="M1170" i="36"/>
  <c r="M1016" i="36"/>
  <c r="R1016" i="36"/>
  <c r="N1016" i="36"/>
  <c r="F29" i="42"/>
  <c r="J364" i="39"/>
  <c r="K328" i="39"/>
  <c r="H175" i="39"/>
  <c r="C73" i="40"/>
  <c r="C75" i="40" s="1"/>
  <c r="M1191" i="36"/>
  <c r="N301" i="36"/>
  <c r="L1082" i="36"/>
  <c r="G14" i="40"/>
  <c r="G16" i="40" s="1"/>
  <c r="P87" i="36"/>
  <c r="C25" i="42"/>
  <c r="E53" i="42"/>
  <c r="P1147" i="36"/>
  <c r="P1155" i="36"/>
  <c r="R481" i="36"/>
  <c r="H234" i="39"/>
  <c r="Q470" i="36"/>
  <c r="J234" i="39"/>
  <c r="S470" i="36"/>
  <c r="S1027" i="36" s="1"/>
  <c r="H212" i="39"/>
  <c r="Q447" i="36"/>
  <c r="R447" i="36"/>
  <c r="I212" i="39"/>
  <c r="I693" i="39" s="1"/>
  <c r="J212" i="39"/>
  <c r="G175" i="39"/>
  <c r="E64" i="43" s="1"/>
  <c r="Q1191" i="36"/>
  <c r="O876" i="36"/>
  <c r="E12" i="42"/>
  <c r="L303" i="36"/>
  <c r="J368" i="39"/>
  <c r="Q1101" i="36"/>
  <c r="G709" i="39"/>
  <c r="O1165" i="36"/>
  <c r="O1175" i="36"/>
  <c r="F70" i="42"/>
  <c r="L921" i="36"/>
  <c r="L923" i="36"/>
  <c r="N849" i="36"/>
  <c r="E21" i="42"/>
  <c r="G166" i="39"/>
  <c r="E26" i="43" s="1"/>
  <c r="C55" i="42"/>
  <c r="L285" i="36"/>
  <c r="H43" i="40"/>
  <c r="L1155" i="36"/>
  <c r="L87" i="36"/>
  <c r="G226" i="39"/>
  <c r="G228" i="39" s="1"/>
  <c r="I30" i="43"/>
  <c r="N1155" i="36"/>
  <c r="N1152" i="36"/>
  <c r="O995" i="36"/>
  <c r="D16" i="42"/>
  <c r="M997" i="36"/>
  <c r="C52" i="42"/>
  <c r="P1126" i="36"/>
  <c r="G70" i="42"/>
  <c r="C33" i="42"/>
  <c r="R1169" i="36"/>
  <c r="I13" i="42"/>
  <c r="J51" i="42"/>
  <c r="F14" i="42"/>
  <c r="F319" i="39"/>
  <c r="F320" i="39" s="1"/>
  <c r="O539" i="36"/>
  <c r="J58" i="42"/>
  <c r="M483" i="36"/>
  <c r="M485" i="36" s="1"/>
  <c r="J240" i="39"/>
  <c r="J807" i="39" s="1"/>
  <c r="P214" i="36"/>
  <c r="G132" i="40"/>
  <c r="G23" i="39" s="1"/>
  <c r="H44" i="40"/>
  <c r="L1152" i="36"/>
  <c r="J622" i="39"/>
  <c r="S1179" i="36"/>
  <c r="J70" i="42"/>
  <c r="H71" i="40"/>
  <c r="M1147" i="36"/>
  <c r="P646" i="36"/>
  <c r="M515" i="36"/>
  <c r="D711" i="39"/>
  <c r="F757" i="39"/>
  <c r="D281" i="39"/>
  <c r="H281" i="39"/>
  <c r="O1209" i="36"/>
  <c r="L1209" i="36"/>
  <c r="R932" i="36"/>
  <c r="S762" i="36"/>
  <c r="G371" i="39"/>
  <c r="F68" i="43" s="1"/>
  <c r="P709" i="36"/>
  <c r="O177" i="36"/>
  <c r="Q1092" i="36"/>
  <c r="L1165" i="36"/>
  <c r="L1175" i="36"/>
  <c r="C70" i="42"/>
  <c r="I621" i="39"/>
  <c r="D14" i="43"/>
  <c r="F51" i="43"/>
  <c r="K51" i="43" s="1"/>
  <c r="G136" i="39"/>
  <c r="N1156" i="36"/>
  <c r="N1147" i="36"/>
  <c r="O1129" i="36"/>
  <c r="N1129" i="36"/>
  <c r="M1129" i="36"/>
  <c r="M1122" i="36"/>
  <c r="L1122" i="36"/>
  <c r="N923" i="36"/>
  <c r="E69" i="42"/>
  <c r="Q1099" i="36"/>
  <c r="F492" i="39"/>
  <c r="F743" i="39" s="1"/>
  <c r="O1117" i="36"/>
  <c r="O1119" i="36" s="1"/>
  <c r="G14" i="42"/>
  <c r="P762" i="36"/>
  <c r="J68" i="43"/>
  <c r="Q1182" i="36"/>
  <c r="H372" i="39"/>
  <c r="G324" i="39"/>
  <c r="G280" i="39"/>
  <c r="L22" i="43" s="1"/>
  <c r="P505" i="36"/>
  <c r="G234" i="39"/>
  <c r="I232" i="39"/>
  <c r="Q1157" i="36"/>
  <c r="H132" i="40"/>
  <c r="D9" i="42"/>
  <c r="C16" i="42"/>
  <c r="G11" i="39"/>
  <c r="C10" i="43" s="1"/>
  <c r="S1016" i="36"/>
  <c r="N1173" i="36"/>
  <c r="G326" i="39"/>
  <c r="F67" i="43" s="1"/>
  <c r="Q278" i="36"/>
  <c r="C12" i="40"/>
  <c r="C16" i="40" s="1"/>
  <c r="H68" i="43"/>
  <c r="H74" i="43" s="1"/>
  <c r="Q108" i="36"/>
  <c r="L288" i="36"/>
  <c r="C69" i="42"/>
  <c r="H748" i="39"/>
  <c r="C692" i="39"/>
  <c r="T1209" i="36"/>
  <c r="T1205" i="36"/>
  <c r="P1191" i="36"/>
  <c r="T1185" i="36"/>
  <c r="N1185" i="36"/>
  <c r="I585" i="39"/>
  <c r="M849" i="36"/>
  <c r="M851" i="36" s="1"/>
  <c r="T470" i="36"/>
  <c r="T447" i="36"/>
  <c r="H618" i="39"/>
  <c r="D618" i="39"/>
  <c r="K794" i="39"/>
  <c r="K799" i="39" s="1"/>
  <c r="E419" i="39"/>
  <c r="J223" i="39"/>
  <c r="G223" i="39"/>
  <c r="E710" i="39"/>
  <c r="K136" i="39"/>
  <c r="D136" i="39"/>
  <c r="D130" i="39"/>
  <c r="H59" i="39"/>
  <c r="R1205" i="36"/>
  <c r="Q1195" i="36"/>
  <c r="M1134" i="36"/>
  <c r="M968" i="36"/>
  <c r="M945" i="36"/>
  <c r="K212" i="39"/>
  <c r="F365" i="39"/>
  <c r="N414" i="36"/>
  <c r="I169" i="39"/>
  <c r="I697" i="39" s="1"/>
  <c r="H370" i="39"/>
  <c r="G107" i="40"/>
  <c r="M1053" i="36"/>
  <c r="D25" i="42"/>
  <c r="C103" i="39"/>
  <c r="E691" i="39"/>
  <c r="C52" i="43"/>
  <c r="G755" i="39"/>
  <c r="J414" i="39"/>
  <c r="H33" i="43"/>
  <c r="H694" i="39"/>
  <c r="K15" i="43"/>
  <c r="K36" i="43" s="1"/>
  <c r="G794" i="39"/>
  <c r="D168" i="40"/>
  <c r="D136" i="40"/>
  <c r="F26" i="39"/>
  <c r="F16" i="40"/>
  <c r="D586" i="39"/>
  <c r="I549" i="39"/>
  <c r="F758" i="39"/>
  <c r="K750" i="39"/>
  <c r="G750" i="39"/>
  <c r="C750" i="39"/>
  <c r="I456" i="39"/>
  <c r="K53" i="43"/>
  <c r="C281" i="39"/>
  <c r="G130" i="39"/>
  <c r="F11" i="44" s="1"/>
  <c r="E235" i="39"/>
  <c r="E20" i="39"/>
  <c r="I543" i="39"/>
  <c r="D463" i="39"/>
  <c r="D468" i="39" s="1"/>
  <c r="H757" i="39"/>
  <c r="G14" i="43"/>
  <c r="C711" i="39"/>
  <c r="E16" i="40"/>
  <c r="D172" i="39"/>
  <c r="D75" i="40"/>
  <c r="E508" i="39"/>
  <c r="E514" i="39" s="1"/>
  <c r="F655" i="39"/>
  <c r="D624" i="39"/>
  <c r="I794" i="39"/>
  <c r="I799" i="39" s="1"/>
  <c r="H419" i="39"/>
  <c r="C59" i="39"/>
  <c r="C65" i="39" s="1"/>
  <c r="D108" i="40"/>
  <c r="E692" i="39"/>
  <c r="I745" i="39"/>
  <c r="G660" i="39"/>
  <c r="K694" i="39"/>
  <c r="C586" i="39"/>
  <c r="C588" i="39" s="1"/>
  <c r="H758" i="39"/>
  <c r="D508" i="39"/>
  <c r="D514" i="39" s="1"/>
  <c r="E757" i="39"/>
  <c r="K748" i="39"/>
  <c r="I419" i="39"/>
  <c r="D241" i="39"/>
  <c r="D223" i="39"/>
  <c r="C100" i="39"/>
  <c r="C697" i="39"/>
  <c r="H696" i="39"/>
  <c r="D696" i="39"/>
  <c r="D695" i="39"/>
  <c r="M13" i="43"/>
  <c r="C168" i="40"/>
  <c r="E75" i="40"/>
  <c r="G47" i="40"/>
  <c r="J33" i="43"/>
  <c r="G419" i="39"/>
  <c r="H13" i="44" s="1"/>
  <c r="H660" i="39"/>
  <c r="G618" i="39"/>
  <c r="C618" i="39"/>
  <c r="H549" i="39"/>
  <c r="D549" i="39"/>
  <c r="I286" i="39"/>
  <c r="F618" i="39"/>
  <c r="C456" i="39"/>
  <c r="J456" i="39"/>
  <c r="C180" i="39"/>
  <c r="E414" i="39"/>
  <c r="K414" i="39"/>
  <c r="C414" i="39"/>
  <c r="E376" i="39"/>
  <c r="C365" i="39"/>
  <c r="D365" i="39"/>
  <c r="E330" i="39"/>
  <c r="E320" i="39"/>
  <c r="H286" i="39"/>
  <c r="D286" i="39"/>
  <c r="E241" i="39"/>
  <c r="F235" i="39"/>
  <c r="E63" i="43"/>
  <c r="D228" i="39"/>
  <c r="F223" i="39"/>
  <c r="E218" i="39"/>
  <c r="F710" i="39"/>
  <c r="E180" i="39"/>
  <c r="D692" i="39"/>
  <c r="F419" i="39"/>
  <c r="Q1185" i="36"/>
  <c r="O1185" i="36"/>
  <c r="F136" i="39"/>
  <c r="S1185" i="36"/>
  <c r="F49" i="42"/>
  <c r="C68" i="39"/>
  <c r="D708" i="39"/>
  <c r="D758" i="39"/>
  <c r="E463" i="39"/>
  <c r="E10" i="43"/>
  <c r="D24" i="39"/>
  <c r="D705" i="39" s="1"/>
  <c r="D47" i="40"/>
  <c r="D26" i="39"/>
  <c r="D655" i="39"/>
  <c r="C624" i="39"/>
  <c r="E758" i="39"/>
  <c r="I806" i="39"/>
  <c r="G806" i="39"/>
  <c r="K223" i="39"/>
  <c r="C799" i="39"/>
  <c r="D799" i="39"/>
  <c r="G655" i="39"/>
  <c r="E23" i="39"/>
  <c r="E704" i="39" s="1"/>
  <c r="C691" i="39"/>
  <c r="F108" i="40"/>
  <c r="F241" i="39"/>
  <c r="E698" i="39"/>
  <c r="K696" i="39"/>
  <c r="J286" i="39"/>
  <c r="E281" i="39"/>
  <c r="E696" i="39"/>
  <c r="F692" i="39"/>
  <c r="D456" i="39"/>
  <c r="J799" i="39"/>
  <c r="C286" i="39"/>
  <c r="F691" i="39"/>
  <c r="K456" i="39"/>
  <c r="G581" i="39"/>
  <c r="J59" i="39"/>
  <c r="K618" i="39"/>
  <c r="H750" i="39"/>
  <c r="E804" i="39"/>
  <c r="E808" i="39" s="1"/>
  <c r="K286" i="39"/>
  <c r="I223" i="39"/>
  <c r="E223" i="39"/>
  <c r="E136" i="39"/>
  <c r="Q1205" i="36"/>
  <c r="P1185" i="36"/>
  <c r="R1117" i="36"/>
  <c r="R1119" i="36" s="1"/>
  <c r="J492" i="39"/>
  <c r="I492" i="39"/>
  <c r="I743" i="39" s="1"/>
  <c r="H492" i="39"/>
  <c r="P151" i="36"/>
  <c r="P1163" i="36"/>
  <c r="Q1209" i="36"/>
  <c r="P177" i="36"/>
  <c r="P1205" i="36"/>
  <c r="S1205" i="36"/>
  <c r="O1205" i="36"/>
  <c r="P1199" i="36"/>
  <c r="N263" i="36"/>
  <c r="E167" i="40"/>
  <c r="E27" i="39" s="1"/>
  <c r="E711" i="39" s="1"/>
  <c r="K135" i="40"/>
  <c r="J135" i="40"/>
  <c r="Q177" i="36"/>
  <c r="H107" i="40"/>
  <c r="P295" i="36"/>
  <c r="G93" i="39"/>
  <c r="P1121" i="36"/>
  <c r="O374" i="36"/>
  <c r="F176" i="39"/>
  <c r="Q1105" i="36"/>
  <c r="C806" i="39"/>
  <c r="C241" i="39"/>
  <c r="M414" i="36"/>
  <c r="K73" i="40"/>
  <c r="E172" i="39"/>
  <c r="J49" i="42"/>
  <c r="K543" i="39"/>
  <c r="K745" i="39"/>
  <c r="C136" i="40"/>
  <c r="O1016" i="36"/>
  <c r="L1016" i="36"/>
  <c r="P847" i="36"/>
  <c r="I370" i="39"/>
  <c r="H328" i="39"/>
  <c r="Q1094" i="36"/>
  <c r="E136" i="40"/>
  <c r="N1053" i="36"/>
  <c r="G327" i="39"/>
  <c r="L1068" i="36"/>
  <c r="G33" i="42"/>
  <c r="P945" i="36"/>
  <c r="G462" i="39"/>
  <c r="I14" i="42"/>
  <c r="N762" i="36"/>
  <c r="E14" i="42"/>
  <c r="I375" i="39"/>
  <c r="N625" i="36"/>
  <c r="E65" i="42"/>
  <c r="D49" i="42"/>
  <c r="M306" i="36"/>
  <c r="Q1106" i="36"/>
  <c r="R646" i="36"/>
  <c r="I361" i="39"/>
  <c r="E543" i="39"/>
  <c r="E750" i="39"/>
  <c r="L1185" i="36"/>
  <c r="P1170" i="36"/>
  <c r="P1175" i="36"/>
  <c r="C53" i="42"/>
  <c r="P1183" i="36"/>
  <c r="P995" i="36"/>
  <c r="G16" i="42"/>
  <c r="H503" i="39"/>
  <c r="Q1150" i="36"/>
  <c r="J13" i="42"/>
  <c r="K51" i="42"/>
  <c r="G51" i="42"/>
  <c r="K371" i="39"/>
  <c r="J371" i="39"/>
  <c r="C326" i="39"/>
  <c r="L623" i="36"/>
  <c r="D24" i="42"/>
  <c r="S447" i="36"/>
  <c r="H164" i="40"/>
  <c r="F748" i="39"/>
  <c r="O1191" i="36"/>
  <c r="T1179" i="36"/>
  <c r="P623" i="36"/>
  <c r="F794" i="39"/>
  <c r="F799" i="39" s="1"/>
  <c r="F456" i="39"/>
  <c r="C68" i="43"/>
  <c r="O1152" i="36"/>
  <c r="O1155" i="36"/>
  <c r="O1126" i="36"/>
  <c r="L762" i="36"/>
  <c r="C51" i="42"/>
  <c r="K364" i="39"/>
  <c r="H361" i="39"/>
  <c r="Q646" i="36"/>
  <c r="I325" i="39"/>
  <c r="E58" i="42"/>
  <c r="N515" i="36"/>
  <c r="S505" i="36"/>
  <c r="J280" i="39"/>
  <c r="F55" i="42"/>
  <c r="K57" i="39"/>
  <c r="K59" i="39" s="1"/>
  <c r="T278" i="36"/>
  <c r="Q1164" i="36"/>
  <c r="M18" i="43"/>
  <c r="O285" i="36"/>
  <c r="G134" i="40"/>
  <c r="N1082" i="36"/>
  <c r="L847" i="36"/>
  <c r="L849" i="36" s="1"/>
  <c r="C804" i="39"/>
  <c r="D660" i="39"/>
  <c r="D54" i="42" s="1"/>
  <c r="J655" i="39"/>
  <c r="J17" i="42" s="1"/>
  <c r="F804" i="39"/>
  <c r="C708" i="39"/>
  <c r="C136" i="39"/>
  <c r="H136" i="39"/>
  <c r="N1179" i="36"/>
  <c r="T1016" i="36"/>
  <c r="H585" i="39"/>
  <c r="H586" i="39" s="1"/>
  <c r="K166" i="39"/>
  <c r="Q327" i="36"/>
  <c r="J93" i="39"/>
  <c r="J94" i="39" s="1"/>
  <c r="J618" i="39"/>
  <c r="J758" i="39"/>
  <c r="K419" i="39"/>
  <c r="C696" i="39"/>
  <c r="M711" i="36"/>
  <c r="I135" i="40"/>
  <c r="G106" i="40"/>
  <c r="L997" i="36"/>
  <c r="I618" i="39"/>
  <c r="E618" i="39"/>
  <c r="G361" i="39"/>
  <c r="K375" i="39"/>
  <c r="H177" i="39"/>
  <c r="R1186" i="36"/>
  <c r="I135" i="39"/>
  <c r="I136" i="39" s="1"/>
  <c r="O301" i="36"/>
  <c r="F97" i="39"/>
  <c r="F98" i="39" s="1"/>
  <c r="M288" i="36"/>
  <c r="J660" i="39"/>
  <c r="J549" i="39"/>
  <c r="K281" i="39"/>
  <c r="R1195" i="36"/>
  <c r="O1134" i="36"/>
  <c r="O945" i="36"/>
  <c r="N921" i="36"/>
  <c r="T762" i="36"/>
  <c r="M222" i="36"/>
  <c r="C508" i="39"/>
  <c r="C513" i="39" s="1"/>
  <c r="F750" i="39"/>
  <c r="D500" i="39"/>
  <c r="E748" i="39"/>
  <c r="H414" i="39"/>
  <c r="I414" i="39"/>
  <c r="F414" i="39"/>
  <c r="D376" i="39"/>
  <c r="D381" i="39" s="1"/>
  <c r="F286" i="39"/>
  <c r="E697" i="39"/>
  <c r="J696" i="39"/>
  <c r="I59" i="39"/>
  <c r="F59" i="39"/>
  <c r="F65" i="39" s="1"/>
  <c r="D100" i="39"/>
  <c r="J10" i="43"/>
  <c r="D697" i="39"/>
  <c r="D20" i="39"/>
  <c r="I696" i="39"/>
  <c r="H807" i="39"/>
  <c r="H241" i="39"/>
  <c r="E25" i="39"/>
  <c r="E47" i="40"/>
  <c r="F24" i="39"/>
  <c r="F47" i="40"/>
  <c r="D16" i="40"/>
  <c r="D25" i="39"/>
  <c r="D706" i="39" s="1"/>
  <c r="G748" i="39"/>
  <c r="H34" i="43"/>
  <c r="F543" i="39"/>
  <c r="F745" i="39"/>
  <c r="C745" i="39"/>
  <c r="C543" i="39"/>
  <c r="G758" i="39"/>
  <c r="F71" i="43"/>
  <c r="J750" i="39"/>
  <c r="I748" i="39"/>
  <c r="D33" i="43"/>
  <c r="C744" i="39"/>
  <c r="C500" i="39"/>
  <c r="E456" i="39"/>
  <c r="E798" i="39"/>
  <c r="E799" i="39" s="1"/>
  <c r="H456" i="39"/>
  <c r="H796" i="39"/>
  <c r="I68" i="43"/>
  <c r="C710" i="39"/>
  <c r="J419" i="39"/>
  <c r="F697" i="39"/>
  <c r="H29" i="43"/>
  <c r="C320" i="39"/>
  <c r="D320" i="39"/>
  <c r="D693" i="39"/>
  <c r="E22" i="43"/>
  <c r="K806" i="39"/>
  <c r="G63" i="43"/>
  <c r="H223" i="39"/>
  <c r="C235" i="39"/>
  <c r="D235" i="39"/>
  <c r="D710" i="39"/>
  <c r="D180" i="39"/>
  <c r="E58" i="43"/>
  <c r="K58" i="43" s="1"/>
  <c r="G98" i="39"/>
  <c r="F747" i="39"/>
  <c r="D691" i="39"/>
  <c r="D59" i="39"/>
  <c r="J694" i="39"/>
  <c r="F693" i="39"/>
  <c r="E24" i="39"/>
  <c r="D23" i="39"/>
  <c r="E549" i="39"/>
  <c r="D419" i="39"/>
  <c r="C24" i="39"/>
  <c r="G549" i="39"/>
  <c r="E72" i="43"/>
  <c r="K72" i="43" s="1"/>
  <c r="C549" i="39"/>
  <c r="C757" i="39"/>
  <c r="F756" i="39"/>
  <c r="F508" i="39"/>
  <c r="E500" i="39"/>
  <c r="E744" i="39"/>
  <c r="F463" i="39"/>
  <c r="F803" i="39"/>
  <c r="G414" i="39"/>
  <c r="I15" i="43"/>
  <c r="C67" i="43"/>
  <c r="G694" i="39"/>
  <c r="E365" i="39"/>
  <c r="C218" i="39"/>
  <c r="D218" i="39"/>
  <c r="E695" i="39"/>
  <c r="E693" i="39"/>
  <c r="C33" i="43"/>
  <c r="G743" i="39"/>
  <c r="E68" i="39"/>
  <c r="D46" i="45"/>
  <c r="C46" i="45"/>
  <c r="I750" i="39"/>
  <c r="E130" i="39"/>
  <c r="L1109" i="36" l="1"/>
  <c r="C66" i="42"/>
  <c r="M628" i="36"/>
  <c r="M625" i="36"/>
  <c r="M1029" i="36" s="1"/>
  <c r="F65" i="42"/>
  <c r="N1115" i="36"/>
  <c r="G286" i="39"/>
  <c r="H20" i="44" s="1"/>
  <c r="L33" i="43"/>
  <c r="M33" i="43" s="1"/>
  <c r="K235" i="39"/>
  <c r="G500" i="39"/>
  <c r="F31" i="44" s="1"/>
  <c r="C24" i="42"/>
  <c r="I12" i="40"/>
  <c r="D700" i="39"/>
  <c r="D701" i="39" s="1"/>
  <c r="L714" i="36"/>
  <c r="I323" i="39"/>
  <c r="I71" i="40"/>
  <c r="D65" i="42"/>
  <c r="M1115" i="36"/>
  <c r="H461" i="39"/>
  <c r="J12" i="40"/>
  <c r="L1131" i="36"/>
  <c r="I13" i="40"/>
  <c r="R1144" i="36"/>
  <c r="R1147" i="36" s="1"/>
  <c r="O1115" i="36"/>
  <c r="E708" i="39"/>
  <c r="N1131" i="36"/>
  <c r="J710" i="39"/>
  <c r="H134" i="40"/>
  <c r="H136" i="40" s="1"/>
  <c r="G319" i="39"/>
  <c r="G320" i="39" s="1"/>
  <c r="C26" i="39"/>
  <c r="C707" i="39" s="1"/>
  <c r="O362" i="36"/>
  <c r="F171" i="39"/>
  <c r="F172" i="39" s="1"/>
  <c r="H97" i="39"/>
  <c r="H98" i="39" s="1"/>
  <c r="H100" i="39" s="1"/>
  <c r="C693" i="39"/>
  <c r="T1097" i="36"/>
  <c r="S177" i="36"/>
  <c r="P222" i="36"/>
  <c r="K758" i="39"/>
  <c r="K319" i="39"/>
  <c r="L918" i="36"/>
  <c r="T301" i="36"/>
  <c r="T1134" i="36"/>
  <c r="E54" i="42"/>
  <c r="H799" i="39"/>
  <c r="G586" i="39"/>
  <c r="H14" i="44" s="1"/>
  <c r="J543" i="39"/>
  <c r="G624" i="39"/>
  <c r="H218" i="39"/>
  <c r="P329" i="36"/>
  <c r="P1025" i="36" s="1"/>
  <c r="G456" i="39"/>
  <c r="F12" i="44" s="1"/>
  <c r="G798" i="39"/>
  <c r="G799" i="39" s="1"/>
  <c r="E61" i="42"/>
  <c r="G699" i="39"/>
  <c r="I710" i="39"/>
  <c r="I133" i="40"/>
  <c r="I235" i="39"/>
  <c r="H421" i="39"/>
  <c r="M1033" i="36"/>
  <c r="G24" i="42"/>
  <c r="O970" i="36"/>
  <c r="L1074" i="36"/>
  <c r="I132" i="40"/>
  <c r="J74" i="40"/>
  <c r="J26" i="39" s="1"/>
  <c r="J71" i="40"/>
  <c r="I97" i="39"/>
  <c r="I98" i="39" s="1"/>
  <c r="I100" i="39" s="1"/>
  <c r="R1031" i="36"/>
  <c r="G169" i="39"/>
  <c r="I26" i="43" s="1"/>
  <c r="I36" i="43" s="1"/>
  <c r="Q1179" i="36"/>
  <c r="G12" i="42"/>
  <c r="M1023" i="36"/>
  <c r="C9" i="42"/>
  <c r="C32" i="42"/>
  <c r="D68" i="43"/>
  <c r="K68" i="43" s="1"/>
  <c r="L1176" i="36"/>
  <c r="Q301" i="36"/>
  <c r="Q303" i="36" s="1"/>
  <c r="Q1024" i="36" s="1"/>
  <c r="I104" i="40"/>
  <c r="P1115" i="36"/>
  <c r="P1034" i="36"/>
  <c r="E67" i="43"/>
  <c r="E626" i="39"/>
  <c r="I179" i="39"/>
  <c r="E100" i="39"/>
  <c r="K33" i="42"/>
  <c r="E706" i="39"/>
  <c r="N1030" i="36"/>
  <c r="G710" i="39"/>
  <c r="O1131" i="36"/>
  <c r="H52" i="42"/>
  <c r="I241" i="39"/>
  <c r="E26" i="39"/>
  <c r="E707" i="39" s="1"/>
  <c r="D71" i="43"/>
  <c r="G692" i="39"/>
  <c r="J29" i="43"/>
  <c r="J36" i="43" s="1"/>
  <c r="O711" i="36"/>
  <c r="F50" i="42"/>
  <c r="S1059" i="36"/>
  <c r="G241" i="39"/>
  <c r="S966" i="36"/>
  <c r="J52" i="42" s="1"/>
  <c r="I26" i="39"/>
  <c r="G75" i="40"/>
  <c r="G757" i="39"/>
  <c r="G761" i="39" s="1"/>
  <c r="I459" i="39"/>
  <c r="I802" i="39" s="1"/>
  <c r="Q222" i="36"/>
  <c r="F66" i="42"/>
  <c r="K241" i="39"/>
  <c r="C463" i="39"/>
  <c r="C465" i="39" s="1"/>
  <c r="J172" i="39"/>
  <c r="H53" i="42"/>
  <c r="G32" i="42"/>
  <c r="P918" i="36"/>
  <c r="P1073" i="36" s="1"/>
  <c r="O851" i="36"/>
  <c r="P849" i="36"/>
  <c r="R515" i="36"/>
  <c r="I21" i="42"/>
  <c r="R966" i="36"/>
  <c r="I52" i="42" s="1"/>
  <c r="H235" i="39"/>
  <c r="H243" i="39" s="1"/>
  <c r="C58" i="42"/>
  <c r="Q315" i="36"/>
  <c r="H12" i="42" s="1"/>
  <c r="I584" i="39"/>
  <c r="I586" i="39" s="1"/>
  <c r="D14" i="42"/>
  <c r="L515" i="36"/>
  <c r="Q87" i="36"/>
  <c r="Q1034" i="36"/>
  <c r="I127" i="39"/>
  <c r="I130" i="39" s="1"/>
  <c r="G167" i="40"/>
  <c r="G27" i="39" s="1"/>
  <c r="L1158" i="36"/>
  <c r="J586" i="39"/>
  <c r="K584" i="39"/>
  <c r="K586" i="39" s="1"/>
  <c r="G543" i="39"/>
  <c r="E34" i="43"/>
  <c r="M34" i="43" s="1"/>
  <c r="E168" i="40"/>
  <c r="Q1175" i="36"/>
  <c r="H551" i="39"/>
  <c r="C47" i="40"/>
  <c r="T459" i="36"/>
  <c r="Q1162" i="36"/>
  <c r="N1073" i="36"/>
  <c r="N1076" i="36" s="1"/>
  <c r="I226" i="39"/>
  <c r="I228" i="39" s="1"/>
  <c r="H13" i="40"/>
  <c r="C226" i="39"/>
  <c r="C228" i="39" s="1"/>
  <c r="G54" i="42"/>
  <c r="L483" i="36"/>
  <c r="E288" i="39"/>
  <c r="G26" i="39"/>
  <c r="K226" i="39"/>
  <c r="K228" i="39" s="1"/>
  <c r="M1176" i="36"/>
  <c r="S1134" i="36"/>
  <c r="R1027" i="36"/>
  <c r="S214" i="36"/>
  <c r="Q997" i="36"/>
  <c r="P1158" i="36"/>
  <c r="F21" i="42"/>
  <c r="J693" i="39"/>
  <c r="M1158" i="36"/>
  <c r="K107" i="40"/>
  <c r="M1025" i="36"/>
  <c r="H11" i="44"/>
  <c r="J11" i="44" s="1"/>
  <c r="E57" i="43"/>
  <c r="K57" i="43" s="1"/>
  <c r="J218" i="39"/>
  <c r="H108" i="40"/>
  <c r="G508" i="39"/>
  <c r="H693" i="39"/>
  <c r="D707" i="39"/>
  <c r="D761" i="39"/>
  <c r="D766" i="39" s="1"/>
  <c r="E71" i="43"/>
  <c r="K710" i="39"/>
  <c r="D752" i="39"/>
  <c r="Q709" i="36"/>
  <c r="H369" i="39"/>
  <c r="H376" i="39" s="1"/>
  <c r="L1147" i="36"/>
  <c r="I218" i="39"/>
  <c r="R1134" i="36"/>
  <c r="C25" i="39"/>
  <c r="C706" i="39" s="1"/>
  <c r="I288" i="39"/>
  <c r="C421" i="39"/>
  <c r="Q1126" i="36"/>
  <c r="H47" i="40"/>
  <c r="D421" i="39"/>
  <c r="Q623" i="36"/>
  <c r="Q1059" i="36"/>
  <c r="G693" i="39"/>
  <c r="F708" i="39"/>
  <c r="G218" i="39"/>
  <c r="D588" i="39"/>
  <c r="C761" i="39"/>
  <c r="E25" i="43"/>
  <c r="M25" i="43" s="1"/>
  <c r="K218" i="39"/>
  <c r="I172" i="39"/>
  <c r="H624" i="39"/>
  <c r="H626" i="39" s="1"/>
  <c r="E662" i="39"/>
  <c r="Q1074" i="36"/>
  <c r="N1176" i="36"/>
  <c r="O1109" i="36"/>
  <c r="F500" i="39"/>
  <c r="F510" i="39" s="1"/>
  <c r="K54" i="42"/>
  <c r="N1034" i="36"/>
  <c r="H710" i="39"/>
  <c r="L711" i="36"/>
  <c r="J235" i="39"/>
  <c r="D67" i="43"/>
  <c r="O1176" i="36"/>
  <c r="P1134" i="36"/>
  <c r="M1131" i="36"/>
  <c r="M1109" i="36"/>
  <c r="P1109" i="36"/>
  <c r="G662" i="39"/>
  <c r="I25" i="42"/>
  <c r="N1109" i="36"/>
  <c r="P1059" i="36"/>
  <c r="C29" i="42"/>
  <c r="M1024" i="36"/>
  <c r="R810" i="36"/>
  <c r="G69" i="42"/>
  <c r="O762" i="36"/>
  <c r="F51" i="42"/>
  <c r="R1164" i="36"/>
  <c r="R1175" i="36" s="1"/>
  <c r="S1151" i="36"/>
  <c r="S1157" i="36" s="1"/>
  <c r="T1151" i="36"/>
  <c r="T1157" i="36" s="1"/>
  <c r="H14" i="40"/>
  <c r="K662" i="39"/>
  <c r="I63" i="43"/>
  <c r="I74" i="43" s="1"/>
  <c r="G235" i="39"/>
  <c r="G376" i="39"/>
  <c r="G108" i="40"/>
  <c r="J241" i="39"/>
  <c r="E421" i="39"/>
  <c r="E588" i="39"/>
  <c r="H23" i="39"/>
  <c r="H704" i="39" s="1"/>
  <c r="G136" i="40"/>
  <c r="G24" i="39"/>
  <c r="D48" i="43" s="1"/>
  <c r="C695" i="39"/>
  <c r="H708" i="39"/>
  <c r="F63" i="43"/>
  <c r="G63" i="39"/>
  <c r="D138" i="39"/>
  <c r="I662" i="39"/>
  <c r="C662" i="39"/>
  <c r="D36" i="43"/>
  <c r="I54" i="42"/>
  <c r="C288" i="39"/>
  <c r="M14" i="43"/>
  <c r="J708" i="39"/>
  <c r="H16" i="44"/>
  <c r="G330" i="39"/>
  <c r="C514" i="39"/>
  <c r="E761" i="39"/>
  <c r="E766" i="39" s="1"/>
  <c r="G704" i="39"/>
  <c r="C48" i="43"/>
  <c r="C74" i="43" s="1"/>
  <c r="E62" i="42"/>
  <c r="M1060" i="36"/>
  <c r="I580" i="39"/>
  <c r="I581" i="39" s="1"/>
  <c r="N1023" i="36"/>
  <c r="I326" i="39"/>
  <c r="P285" i="36"/>
  <c r="G55" i="42"/>
  <c r="S1034" i="36"/>
  <c r="H15" i="42"/>
  <c r="Q968" i="36"/>
  <c r="M1028" i="36"/>
  <c r="O412" i="36"/>
  <c r="F179" i="39"/>
  <c r="S1169" i="36"/>
  <c r="T1169" i="36"/>
  <c r="Q483" i="36"/>
  <c r="Q1027" i="36"/>
  <c r="R1059" i="36"/>
  <c r="E56" i="42"/>
  <c r="N306" i="36"/>
  <c r="I315" i="39"/>
  <c r="M1032" i="36"/>
  <c r="T1027" i="36"/>
  <c r="H18" i="42"/>
  <c r="S1031" i="36"/>
  <c r="O625" i="36"/>
  <c r="F28" i="42"/>
  <c r="L1023" i="36"/>
  <c r="I56" i="42"/>
  <c r="R303" i="36"/>
  <c r="R1034" i="36"/>
  <c r="L1025" i="36"/>
  <c r="F73" i="40"/>
  <c r="O151" i="36"/>
  <c r="Q1134" i="36"/>
  <c r="Q1086" i="36"/>
  <c r="M854" i="36"/>
  <c r="H15" i="39"/>
  <c r="D17" i="42"/>
  <c r="Q56" i="36"/>
  <c r="R1101" i="36"/>
  <c r="R483" i="36"/>
  <c r="R485" i="36" s="1"/>
  <c r="G66" i="42"/>
  <c r="C23" i="39"/>
  <c r="C704" i="39" s="1"/>
  <c r="P483" i="36"/>
  <c r="I551" i="39"/>
  <c r="Q1147" i="36"/>
  <c r="I624" i="39"/>
  <c r="R995" i="36"/>
  <c r="J621" i="39"/>
  <c r="E50" i="42"/>
  <c r="L1024" i="36"/>
  <c r="O918" i="36"/>
  <c r="F32" i="42"/>
  <c r="I24" i="42"/>
  <c r="T1074" i="36"/>
  <c r="N1025" i="36"/>
  <c r="P515" i="36"/>
  <c r="G21" i="42"/>
  <c r="R1099" i="36"/>
  <c r="R945" i="36"/>
  <c r="I33" i="42"/>
  <c r="D61" i="42"/>
  <c r="P412" i="36"/>
  <c r="P539" i="36"/>
  <c r="P625" i="36" s="1"/>
  <c r="Q283" i="36"/>
  <c r="H62" i="39"/>
  <c r="H63" i="39" s="1"/>
  <c r="H65" i="39" s="1"/>
  <c r="I14" i="40"/>
  <c r="M1074" i="36"/>
  <c r="M1076" i="36" s="1"/>
  <c r="K24" i="42"/>
  <c r="P1031" i="36"/>
  <c r="P968" i="36"/>
  <c r="G15" i="42"/>
  <c r="O997" i="36"/>
  <c r="F53" i="42"/>
  <c r="L265" i="36"/>
  <c r="I43" i="40"/>
  <c r="H24" i="42"/>
  <c r="I505" i="39"/>
  <c r="I757" i="39" s="1"/>
  <c r="M1034" i="36"/>
  <c r="T1090" i="36"/>
  <c r="S1090" i="36"/>
  <c r="J25" i="42"/>
  <c r="I175" i="39"/>
  <c r="R374" i="36"/>
  <c r="R414" i="36" s="1"/>
  <c r="L1032" i="36"/>
  <c r="H324" i="39"/>
  <c r="H330" i="39" s="1"/>
  <c r="R87" i="36"/>
  <c r="F15" i="44"/>
  <c r="N416" i="36"/>
  <c r="N1026" i="36" s="1"/>
  <c r="N854" i="36"/>
  <c r="P711" i="36"/>
  <c r="E35" i="42"/>
  <c r="G281" i="39"/>
  <c r="D50" i="42"/>
  <c r="J325" i="39"/>
  <c r="G29" i="42"/>
  <c r="F288" i="39"/>
  <c r="F290" i="39" s="1"/>
  <c r="E332" i="39"/>
  <c r="N851" i="36"/>
  <c r="N1158" i="36"/>
  <c r="P374" i="36"/>
  <c r="N303" i="36"/>
  <c r="E243" i="39"/>
  <c r="D662" i="39"/>
  <c r="F761" i="39"/>
  <c r="K288" i="39"/>
  <c r="E52" i="43"/>
  <c r="E513" i="39"/>
  <c r="D551" i="39"/>
  <c r="E335" i="39"/>
  <c r="H288" i="39"/>
  <c r="E182" i="39"/>
  <c r="D513" i="39"/>
  <c r="G138" i="39"/>
  <c r="F808" i="39"/>
  <c r="G804" i="39"/>
  <c r="D810" i="39"/>
  <c r="K693" i="39"/>
  <c r="E381" i="39"/>
  <c r="K421" i="39"/>
  <c r="C182" i="39"/>
  <c r="G708" i="39"/>
  <c r="C626" i="39"/>
  <c r="E468" i="39"/>
  <c r="F16" i="44"/>
  <c r="F662" i="39"/>
  <c r="F664" i="39" s="1"/>
  <c r="H662" i="39"/>
  <c r="H26" i="39"/>
  <c r="H707" i="39" s="1"/>
  <c r="D288" i="39"/>
  <c r="F17" i="42"/>
  <c r="G752" i="39"/>
  <c r="C330" i="39"/>
  <c r="C332" i="39" s="1"/>
  <c r="E752" i="39"/>
  <c r="G17" i="42"/>
  <c r="C808" i="39"/>
  <c r="C810" i="39" s="1"/>
  <c r="G463" i="39"/>
  <c r="H54" i="42"/>
  <c r="D626" i="39"/>
  <c r="E813" i="39"/>
  <c r="F14" i="44"/>
  <c r="D465" i="39"/>
  <c r="F752" i="39"/>
  <c r="D510" i="39"/>
  <c r="C752" i="39"/>
  <c r="I708" i="39"/>
  <c r="J743" i="39"/>
  <c r="H743" i="39"/>
  <c r="S1117" i="36"/>
  <c r="S1119" i="36" s="1"/>
  <c r="P1174" i="36"/>
  <c r="P1176" i="36" s="1"/>
  <c r="P1165" i="36"/>
  <c r="H588" i="39"/>
  <c r="F100" i="39"/>
  <c r="M1030" i="36"/>
  <c r="N1028" i="36"/>
  <c r="G65" i="42"/>
  <c r="Q1152" i="36"/>
  <c r="Q1155" i="36"/>
  <c r="Q1158" i="36" s="1"/>
  <c r="H72" i="40"/>
  <c r="H75" i="40" s="1"/>
  <c r="Q1163" i="36"/>
  <c r="Q151" i="36"/>
  <c r="T1101" i="36"/>
  <c r="S1101" i="36"/>
  <c r="N1029" i="36"/>
  <c r="I319" i="39"/>
  <c r="I700" i="39" s="1"/>
  <c r="H462" i="39"/>
  <c r="H805" i="39" s="1"/>
  <c r="C62" i="42"/>
  <c r="L416" i="36"/>
  <c r="F707" i="39"/>
  <c r="G19" i="42"/>
  <c r="P303" i="36"/>
  <c r="N265" i="36"/>
  <c r="H365" i="39"/>
  <c r="K325" i="39"/>
  <c r="J370" i="39"/>
  <c r="R539" i="36"/>
  <c r="I421" i="39"/>
  <c r="T1031" i="36"/>
  <c r="J54" i="42"/>
  <c r="R1185" i="36"/>
  <c r="J319" i="39"/>
  <c r="J700" i="39" s="1"/>
  <c r="O287" i="36"/>
  <c r="O1023" i="36"/>
  <c r="L1031" i="36"/>
  <c r="F226" i="39"/>
  <c r="F228" i="39" s="1"/>
  <c r="F243" i="39" s="1"/>
  <c r="O489" i="36"/>
  <c r="R1150" i="36"/>
  <c r="I503" i="39"/>
  <c r="N1031" i="36"/>
  <c r="F52" i="43"/>
  <c r="G805" i="39"/>
  <c r="G67" i="43"/>
  <c r="G74" i="43" s="1"/>
  <c r="R1094" i="36"/>
  <c r="Q847" i="36"/>
  <c r="O1018" i="36"/>
  <c r="O1034" i="36"/>
  <c r="J104" i="40"/>
  <c r="G94" i="39"/>
  <c r="C20" i="43"/>
  <c r="M20" i="43" s="1"/>
  <c r="G691" i="39"/>
  <c r="F421" i="39"/>
  <c r="O1028" i="36"/>
  <c r="O517" i="36"/>
  <c r="G30" i="43"/>
  <c r="G365" i="39"/>
  <c r="L1033" i="36"/>
  <c r="H49" i="42"/>
  <c r="H138" i="39"/>
  <c r="L851" i="36"/>
  <c r="L854" i="36"/>
  <c r="C50" i="42"/>
  <c r="J361" i="39"/>
  <c r="J365" i="39" s="1"/>
  <c r="S646" i="36"/>
  <c r="H12" i="39"/>
  <c r="K18" i="42"/>
  <c r="J21" i="42"/>
  <c r="S515" i="36"/>
  <c r="H29" i="42"/>
  <c r="S1092" i="36"/>
  <c r="O487" i="36"/>
  <c r="O493" i="36"/>
  <c r="O491" i="36"/>
  <c r="F24" i="42"/>
  <c r="J226" i="39"/>
  <c r="J228" i="39" s="1"/>
  <c r="S459" i="36"/>
  <c r="Q1168" i="36"/>
  <c r="Q916" i="36"/>
  <c r="H504" i="39"/>
  <c r="H756" i="39" s="1"/>
  <c r="I29" i="42"/>
  <c r="L1034" i="36"/>
  <c r="R1105" i="36"/>
  <c r="P1131" i="36"/>
  <c r="Q1122" i="36"/>
  <c r="P1122" i="36"/>
  <c r="C138" i="39"/>
  <c r="D378" i="39"/>
  <c r="R1092" i="36"/>
  <c r="K370" i="39"/>
  <c r="M265" i="36"/>
  <c r="O1074" i="36"/>
  <c r="O947" i="36"/>
  <c r="O303" i="36"/>
  <c r="F56" i="42"/>
  <c r="H169" i="39"/>
  <c r="Q362" i="36"/>
  <c r="K93" i="39"/>
  <c r="K94" i="39" s="1"/>
  <c r="T295" i="36"/>
  <c r="K179" i="39"/>
  <c r="T1034" i="36"/>
  <c r="J281" i="39"/>
  <c r="P263" i="36"/>
  <c r="G165" i="40"/>
  <c r="I164" i="40"/>
  <c r="J24" i="42"/>
  <c r="C65" i="42"/>
  <c r="L628" i="36"/>
  <c r="L625" i="36"/>
  <c r="H755" i="39"/>
  <c r="G53" i="42"/>
  <c r="P997" i="36"/>
  <c r="I365" i="39"/>
  <c r="R1106" i="36"/>
  <c r="P1074" i="36"/>
  <c r="H319" i="39"/>
  <c r="H700" i="39" s="1"/>
  <c r="R1086" i="36"/>
  <c r="I369" i="39"/>
  <c r="I376" i="39" s="1"/>
  <c r="R709" i="36"/>
  <c r="I105" i="40"/>
  <c r="R177" i="36"/>
  <c r="D62" i="42"/>
  <c r="M416" i="36"/>
  <c r="J318" i="39"/>
  <c r="J699" i="39" s="1"/>
  <c r="E701" i="39"/>
  <c r="H11" i="39"/>
  <c r="F378" i="39"/>
  <c r="F380" i="39" s="1"/>
  <c r="G695" i="39"/>
  <c r="J662" i="39"/>
  <c r="T1121" i="36"/>
  <c r="Q810" i="36"/>
  <c r="Q539" i="36"/>
  <c r="Q1108" i="36"/>
  <c r="P1179" i="36"/>
  <c r="G421" i="39"/>
  <c r="F13" i="44"/>
  <c r="J13" i="44" s="1"/>
  <c r="D65" i="39"/>
  <c r="D182" i="39"/>
  <c r="D243" i="39"/>
  <c r="J421" i="39"/>
  <c r="C551" i="39"/>
  <c r="K551" i="39"/>
  <c r="M15" i="43"/>
  <c r="H32" i="44"/>
  <c r="E705" i="39"/>
  <c r="H18" i="44"/>
  <c r="F551" i="39"/>
  <c r="M22" i="43"/>
  <c r="E138" i="39"/>
  <c r="E510" i="39"/>
  <c r="F465" i="39"/>
  <c r="D704" i="39"/>
  <c r="D28" i="39"/>
  <c r="D332" i="39"/>
  <c r="E810" i="39"/>
  <c r="C381" i="39"/>
  <c r="C378" i="39"/>
  <c r="E465" i="39"/>
  <c r="F626" i="39"/>
  <c r="E378" i="39"/>
  <c r="C705" i="39"/>
  <c r="E551" i="39"/>
  <c r="F590" i="39"/>
  <c r="F332" i="39"/>
  <c r="C510" i="39"/>
  <c r="F705" i="39"/>
  <c r="F67" i="39"/>
  <c r="L29" i="43" l="1"/>
  <c r="M29" i="43" s="1"/>
  <c r="K97" i="39"/>
  <c r="K98" i="39" s="1"/>
  <c r="K100" i="39" s="1"/>
  <c r="S301" i="36"/>
  <c r="S303" i="36" s="1"/>
  <c r="J97" i="39"/>
  <c r="J98" i="39" s="1"/>
  <c r="J100" i="39" s="1"/>
  <c r="S1144" i="36"/>
  <c r="S1147" i="36" s="1"/>
  <c r="Q876" i="36"/>
  <c r="H32" i="42" s="1"/>
  <c r="K323" i="39"/>
  <c r="L1132" i="36"/>
  <c r="M1062" i="36"/>
  <c r="J461" i="39"/>
  <c r="J804" i="39" s="1"/>
  <c r="K12" i="40"/>
  <c r="I461" i="39"/>
  <c r="I804" i="39" s="1"/>
  <c r="I165" i="40"/>
  <c r="L1073" i="36"/>
  <c r="L1076" i="36" s="1"/>
  <c r="S1097" i="36"/>
  <c r="F700" i="39"/>
  <c r="I134" i="40"/>
  <c r="I136" i="40" s="1"/>
  <c r="F25" i="42"/>
  <c r="F167" i="40"/>
  <c r="F27" i="39" s="1"/>
  <c r="F711" i="39" s="1"/>
  <c r="R220" i="36"/>
  <c r="P493" i="36"/>
  <c r="J134" i="40"/>
  <c r="C701" i="39"/>
  <c r="J551" i="39"/>
  <c r="I108" i="40"/>
  <c r="H56" i="42"/>
  <c r="K71" i="40"/>
  <c r="O1132" i="36"/>
  <c r="L485" i="36"/>
  <c r="J14" i="44"/>
  <c r="D35" i="42"/>
  <c r="G588" i="39"/>
  <c r="G590" i="39" s="1"/>
  <c r="H15" i="44"/>
  <c r="J15" i="44" s="1"/>
  <c r="G626" i="39"/>
  <c r="R214" i="36"/>
  <c r="I324" i="39"/>
  <c r="I330" i="39" s="1"/>
  <c r="L1028" i="36"/>
  <c r="K74" i="40"/>
  <c r="K26" i="39" s="1"/>
  <c r="C35" i="42"/>
  <c r="G465" i="39"/>
  <c r="G172" i="39"/>
  <c r="Q329" i="36"/>
  <c r="Q1025" i="36" s="1"/>
  <c r="R315" i="36"/>
  <c r="I243" i="39"/>
  <c r="I245" i="39" s="1"/>
  <c r="S220" i="36"/>
  <c r="S222" i="36" s="1"/>
  <c r="H499" i="39"/>
  <c r="H751" i="39" s="1"/>
  <c r="H752" i="39" s="1"/>
  <c r="Q263" i="36"/>
  <c r="I23" i="39"/>
  <c r="K71" i="43"/>
  <c r="M26" i="43"/>
  <c r="O1049" i="36"/>
  <c r="G697" i="39"/>
  <c r="R623" i="36"/>
  <c r="I180" i="39"/>
  <c r="I182" i="39" s="1"/>
  <c r="C468" i="39"/>
  <c r="E28" i="39"/>
  <c r="G551" i="39"/>
  <c r="J323" i="39"/>
  <c r="T483" i="36"/>
  <c r="E712" i="39"/>
  <c r="E714" i="39" s="1"/>
  <c r="I707" i="39"/>
  <c r="F32" i="44"/>
  <c r="J32" i="44" s="1"/>
  <c r="C766" i="39"/>
  <c r="O713" i="36"/>
  <c r="O1030" i="36"/>
  <c r="P485" i="36"/>
  <c r="G61" i="42"/>
  <c r="G243" i="39"/>
  <c r="H23" i="44" s="1"/>
  <c r="K243" i="39"/>
  <c r="K245" i="39" s="1"/>
  <c r="F180" i="39"/>
  <c r="F182" i="39" s="1"/>
  <c r="F184" i="39" s="1"/>
  <c r="F31" i="45" s="1"/>
  <c r="D712" i="39"/>
  <c r="D714" i="39" s="1"/>
  <c r="I16" i="40"/>
  <c r="F27" i="44"/>
  <c r="G510" i="39"/>
  <c r="K63" i="43"/>
  <c r="G50" i="42"/>
  <c r="P851" i="36"/>
  <c r="Q711" i="36"/>
  <c r="Q1030" i="36" s="1"/>
  <c r="H66" i="42"/>
  <c r="O853" i="36"/>
  <c r="O1060" i="36"/>
  <c r="O1062" i="36" s="1"/>
  <c r="H65" i="42"/>
  <c r="J459" i="39"/>
  <c r="J802" i="39" s="1"/>
  <c r="G168" i="40"/>
  <c r="R1028" i="36"/>
  <c r="J48" i="43"/>
  <c r="T966" i="36"/>
  <c r="C61" i="42"/>
  <c r="C243" i="39"/>
  <c r="G707" i="39"/>
  <c r="F48" i="43"/>
  <c r="F74" i="43" s="1"/>
  <c r="Q1033" i="36"/>
  <c r="D763" i="39"/>
  <c r="H16" i="40"/>
  <c r="J133" i="40"/>
  <c r="G288" i="39"/>
  <c r="G290" i="39" s="1"/>
  <c r="L1030" i="36"/>
  <c r="S709" i="36"/>
  <c r="J66" i="42" s="1"/>
  <c r="N1060" i="36"/>
  <c r="N1062" i="36" s="1"/>
  <c r="O414" i="36"/>
  <c r="F20" i="44"/>
  <c r="J20" i="44" s="1"/>
  <c r="H31" i="44"/>
  <c r="J31" i="44" s="1"/>
  <c r="F23" i="44"/>
  <c r="E36" i="43"/>
  <c r="I588" i="39"/>
  <c r="K133" i="40"/>
  <c r="K132" i="40"/>
  <c r="C28" i="39"/>
  <c r="C30" i="39" s="1"/>
  <c r="H28" i="44"/>
  <c r="H24" i="39"/>
  <c r="G378" i="39"/>
  <c r="G380" i="39" s="1"/>
  <c r="I11" i="39"/>
  <c r="I691" i="39" s="1"/>
  <c r="D74" i="43"/>
  <c r="H12" i="44"/>
  <c r="J12" i="44" s="1"/>
  <c r="M1132" i="36"/>
  <c r="N1132" i="36"/>
  <c r="I61" i="42"/>
  <c r="H27" i="44"/>
  <c r="R1162" i="36"/>
  <c r="I460" i="39"/>
  <c r="I803" i="39" s="1"/>
  <c r="K368" i="39"/>
  <c r="O1031" i="36"/>
  <c r="O764" i="36"/>
  <c r="S810" i="36"/>
  <c r="H508" i="39"/>
  <c r="J16" i="44"/>
  <c r="G332" i="39"/>
  <c r="C36" i="43"/>
  <c r="P1076" i="36"/>
  <c r="G763" i="39"/>
  <c r="G705" i="39"/>
  <c r="H9" i="42"/>
  <c r="F810" i="39"/>
  <c r="E763" i="39"/>
  <c r="G65" i="39"/>
  <c r="G67" i="39" s="1"/>
  <c r="H17" i="44"/>
  <c r="J17" i="44" s="1"/>
  <c r="G808" i="39"/>
  <c r="G810" i="39" s="1"/>
  <c r="I62" i="42"/>
  <c r="R416" i="36"/>
  <c r="R1026" i="36" s="1"/>
  <c r="K14" i="40"/>
  <c r="J14" i="40"/>
  <c r="J175" i="39"/>
  <c r="S374" i="36"/>
  <c r="J505" i="39"/>
  <c r="J757" i="39" s="1"/>
  <c r="K505" i="39"/>
  <c r="K757" i="39" s="1"/>
  <c r="I62" i="39"/>
  <c r="I63" i="39" s="1"/>
  <c r="I65" i="39" s="1"/>
  <c r="R283" i="36"/>
  <c r="R1074" i="36"/>
  <c r="T1099" i="36"/>
  <c r="S1099" i="36"/>
  <c r="P1028" i="36"/>
  <c r="R997" i="36"/>
  <c r="I53" i="42"/>
  <c r="F75" i="40"/>
  <c r="F25" i="39"/>
  <c r="J315" i="39"/>
  <c r="J320" i="39" s="1"/>
  <c r="K315" i="39"/>
  <c r="H61" i="42"/>
  <c r="Q485" i="36"/>
  <c r="K326" i="39"/>
  <c r="J326" i="39"/>
  <c r="J707" i="39" s="1"/>
  <c r="R968" i="36"/>
  <c r="I15" i="42"/>
  <c r="I499" i="39"/>
  <c r="R876" i="36"/>
  <c r="R263" i="36"/>
  <c r="J43" i="40"/>
  <c r="J23" i="39" s="1"/>
  <c r="S108" i="36"/>
  <c r="O999" i="36"/>
  <c r="P999" i="36" s="1"/>
  <c r="O1033" i="36"/>
  <c r="P1032" i="36"/>
  <c r="P970" i="36"/>
  <c r="Q285" i="36"/>
  <c r="H55" i="42"/>
  <c r="G19" i="39"/>
  <c r="G700" i="39" s="1"/>
  <c r="K621" i="39"/>
  <c r="S995" i="36"/>
  <c r="J624" i="39"/>
  <c r="I15" i="39"/>
  <c r="P1023" i="36"/>
  <c r="J580" i="39"/>
  <c r="J581" i="39" s="1"/>
  <c r="J588" i="39" s="1"/>
  <c r="R56" i="36"/>
  <c r="I9" i="42" s="1"/>
  <c r="H695" i="39"/>
  <c r="Q849" i="36"/>
  <c r="H50" i="42" s="1"/>
  <c r="S539" i="36"/>
  <c r="J28" i="42" s="1"/>
  <c r="J369" i="39"/>
  <c r="J376" i="39" s="1"/>
  <c r="J378" i="39" s="1"/>
  <c r="R108" i="36"/>
  <c r="P1030" i="36"/>
  <c r="C46" i="42"/>
  <c r="L270" i="36"/>
  <c r="G28" i="42"/>
  <c r="O920" i="36"/>
  <c r="O1073" i="36"/>
  <c r="O1076" i="36" s="1"/>
  <c r="I626" i="39"/>
  <c r="N1024" i="36"/>
  <c r="R1024" i="36"/>
  <c r="O627" i="36"/>
  <c r="O1029" i="36"/>
  <c r="Q1032" i="36"/>
  <c r="L267" i="36"/>
  <c r="C712" i="39"/>
  <c r="I44" i="40"/>
  <c r="I47" i="40" s="1"/>
  <c r="P414" i="36"/>
  <c r="G179" i="39"/>
  <c r="F763" i="39"/>
  <c r="F765" i="39" s="1"/>
  <c r="E245" i="39"/>
  <c r="C335" i="39"/>
  <c r="C813" i="39"/>
  <c r="C763" i="39"/>
  <c r="H761" i="39"/>
  <c r="I378" i="39"/>
  <c r="K67" i="43"/>
  <c r="K492" i="39"/>
  <c r="T1117" i="36"/>
  <c r="T1119" i="36" s="1"/>
  <c r="G25" i="39"/>
  <c r="G706" i="39" s="1"/>
  <c r="H691" i="39"/>
  <c r="H20" i="39"/>
  <c r="H320" i="39"/>
  <c r="K19" i="42"/>
  <c r="T303" i="36"/>
  <c r="H25" i="42"/>
  <c r="J243" i="39"/>
  <c r="H692" i="39"/>
  <c r="K104" i="40"/>
  <c r="T177" i="36"/>
  <c r="I504" i="39"/>
  <c r="I756" i="39" s="1"/>
  <c r="R1168" i="36"/>
  <c r="P489" i="36"/>
  <c r="F249" i="39"/>
  <c r="I320" i="39"/>
  <c r="Q1174" i="36"/>
  <c r="Q1165" i="36"/>
  <c r="H165" i="40"/>
  <c r="I66" i="42"/>
  <c r="I72" i="40"/>
  <c r="R1163" i="36"/>
  <c r="R151" i="36"/>
  <c r="L1029" i="36"/>
  <c r="H804" i="39"/>
  <c r="H808" i="39" s="1"/>
  <c r="H463" i="39"/>
  <c r="S483" i="36"/>
  <c r="F247" i="39"/>
  <c r="O1044" i="36"/>
  <c r="O495" i="36"/>
  <c r="P487" i="36"/>
  <c r="K361" i="39"/>
  <c r="K365" i="39" s="1"/>
  <c r="T646" i="36"/>
  <c r="M30" i="43"/>
  <c r="G36" i="43"/>
  <c r="P517" i="36"/>
  <c r="O1045" i="36"/>
  <c r="J503" i="39"/>
  <c r="S1150" i="36"/>
  <c r="S1152" i="36" s="1"/>
  <c r="P1029" i="36"/>
  <c r="F102" i="39"/>
  <c r="K318" i="39"/>
  <c r="K699" i="39" s="1"/>
  <c r="M1026" i="36"/>
  <c r="I138" i="39"/>
  <c r="S1086" i="36"/>
  <c r="K369" i="39"/>
  <c r="K19" i="39"/>
  <c r="K700" i="39" s="1"/>
  <c r="P947" i="36"/>
  <c r="O1080" i="36"/>
  <c r="M267" i="36"/>
  <c r="M270" i="36"/>
  <c r="D46" i="42"/>
  <c r="P1132" i="36"/>
  <c r="S1105" i="36"/>
  <c r="Q1170" i="36"/>
  <c r="Q1173" i="36"/>
  <c r="F250" i="39"/>
  <c r="P491" i="36"/>
  <c r="L1060" i="36"/>
  <c r="L1062" i="36" s="1"/>
  <c r="F28" i="44"/>
  <c r="F423" i="39"/>
  <c r="G423" i="39" s="1"/>
  <c r="F18" i="44"/>
  <c r="J18" i="44" s="1"/>
  <c r="T1094" i="36"/>
  <c r="S1094" i="36"/>
  <c r="K56" i="42"/>
  <c r="I755" i="39"/>
  <c r="R1155" i="36"/>
  <c r="R1158" i="36" s="1"/>
  <c r="R1152" i="36"/>
  <c r="S412" i="36"/>
  <c r="J179" i="39"/>
  <c r="I28" i="42"/>
  <c r="L1026" i="36"/>
  <c r="I462" i="39"/>
  <c r="I805" i="39" s="1"/>
  <c r="Q1109" i="36"/>
  <c r="Q1131" i="36"/>
  <c r="Q1114" i="36"/>
  <c r="Q1115" i="36" s="1"/>
  <c r="H28" i="42"/>
  <c r="Q625" i="36"/>
  <c r="Q412" i="36"/>
  <c r="H179" i="39"/>
  <c r="S1106" i="36"/>
  <c r="P1033" i="36"/>
  <c r="J288" i="39"/>
  <c r="H172" i="39"/>
  <c r="H697" i="39"/>
  <c r="O1024" i="36"/>
  <c r="O305" i="36"/>
  <c r="H69" i="42"/>
  <c r="O1065" i="36"/>
  <c r="F252" i="39"/>
  <c r="S1028" i="36"/>
  <c r="I12" i="39"/>
  <c r="J29" i="42"/>
  <c r="J105" i="40"/>
  <c r="J108" i="40" s="1"/>
  <c r="P1018" i="36"/>
  <c r="O1051" i="36"/>
  <c r="O483" i="36"/>
  <c r="O288" i="36"/>
  <c r="P287" i="36"/>
  <c r="O1040" i="36"/>
  <c r="N270" i="36"/>
  <c r="E46" i="42"/>
  <c r="E72" i="42" s="1"/>
  <c r="N267" i="36"/>
  <c r="P1024" i="36"/>
  <c r="K52" i="43"/>
  <c r="R711" i="36"/>
  <c r="P265" i="36"/>
  <c r="J13" i="40"/>
  <c r="S1164" i="36"/>
  <c r="S1175" i="36" s="1"/>
  <c r="H378" i="39"/>
  <c r="F245" i="39"/>
  <c r="F254" i="39" s="1"/>
  <c r="G100" i="39"/>
  <c r="R847" i="36"/>
  <c r="R849" i="36" s="1"/>
  <c r="R1108" i="36"/>
  <c r="R916" i="36"/>
  <c r="S87" i="36"/>
  <c r="F25" i="45"/>
  <c r="D20" i="44"/>
  <c r="H245" i="39"/>
  <c r="D33" i="39"/>
  <c r="F553" i="39"/>
  <c r="D16" i="44"/>
  <c r="F19" i="45"/>
  <c r="G664" i="39"/>
  <c r="F334" i="39"/>
  <c r="D17" i="44"/>
  <c r="F68" i="39"/>
  <c r="F20" i="45"/>
  <c r="F17" i="45"/>
  <c r="D14" i="44"/>
  <c r="F381" i="39"/>
  <c r="F37" i="45"/>
  <c r="D28" i="44"/>
  <c r="F467" i="39"/>
  <c r="F512" i="39"/>
  <c r="D30" i="39"/>
  <c r="F628" i="39"/>
  <c r="D245" i="39"/>
  <c r="J56" i="42" l="1"/>
  <c r="Q918" i="36"/>
  <c r="K324" i="39"/>
  <c r="K330" i="39" s="1"/>
  <c r="C714" i="39"/>
  <c r="L14" i="44"/>
  <c r="T876" i="36"/>
  <c r="K32" i="42" s="1"/>
  <c r="T1144" i="36"/>
  <c r="T1147" i="36" s="1"/>
  <c r="K461" i="39"/>
  <c r="K804" i="39" s="1"/>
  <c r="P1060" i="36"/>
  <c r="P1062" i="36" s="1"/>
  <c r="P627" i="36"/>
  <c r="Q627" i="36" s="1"/>
  <c r="J136" i="40"/>
  <c r="R222" i="36"/>
  <c r="R265" i="36" s="1"/>
  <c r="J127" i="39"/>
  <c r="J130" i="39" s="1"/>
  <c r="J138" i="39" s="1"/>
  <c r="J324" i="39"/>
  <c r="J330" i="39" s="1"/>
  <c r="J332" i="39" s="1"/>
  <c r="I25" i="39"/>
  <c r="S315" i="36"/>
  <c r="S329" i="36" s="1"/>
  <c r="H167" i="40"/>
  <c r="H27" i="39" s="1"/>
  <c r="K707" i="39"/>
  <c r="T485" i="36"/>
  <c r="F24" i="44"/>
  <c r="I704" i="39"/>
  <c r="H500" i="39"/>
  <c r="R329" i="36"/>
  <c r="I12" i="42"/>
  <c r="E30" i="39"/>
  <c r="T220" i="36"/>
  <c r="K134" i="40"/>
  <c r="K136" i="40" s="1"/>
  <c r="E33" i="39"/>
  <c r="R625" i="36"/>
  <c r="R1029" i="36" s="1"/>
  <c r="S623" i="36"/>
  <c r="J65" i="42" s="1"/>
  <c r="C33" i="39"/>
  <c r="E717" i="39"/>
  <c r="I65" i="42"/>
  <c r="K61" i="42"/>
  <c r="T214" i="36"/>
  <c r="D717" i="39"/>
  <c r="J27" i="44"/>
  <c r="J23" i="44"/>
  <c r="P713" i="36"/>
  <c r="O1047" i="36"/>
  <c r="O714" i="36"/>
  <c r="D24" i="44"/>
  <c r="S711" i="36"/>
  <c r="G245" i="39"/>
  <c r="P853" i="36"/>
  <c r="P854" i="36" s="1"/>
  <c r="C72" i="42"/>
  <c r="Q851" i="36"/>
  <c r="O854" i="36"/>
  <c r="O1066" i="36"/>
  <c r="O416" i="36"/>
  <c r="O418" i="36" s="1"/>
  <c r="K52" i="42"/>
  <c r="C245" i="39"/>
  <c r="L16" i="44"/>
  <c r="J28" i="44"/>
  <c r="L28" i="44" s="1"/>
  <c r="F62" i="42"/>
  <c r="J44" i="40"/>
  <c r="J47" i="40" s="1"/>
  <c r="H705" i="39"/>
  <c r="C717" i="39"/>
  <c r="K376" i="39"/>
  <c r="T539" i="36"/>
  <c r="K28" i="42" s="1"/>
  <c r="Q1176" i="36"/>
  <c r="S56" i="36"/>
  <c r="J460" i="39"/>
  <c r="J803" i="39" s="1"/>
  <c r="T810" i="36"/>
  <c r="K459" i="39"/>
  <c r="K802" i="39" s="1"/>
  <c r="O1048" i="36"/>
  <c r="P764" i="36"/>
  <c r="F812" i="39"/>
  <c r="F813" i="39" s="1"/>
  <c r="L17" i="44"/>
  <c r="L20" i="44"/>
  <c r="K580" i="39"/>
  <c r="K581" i="39" s="1"/>
  <c r="I695" i="39"/>
  <c r="S997" i="36"/>
  <c r="J53" i="42"/>
  <c r="I751" i="39"/>
  <c r="I752" i="39" s="1"/>
  <c r="I500" i="39"/>
  <c r="F706" i="39"/>
  <c r="R1033" i="36"/>
  <c r="S283" i="36"/>
  <c r="J62" i="39"/>
  <c r="J63" i="39" s="1"/>
  <c r="J65" i="39" s="1"/>
  <c r="I32" i="42"/>
  <c r="R1032" i="36"/>
  <c r="R285" i="36"/>
  <c r="I55" i="42"/>
  <c r="S1024" i="36"/>
  <c r="O1046" i="36"/>
  <c r="O628" i="36"/>
  <c r="L10" i="43"/>
  <c r="O1050" i="36"/>
  <c r="I167" i="40"/>
  <c r="K175" i="39"/>
  <c r="T374" i="36"/>
  <c r="S1155" i="36"/>
  <c r="S1158" i="36" s="1"/>
  <c r="J165" i="40"/>
  <c r="S414" i="36"/>
  <c r="J62" i="42" s="1"/>
  <c r="J11" i="39"/>
  <c r="J15" i="39"/>
  <c r="P416" i="36"/>
  <c r="G62" i="42"/>
  <c r="Q1023" i="36"/>
  <c r="J499" i="39"/>
  <c r="S263" i="36"/>
  <c r="S876" i="36"/>
  <c r="J64" i="43"/>
  <c r="G180" i="39"/>
  <c r="G711" i="39"/>
  <c r="L1022" i="36"/>
  <c r="L1036" i="36" s="1"/>
  <c r="J626" i="39"/>
  <c r="O1079" i="36"/>
  <c r="O923" i="36"/>
  <c r="O921" i="36"/>
  <c r="P920" i="36"/>
  <c r="Q920" i="36" s="1"/>
  <c r="J15" i="42"/>
  <c r="S968" i="36"/>
  <c r="K624" i="39"/>
  <c r="T995" i="36"/>
  <c r="Q970" i="36"/>
  <c r="P1049" i="36"/>
  <c r="K43" i="40"/>
  <c r="K23" i="39" s="1"/>
  <c r="K499" i="39"/>
  <c r="K751" i="39" s="1"/>
  <c r="I20" i="39"/>
  <c r="S1162" i="36"/>
  <c r="J180" i="39"/>
  <c r="J182" i="39" s="1"/>
  <c r="H763" i="39"/>
  <c r="H35" i="42"/>
  <c r="I808" i="39"/>
  <c r="I810" i="39" s="1"/>
  <c r="K743" i="39"/>
  <c r="Q265" i="36"/>
  <c r="E48" i="43"/>
  <c r="K48" i="43" s="1"/>
  <c r="G28" i="39"/>
  <c r="I69" i="42"/>
  <c r="R918" i="36"/>
  <c r="P1065" i="36"/>
  <c r="Q493" i="36"/>
  <c r="G252" i="39"/>
  <c r="Q1073" i="36"/>
  <c r="Q1076" i="36" s="1"/>
  <c r="P1050" i="36"/>
  <c r="Q999" i="36"/>
  <c r="J72" i="40"/>
  <c r="J75" i="40" s="1"/>
  <c r="S1163" i="36"/>
  <c r="S1174" i="36" s="1"/>
  <c r="S151" i="36"/>
  <c r="F16" i="45"/>
  <c r="D13" i="44"/>
  <c r="L13" i="44" s="1"/>
  <c r="T1150" i="36"/>
  <c r="T1152" i="36" s="1"/>
  <c r="K503" i="39"/>
  <c r="J61" i="42"/>
  <c r="S485" i="36"/>
  <c r="R1114" i="36"/>
  <c r="R1115" i="36" s="1"/>
  <c r="R1131" i="36"/>
  <c r="R1109" i="36"/>
  <c r="O1041" i="36"/>
  <c r="O306" i="36"/>
  <c r="P305" i="36"/>
  <c r="D72" i="42"/>
  <c r="P1045" i="36"/>
  <c r="Q517" i="36"/>
  <c r="R1170" i="36"/>
  <c r="R1173" i="36"/>
  <c r="H332" i="39"/>
  <c r="H701" i="39"/>
  <c r="G102" i="39"/>
  <c r="G21" i="45" s="1"/>
  <c r="K13" i="40"/>
  <c r="R1030" i="36"/>
  <c r="Q414" i="36"/>
  <c r="K320" i="39"/>
  <c r="G249" i="39"/>
  <c r="Q489" i="36"/>
  <c r="I50" i="42"/>
  <c r="R851" i="36"/>
  <c r="F61" i="42"/>
  <c r="O485" i="36"/>
  <c r="H180" i="39"/>
  <c r="H182" i="39" s="1"/>
  <c r="J755" i="39"/>
  <c r="K29" i="42"/>
  <c r="I75" i="40"/>
  <c r="I24" i="39"/>
  <c r="K127" i="39"/>
  <c r="K130" i="39" s="1"/>
  <c r="T315" i="36"/>
  <c r="G46" i="42"/>
  <c r="P288" i="36"/>
  <c r="P1040" i="36"/>
  <c r="Q287" i="36"/>
  <c r="K12" i="39"/>
  <c r="J12" i="39"/>
  <c r="Q1029" i="36"/>
  <c r="Q1132" i="36"/>
  <c r="K462" i="39"/>
  <c r="K805" i="39" s="1"/>
  <c r="J462" i="39"/>
  <c r="G250" i="39"/>
  <c r="Q491" i="36"/>
  <c r="T1105" i="36"/>
  <c r="M1022" i="36"/>
  <c r="M1036" i="36" s="1"/>
  <c r="Q947" i="36"/>
  <c r="P1080" i="36"/>
  <c r="T1086" i="36"/>
  <c r="T709" i="36"/>
  <c r="S1168" i="36"/>
  <c r="S1170" i="36" s="1"/>
  <c r="J504" i="39"/>
  <c r="J756" i="39" s="1"/>
  <c r="J704" i="39"/>
  <c r="H810" i="39"/>
  <c r="R1174" i="36"/>
  <c r="R1165" i="36"/>
  <c r="J245" i="39"/>
  <c r="J16" i="40"/>
  <c r="N1022" i="36"/>
  <c r="N1036" i="36" s="1"/>
  <c r="P1051" i="36"/>
  <c r="Q1018" i="36"/>
  <c r="I692" i="39"/>
  <c r="T1106" i="36"/>
  <c r="D18" i="44"/>
  <c r="L18" i="44" s="1"/>
  <c r="F103" i="39"/>
  <c r="F21" i="45"/>
  <c r="P495" i="36"/>
  <c r="G247" i="39"/>
  <c r="P1044" i="36"/>
  <c r="Q487" i="36"/>
  <c r="H465" i="39"/>
  <c r="H25" i="39"/>
  <c r="I332" i="39"/>
  <c r="K105" i="40"/>
  <c r="K108" i="40" s="1"/>
  <c r="T1024" i="36"/>
  <c r="T87" i="36"/>
  <c r="I761" i="39"/>
  <c r="S1108" i="36"/>
  <c r="S847" i="36"/>
  <c r="S849" i="36" s="1"/>
  <c r="I508" i="39"/>
  <c r="T1092" i="36"/>
  <c r="S916" i="36"/>
  <c r="T1164" i="36"/>
  <c r="T1175" i="36" s="1"/>
  <c r="I463" i="39"/>
  <c r="G68" i="39"/>
  <c r="H67" i="39"/>
  <c r="G20" i="45"/>
  <c r="H664" i="39"/>
  <c r="G19" i="45"/>
  <c r="G553" i="39"/>
  <c r="F43" i="45"/>
  <c r="D32" i="44"/>
  <c r="L32" i="44" s="1"/>
  <c r="F766" i="39"/>
  <c r="G765" i="39"/>
  <c r="H290" i="39"/>
  <c r="G25" i="45"/>
  <c r="D15" i="44"/>
  <c r="L15" i="44" s="1"/>
  <c r="F18" i="45"/>
  <c r="G628" i="39"/>
  <c r="F513" i="39"/>
  <c r="D31" i="44"/>
  <c r="L31" i="44" s="1"/>
  <c r="F42" i="45"/>
  <c r="G512" i="39"/>
  <c r="F514" i="39"/>
  <c r="F468" i="39"/>
  <c r="F15" i="45"/>
  <c r="G467" i="39"/>
  <c r="D12" i="44"/>
  <c r="L12" i="44" s="1"/>
  <c r="D27" i="44"/>
  <c r="F36" i="45"/>
  <c r="F335" i="39"/>
  <c r="G334" i="39"/>
  <c r="H590" i="39"/>
  <c r="G17" i="45"/>
  <c r="H423" i="39"/>
  <c r="G16" i="45"/>
  <c r="H380" i="39"/>
  <c r="G37" i="45"/>
  <c r="G381" i="39"/>
  <c r="D23" i="44"/>
  <c r="F30" i="45"/>
  <c r="T623" i="36" l="1"/>
  <c r="I706" i="39"/>
  <c r="P1046" i="36"/>
  <c r="J12" i="42"/>
  <c r="P628" i="36"/>
  <c r="P1047" i="36"/>
  <c r="H168" i="40"/>
  <c r="H711" i="39"/>
  <c r="H510" i="39"/>
  <c r="H512" i="39" s="1"/>
  <c r="I35" i="42"/>
  <c r="T222" i="36"/>
  <c r="R1025" i="36"/>
  <c r="S625" i="36"/>
  <c r="S1029" i="36" s="1"/>
  <c r="G254" i="39"/>
  <c r="H254" i="39" s="1"/>
  <c r="L23" i="44"/>
  <c r="L27" i="44"/>
  <c r="P714" i="36"/>
  <c r="Q713" i="36"/>
  <c r="S1030" i="36"/>
  <c r="P1066" i="36"/>
  <c r="Q853" i="36"/>
  <c r="O1068" i="36"/>
  <c r="O1026" i="36"/>
  <c r="O1082" i="36"/>
  <c r="J9" i="42"/>
  <c r="Q1060" i="36"/>
  <c r="Q1062" i="36" s="1"/>
  <c r="T625" i="36"/>
  <c r="T1029" i="36" s="1"/>
  <c r="S416" i="36"/>
  <c r="G712" i="39"/>
  <c r="T1162" i="36"/>
  <c r="K378" i="39"/>
  <c r="K44" i="40"/>
  <c r="K47" i="40" s="1"/>
  <c r="K460" i="39"/>
  <c r="K803" i="39" s="1"/>
  <c r="K808" i="39" s="1"/>
  <c r="P1048" i="36"/>
  <c r="Q764" i="36"/>
  <c r="T1155" i="36"/>
  <c r="T1158" i="36" s="1"/>
  <c r="I701" i="39"/>
  <c r="J691" i="39"/>
  <c r="G812" i="39"/>
  <c r="G813" i="39" s="1"/>
  <c r="K752" i="39"/>
  <c r="K500" i="39"/>
  <c r="K15" i="39"/>
  <c r="Q1049" i="36"/>
  <c r="R970" i="36"/>
  <c r="G182" i="39"/>
  <c r="H24" i="44"/>
  <c r="J24" i="44" s="1"/>
  <c r="L24" i="44" s="1"/>
  <c r="K62" i="39"/>
  <c r="K63" i="39" s="1"/>
  <c r="K65" i="39" s="1"/>
  <c r="T283" i="36"/>
  <c r="K588" i="39"/>
  <c r="K626" i="39"/>
  <c r="P921" i="36"/>
  <c r="P923" i="36"/>
  <c r="P1079" i="36"/>
  <c r="J32" i="42"/>
  <c r="J695" i="39"/>
  <c r="L36" i="43"/>
  <c r="T108" i="36"/>
  <c r="G72" i="42"/>
  <c r="K64" i="43"/>
  <c r="J74" i="43"/>
  <c r="J167" i="40"/>
  <c r="J27" i="39" s="1"/>
  <c r="I27" i="39"/>
  <c r="I28" i="39" s="1"/>
  <c r="I168" i="40"/>
  <c r="K15" i="42"/>
  <c r="T968" i="36"/>
  <c r="K167" i="40"/>
  <c r="K27" i="39" s="1"/>
  <c r="K53" i="42"/>
  <c r="T997" i="36"/>
  <c r="S1032" i="36"/>
  <c r="J751" i="39"/>
  <c r="J752" i="39" s="1"/>
  <c r="J500" i="39"/>
  <c r="P1026" i="36"/>
  <c r="R1023" i="36"/>
  <c r="J55" i="42"/>
  <c r="S285" i="36"/>
  <c r="S1033" i="36"/>
  <c r="H102" i="39"/>
  <c r="I102" i="39" s="1"/>
  <c r="S265" i="36"/>
  <c r="K11" i="39"/>
  <c r="K691" i="39" s="1"/>
  <c r="T847" i="36"/>
  <c r="T849" i="36" s="1"/>
  <c r="T851" i="36" s="1"/>
  <c r="G103" i="39"/>
  <c r="J508" i="39"/>
  <c r="K332" i="39"/>
  <c r="E74" i="43"/>
  <c r="J761" i="39"/>
  <c r="H8" i="44"/>
  <c r="S1165" i="36"/>
  <c r="H46" i="42"/>
  <c r="Q267" i="36"/>
  <c r="Q1022" i="36" s="1"/>
  <c r="S851" i="36"/>
  <c r="J50" i="42"/>
  <c r="Q1044" i="36"/>
  <c r="H247" i="39"/>
  <c r="Q495" i="36"/>
  <c r="R487" i="36"/>
  <c r="R1018" i="36"/>
  <c r="Q1051" i="36"/>
  <c r="Q1046" i="36"/>
  <c r="R627" i="36"/>
  <c r="Q628" i="36"/>
  <c r="K692" i="39"/>
  <c r="K12" i="42"/>
  <c r="T329" i="36"/>
  <c r="J25" i="39"/>
  <c r="I46" i="42"/>
  <c r="R267" i="36"/>
  <c r="K755" i="39"/>
  <c r="I465" i="39"/>
  <c r="K65" i="42"/>
  <c r="I763" i="39"/>
  <c r="K66" i="42"/>
  <c r="R491" i="36"/>
  <c r="H250" i="39"/>
  <c r="J20" i="39"/>
  <c r="J692" i="39"/>
  <c r="K704" i="39"/>
  <c r="T1168" i="36"/>
  <c r="T1170" i="36" s="1"/>
  <c r="K504" i="39"/>
  <c r="K756" i="39" s="1"/>
  <c r="Q1050" i="36"/>
  <c r="R999" i="36"/>
  <c r="S1109" i="36"/>
  <c r="S1131" i="36"/>
  <c r="S1114" i="36"/>
  <c r="S1115" i="36" s="1"/>
  <c r="P418" i="36"/>
  <c r="O1043" i="36"/>
  <c r="T1163" i="36"/>
  <c r="T1174" i="36" s="1"/>
  <c r="K72" i="40"/>
  <c r="K75" i="40" s="1"/>
  <c r="T151" i="36"/>
  <c r="S1025" i="36"/>
  <c r="J805" i="39"/>
  <c r="J808" i="39" s="1"/>
  <c r="J463" i="39"/>
  <c r="Q288" i="36"/>
  <c r="Q1040" i="36"/>
  <c r="R287" i="36"/>
  <c r="I705" i="39"/>
  <c r="R1060" i="36"/>
  <c r="R1062" i="36" s="1"/>
  <c r="H249" i="39"/>
  <c r="R489" i="36"/>
  <c r="H62" i="42"/>
  <c r="Q416" i="36"/>
  <c r="R517" i="36"/>
  <c r="Q1045" i="36"/>
  <c r="P1041" i="36"/>
  <c r="Q305" i="36"/>
  <c r="P306" i="36"/>
  <c r="R1132" i="36"/>
  <c r="J69" i="42"/>
  <c r="S918" i="36"/>
  <c r="I510" i="39"/>
  <c r="H706" i="39"/>
  <c r="H28" i="39"/>
  <c r="R947" i="36"/>
  <c r="Q1080" i="36"/>
  <c r="K138" i="39"/>
  <c r="K16" i="40"/>
  <c r="Q1079" i="36"/>
  <c r="Q921" i="36"/>
  <c r="R920" i="36"/>
  <c r="Q923" i="36"/>
  <c r="Q1065" i="36"/>
  <c r="R493" i="36"/>
  <c r="H252" i="39"/>
  <c r="R1073" i="36"/>
  <c r="R1076" i="36" s="1"/>
  <c r="T56" i="36"/>
  <c r="J24" i="39"/>
  <c r="S1173" i="36"/>
  <c r="S1176" i="36" s="1"/>
  <c r="T1108" i="36"/>
  <c r="T711" i="36"/>
  <c r="R1176" i="36"/>
  <c r="T916" i="36"/>
  <c r="I67" i="39"/>
  <c r="H68" i="39"/>
  <c r="H20" i="45"/>
  <c r="G36" i="45"/>
  <c r="G335" i="39"/>
  <c r="H334" i="39"/>
  <c r="G15" i="45"/>
  <c r="H467" i="39"/>
  <c r="G468" i="39"/>
  <c r="I380" i="39"/>
  <c r="H37" i="45"/>
  <c r="H381" i="39"/>
  <c r="I423" i="39"/>
  <c r="H16" i="45"/>
  <c r="I590" i="39"/>
  <c r="H17" i="45"/>
  <c r="G514" i="39"/>
  <c r="G513" i="39"/>
  <c r="G42" i="45"/>
  <c r="H628" i="39"/>
  <c r="G18" i="45"/>
  <c r="H553" i="39"/>
  <c r="G43" i="45"/>
  <c r="H19" i="45"/>
  <c r="I664" i="39"/>
  <c r="I290" i="39"/>
  <c r="H25" i="45"/>
  <c r="G766" i="39"/>
  <c r="H765" i="39"/>
  <c r="H712" i="39" l="1"/>
  <c r="H714" i="39" s="1"/>
  <c r="Q1047" i="36"/>
  <c r="G30" i="45"/>
  <c r="Q714" i="36"/>
  <c r="R713" i="36"/>
  <c r="Q854" i="36"/>
  <c r="P1068" i="36"/>
  <c r="R853" i="36"/>
  <c r="Q1066" i="36"/>
  <c r="J168" i="40"/>
  <c r="K463" i="39"/>
  <c r="P1082" i="36"/>
  <c r="S1026" i="36"/>
  <c r="H21" i="45"/>
  <c r="T1173" i="36"/>
  <c r="T1176" i="36" s="1"/>
  <c r="Q1048" i="36"/>
  <c r="R764" i="36"/>
  <c r="H103" i="39"/>
  <c r="J35" i="42"/>
  <c r="J763" i="39"/>
  <c r="J510" i="39"/>
  <c r="J46" i="42"/>
  <c r="J72" i="42" s="1"/>
  <c r="S267" i="36"/>
  <c r="K20" i="39"/>
  <c r="J701" i="39"/>
  <c r="H812" i="39"/>
  <c r="H813" i="39" s="1"/>
  <c r="G184" i="39"/>
  <c r="S1023" i="36"/>
  <c r="T1032" i="36"/>
  <c r="I711" i="39"/>
  <c r="I712" i="39" s="1"/>
  <c r="K711" i="39"/>
  <c r="J711" i="39"/>
  <c r="T285" i="36"/>
  <c r="K55" i="42"/>
  <c r="R1049" i="36"/>
  <c r="S970" i="36"/>
  <c r="K74" i="43"/>
  <c r="K50" i="42"/>
  <c r="K695" i="39"/>
  <c r="T1033" i="36"/>
  <c r="K24" i="39"/>
  <c r="H34" i="44"/>
  <c r="T1165" i="36"/>
  <c r="K9" i="42"/>
  <c r="S493" i="36"/>
  <c r="R1065" i="36"/>
  <c r="I252" i="39"/>
  <c r="R305" i="36"/>
  <c r="Q1041" i="36"/>
  <c r="Q306" i="36"/>
  <c r="J810" i="39"/>
  <c r="P1043" i="36"/>
  <c r="T1060" i="36"/>
  <c r="T1062" i="36" s="1"/>
  <c r="S1018" i="36"/>
  <c r="R1051" i="36"/>
  <c r="S1060" i="36"/>
  <c r="S1062" i="36" s="1"/>
  <c r="T263" i="36"/>
  <c r="K165" i="40"/>
  <c r="S1073" i="36"/>
  <c r="S1076" i="36" s="1"/>
  <c r="R288" i="36"/>
  <c r="R1040" i="36"/>
  <c r="S287" i="36"/>
  <c r="J465" i="39"/>
  <c r="S1132" i="36"/>
  <c r="S627" i="36"/>
  <c r="R628" i="36"/>
  <c r="R1046" i="36"/>
  <c r="R495" i="36"/>
  <c r="I247" i="39"/>
  <c r="S487" i="36"/>
  <c r="R1044" i="36"/>
  <c r="K69" i="42"/>
  <c r="T918" i="36"/>
  <c r="Q1026" i="36"/>
  <c r="Q1036" i="36" s="1"/>
  <c r="Q418" i="36"/>
  <c r="I30" i="39"/>
  <c r="S999" i="36"/>
  <c r="R1050" i="36"/>
  <c r="I250" i="39"/>
  <c r="S491" i="36"/>
  <c r="J706" i="39"/>
  <c r="T1030" i="36"/>
  <c r="T1131" i="36"/>
  <c r="T1114" i="36"/>
  <c r="T1115" i="36" s="1"/>
  <c r="T1109" i="36"/>
  <c r="R923" i="36"/>
  <c r="R1079" i="36"/>
  <c r="R921" i="36"/>
  <c r="S920" i="36"/>
  <c r="R1080" i="36"/>
  <c r="S947" i="36"/>
  <c r="H30" i="39"/>
  <c r="R1045" i="36"/>
  <c r="S517" i="36"/>
  <c r="K810" i="39"/>
  <c r="S489" i="36"/>
  <c r="I249" i="39"/>
  <c r="R1022" i="36"/>
  <c r="R1036" i="36" s="1"/>
  <c r="I72" i="42"/>
  <c r="T1025" i="36"/>
  <c r="K761" i="39"/>
  <c r="H72" i="42"/>
  <c r="K508" i="39"/>
  <c r="J705" i="39"/>
  <c r="J28" i="39"/>
  <c r="Q1082" i="36"/>
  <c r="H43" i="45"/>
  <c r="I553" i="39"/>
  <c r="H513" i="39"/>
  <c r="H514" i="39"/>
  <c r="I512" i="39"/>
  <c r="H42" i="45"/>
  <c r="J423" i="39"/>
  <c r="I16" i="45"/>
  <c r="I381" i="39"/>
  <c r="I37" i="45"/>
  <c r="J380" i="39"/>
  <c r="I334" i="39"/>
  <c r="H36" i="45"/>
  <c r="H335" i="39"/>
  <c r="H766" i="39"/>
  <c r="I765" i="39"/>
  <c r="J664" i="39"/>
  <c r="I19" i="45"/>
  <c r="H18" i="45"/>
  <c r="I628" i="39"/>
  <c r="J67" i="39"/>
  <c r="I68" i="39"/>
  <c r="I20" i="45"/>
  <c r="J102" i="39"/>
  <c r="I21" i="45"/>
  <c r="I103" i="39"/>
  <c r="I17" i="45"/>
  <c r="J590" i="39"/>
  <c r="J290" i="39"/>
  <c r="I25" i="45"/>
  <c r="H30" i="45"/>
  <c r="I254" i="39"/>
  <c r="H15" i="45"/>
  <c r="I467" i="39"/>
  <c r="H468" i="39"/>
  <c r="Q1068" i="36" l="1"/>
  <c r="R714" i="36"/>
  <c r="R1047" i="36"/>
  <c r="S713" i="36"/>
  <c r="S853" i="36"/>
  <c r="S854" i="36" s="1"/>
  <c r="R854" i="36"/>
  <c r="R1066" i="36"/>
  <c r="K465" i="39"/>
  <c r="R1048" i="36"/>
  <c r="S764" i="36"/>
  <c r="S1022" i="36"/>
  <c r="S1036" i="36" s="1"/>
  <c r="I714" i="39"/>
  <c r="I812" i="39"/>
  <c r="I813" i="39" s="1"/>
  <c r="T1023" i="36"/>
  <c r="G31" i="45"/>
  <c r="H184" i="39"/>
  <c r="T970" i="36"/>
  <c r="S1049" i="36"/>
  <c r="K705" i="39"/>
  <c r="J712" i="39"/>
  <c r="Q1043" i="36"/>
  <c r="R418" i="36"/>
  <c r="K168" i="40"/>
  <c r="K25" i="39"/>
  <c r="S1051" i="36"/>
  <c r="T1018" i="36"/>
  <c r="K510" i="39"/>
  <c r="T491" i="36"/>
  <c r="J250" i="39"/>
  <c r="T999" i="36"/>
  <c r="S1050" i="36"/>
  <c r="S1044" i="36"/>
  <c r="S495" i="36"/>
  <c r="J247" i="39"/>
  <c r="T487" i="36"/>
  <c r="S288" i="36"/>
  <c r="S1040" i="36"/>
  <c r="T287" i="36"/>
  <c r="R306" i="36"/>
  <c r="S305" i="36"/>
  <c r="R1041" i="36"/>
  <c r="T947" i="36"/>
  <c r="S1080" i="36"/>
  <c r="S921" i="36"/>
  <c r="T920" i="36"/>
  <c r="S1079" i="36"/>
  <c r="S923" i="36"/>
  <c r="R1082" i="36"/>
  <c r="T1132" i="36"/>
  <c r="T493" i="36"/>
  <c r="J252" i="39"/>
  <c r="S1065" i="36"/>
  <c r="K763" i="39"/>
  <c r="J249" i="39"/>
  <c r="T489" i="36"/>
  <c r="T517" i="36"/>
  <c r="S1045" i="36"/>
  <c r="T1073" i="36"/>
  <c r="T1076" i="36" s="1"/>
  <c r="T627" i="36"/>
  <c r="S1046" i="36"/>
  <c r="S628" i="36"/>
  <c r="T265" i="36"/>
  <c r="J30" i="39"/>
  <c r="J68" i="39"/>
  <c r="K67" i="39"/>
  <c r="J20" i="45"/>
  <c r="J553" i="39"/>
  <c r="I43" i="45"/>
  <c r="J254" i="39"/>
  <c r="I30" i="45"/>
  <c r="J25" i="45"/>
  <c r="K290" i="39"/>
  <c r="K664" i="39"/>
  <c r="J19" i="45"/>
  <c r="I36" i="45"/>
  <c r="J334" i="39"/>
  <c r="I335" i="39"/>
  <c r="K590" i="39"/>
  <c r="J17" i="45"/>
  <c r="J381" i="39"/>
  <c r="K380" i="39"/>
  <c r="J37" i="45"/>
  <c r="K102" i="39"/>
  <c r="J103" i="39"/>
  <c r="J21" i="45"/>
  <c r="I18" i="45"/>
  <c r="J628" i="39"/>
  <c r="I766" i="39"/>
  <c r="J765" i="39"/>
  <c r="J16" i="45"/>
  <c r="K423" i="39"/>
  <c r="J467" i="39"/>
  <c r="I15" i="45"/>
  <c r="I468" i="39"/>
  <c r="I514" i="39"/>
  <c r="J512" i="39"/>
  <c r="I513" i="39"/>
  <c r="I42" i="45"/>
  <c r="S1047" i="36" l="1"/>
  <c r="T713" i="36"/>
  <c r="S714" i="36"/>
  <c r="T853" i="36"/>
  <c r="T1066" i="36" s="1"/>
  <c r="S1066" i="36"/>
  <c r="R1068" i="36"/>
  <c r="S1048" i="36"/>
  <c r="T764" i="36"/>
  <c r="J812" i="39"/>
  <c r="J813" i="39" s="1"/>
  <c r="T1049" i="36"/>
  <c r="I184" i="39"/>
  <c r="H31" i="45"/>
  <c r="J714" i="39"/>
  <c r="T1050" i="36"/>
  <c r="R1043" i="36"/>
  <c r="S418" i="36"/>
  <c r="T1044" i="36"/>
  <c r="K247" i="39"/>
  <c r="T495" i="36"/>
  <c r="K249" i="39"/>
  <c r="T1080" i="36"/>
  <c r="T1046" i="36"/>
  <c r="T628" i="36"/>
  <c r="K250" i="39"/>
  <c r="T923" i="36"/>
  <c r="T1079" i="36"/>
  <c r="T921" i="36"/>
  <c r="S306" i="36"/>
  <c r="S1041" i="36"/>
  <c r="T305" i="36"/>
  <c r="T288" i="36"/>
  <c r="T1040" i="36"/>
  <c r="T1051" i="36"/>
  <c r="K46" i="42"/>
  <c r="T267" i="36"/>
  <c r="T1045" i="36"/>
  <c r="T1065" i="36"/>
  <c r="K252" i="39"/>
  <c r="S1082" i="36"/>
  <c r="K706" i="39"/>
  <c r="K28" i="39"/>
  <c r="K17" i="45"/>
  <c r="K512" i="39"/>
  <c r="J513" i="39"/>
  <c r="J514" i="39"/>
  <c r="J42" i="45"/>
  <c r="K254" i="39"/>
  <c r="J30" i="45"/>
  <c r="K20" i="45"/>
  <c r="K68" i="39"/>
  <c r="J18" i="45"/>
  <c r="K628" i="39"/>
  <c r="K334" i="39"/>
  <c r="J335" i="39"/>
  <c r="J36" i="45"/>
  <c r="K16" i="45"/>
  <c r="K25" i="45"/>
  <c r="J43" i="45"/>
  <c r="K553" i="39"/>
  <c r="J15" i="45"/>
  <c r="K467" i="39"/>
  <c r="J468" i="39"/>
  <c r="J766" i="39"/>
  <c r="K765" i="39"/>
  <c r="K103" i="39"/>
  <c r="K21" i="45"/>
  <c r="K381" i="39"/>
  <c r="K37" i="45"/>
  <c r="K19" i="45"/>
  <c r="T714" i="36" l="1"/>
  <c r="T1047" i="36"/>
  <c r="S1068" i="36"/>
  <c r="T854" i="36"/>
  <c r="T1068" i="36"/>
  <c r="T1048" i="36"/>
  <c r="K812" i="39"/>
  <c r="I31" i="45"/>
  <c r="J184" i="39"/>
  <c r="K30" i="39"/>
  <c r="T1022" i="36"/>
  <c r="T1041" i="36"/>
  <c r="T306" i="36"/>
  <c r="T1082" i="36"/>
  <c r="S1043" i="36"/>
  <c r="K335" i="39"/>
  <c r="K36" i="45"/>
  <c r="K766" i="39"/>
  <c r="K43" i="45"/>
  <c r="K514" i="39"/>
  <c r="K42" i="45"/>
  <c r="K513" i="39"/>
  <c r="K468" i="39"/>
  <c r="K15" i="45"/>
  <c r="K18" i="45"/>
  <c r="K30" i="45"/>
  <c r="K813" i="39" l="1"/>
  <c r="J31" i="45"/>
  <c r="O315" i="36" l="1"/>
  <c r="F12" i="42" l="1"/>
  <c r="O329" i="36"/>
  <c r="F128" i="39"/>
  <c r="F130" i="39" l="1"/>
  <c r="F696" i="39"/>
  <c r="O1025" i="36"/>
  <c r="O331" i="36"/>
  <c r="F138" i="39" l="1"/>
  <c r="O1042" i="36"/>
  <c r="P331" i="36"/>
  <c r="F140" i="39" l="1"/>
  <c r="Q331" i="36"/>
  <c r="P1042" i="36"/>
  <c r="Q1042" i="36" l="1"/>
  <c r="R331" i="36"/>
  <c r="F14" i="45"/>
  <c r="D11" i="44"/>
  <c r="G140" i="39"/>
  <c r="S331" i="36" l="1"/>
  <c r="R1042" i="36"/>
  <c r="L11" i="44"/>
  <c r="G14" i="45"/>
  <c r="H140" i="39"/>
  <c r="S1042" i="36" l="1"/>
  <c r="T331" i="36"/>
  <c r="H14" i="45"/>
  <c r="I140" i="39"/>
  <c r="I14" i="45" l="1"/>
  <c r="J140" i="39"/>
  <c r="T1042" i="36"/>
  <c r="K140" i="39" l="1"/>
  <c r="J14" i="45"/>
  <c r="K14" i="45" l="1"/>
  <c r="K177" i="39" l="1"/>
  <c r="K708" i="39" s="1"/>
  <c r="K712" i="39" s="1"/>
  <c r="K169" i="39"/>
  <c r="K697" i="39" s="1"/>
  <c r="K701" i="39" s="1"/>
  <c r="T362" i="36"/>
  <c r="K25" i="42" l="1"/>
  <c r="K35" i="42" s="1"/>
  <c r="K180" i="39"/>
  <c r="K714" i="39"/>
  <c r="K172" i="39"/>
  <c r="T412" i="36"/>
  <c r="T414" i="36" l="1"/>
  <c r="K182" i="39"/>
  <c r="K184" i="39" l="1"/>
  <c r="K62" i="42"/>
  <c r="T416" i="36"/>
  <c r="K31" i="45" l="1"/>
  <c r="T1026" i="36"/>
  <c r="T1036" i="36" s="1"/>
  <c r="T418" i="36"/>
  <c r="K72" i="42"/>
  <c r="T1043" i="36" l="1"/>
  <c r="O263" i="36" l="1"/>
  <c r="O1145" i="36"/>
  <c r="O1156" i="36" s="1"/>
  <c r="O1158" i="36" s="1"/>
  <c r="F163" i="40"/>
  <c r="F168" i="40" s="1"/>
  <c r="O56" i="36"/>
  <c r="F15" i="39" l="1"/>
  <c r="O1147" i="36"/>
  <c r="F23" i="39"/>
  <c r="F28" i="39" s="1"/>
  <c r="F9" i="42"/>
  <c r="O265" i="36"/>
  <c r="F20" i="39" l="1"/>
  <c r="F30" i="39" s="1"/>
  <c r="F32" i="39" s="1"/>
  <c r="F33" i="39" s="1"/>
  <c r="F695" i="39"/>
  <c r="F701" i="39" s="1"/>
  <c r="O267" i="36"/>
  <c r="F704" i="39"/>
  <c r="F712" i="39" s="1"/>
  <c r="F35" i="42"/>
  <c r="F46" i="42"/>
  <c r="O269" i="36" l="1"/>
  <c r="F714" i="39"/>
  <c r="F716" i="39" s="1"/>
  <c r="F9" i="45"/>
  <c r="F46" i="45" s="1"/>
  <c r="D8" i="44"/>
  <c r="D34" i="44" s="1"/>
  <c r="F72" i="42"/>
  <c r="O1022" i="36"/>
  <c r="O1036" i="36" s="1"/>
  <c r="O1039" i="36" l="1"/>
  <c r="O270" i="36"/>
  <c r="F717" i="39"/>
  <c r="O1053" i="36" l="1"/>
  <c r="G16" i="39" l="1"/>
  <c r="H10" i="43" s="1"/>
  <c r="P56" i="36"/>
  <c r="P267" i="36" l="1"/>
  <c r="P269" i="36" s="1"/>
  <c r="G20" i="39"/>
  <c r="G696" i="39"/>
  <c r="H36" i="43"/>
  <c r="M10" i="43"/>
  <c r="G9" i="42"/>
  <c r="G30" i="39" l="1"/>
  <c r="G32" i="39" s="1"/>
  <c r="F8" i="44"/>
  <c r="J8" i="44" s="1"/>
  <c r="G701" i="39"/>
  <c r="G35" i="42"/>
  <c r="M36" i="43"/>
  <c r="P1022" i="36"/>
  <c r="P1036" i="36" s="1"/>
  <c r="F34" i="44" l="1"/>
  <c r="G714" i="39"/>
  <c r="G716" i="39" s="1"/>
  <c r="G9" i="45"/>
  <c r="G46" i="45" s="1"/>
  <c r="G33" i="39"/>
  <c r="H32" i="39"/>
  <c r="J34" i="44"/>
  <c r="L8" i="44"/>
  <c r="L34" i="44" s="1"/>
  <c r="P270" i="36"/>
  <c r="P1039" i="36"/>
  <c r="Q269" i="36"/>
  <c r="P1053" i="36" l="1"/>
  <c r="Q1039" i="36"/>
  <c r="R269" i="36"/>
  <c r="Q270" i="36"/>
  <c r="H716" i="39"/>
  <c r="G717" i="39"/>
  <c r="H33" i="39"/>
  <c r="H9" i="45"/>
  <c r="H46" i="45" s="1"/>
  <c r="I32" i="39"/>
  <c r="I9" i="45" l="1"/>
  <c r="I46" i="45" s="1"/>
  <c r="I33" i="39"/>
  <c r="J32" i="39"/>
  <c r="H717" i="39"/>
  <c r="I716" i="39"/>
  <c r="R270" i="36"/>
  <c r="S269" i="36"/>
  <c r="R1039" i="36"/>
  <c r="Q1053" i="36"/>
  <c r="T269" i="36" l="1"/>
  <c r="I717" i="39"/>
  <c r="J716" i="39"/>
  <c r="K32" i="39"/>
  <c r="J33" i="39"/>
  <c r="J9" i="45"/>
  <c r="J46" i="45" s="1"/>
  <c r="R1053" i="36"/>
  <c r="S270" i="36"/>
  <c r="S1039" i="36"/>
  <c r="K716" i="39" l="1"/>
  <c r="J717" i="39"/>
  <c r="T270" i="36"/>
  <c r="T1039" i="36"/>
  <c r="S1053" i="36"/>
  <c r="K33" i="39"/>
  <c r="K9" i="45"/>
  <c r="K46" i="45" s="1"/>
  <c r="K717" i="39" l="1"/>
  <c r="T1053" i="36"/>
</calcChain>
</file>

<file path=xl/sharedStrings.xml><?xml version="1.0" encoding="utf-8"?>
<sst xmlns="http://schemas.openxmlformats.org/spreadsheetml/2006/main" count="2840" uniqueCount="1373">
  <si>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</si>
  <si>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</si>
  <si>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</si>
  <si>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</si>
  <si>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</si>
  <si>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</si>
  <si>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</si>
  <si>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</si>
  <si>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</si>
  <si>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</si>
  <si>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</si>
  <si>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</si>
  <si>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</si>
  <si>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</si>
  <si>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</si>
  <si>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</si>
  <si>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</si>
  <si>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</si>
  <si>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</si>
  <si>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</si>
  <si>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</si>
  <si>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</si>
  <si>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</si>
  <si>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</si>
  <si>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</si>
  <si>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</si>
  <si>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</si>
  <si>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</si>
  <si>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</si>
  <si>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</si>
  <si>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</si>
  <si>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</si>
  <si>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</si>
  <si>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</si>
  <si>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</si>
  <si>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</si>
  <si>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</si>
  <si>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</si>
  <si>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</si>
  <si>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</si>
  <si>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</si>
  <si>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</si>
  <si>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</si>
  <si>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</si>
  <si>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</si>
  <si>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</si>
  <si>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</si>
  <si>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</si>
  <si>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</si>
  <si>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</si>
  <si>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</si>
  <si>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</si>
  <si>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</si>
  <si>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</si>
  <si>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</si>
  <si>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</si>
  <si>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</si>
  <si>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</si>
  <si>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</si>
  <si>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</si>
  <si>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</si>
  <si>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</si>
  <si>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</si>
  <si>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</si>
  <si>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</si>
  <si>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</si>
  <si>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</si>
  <si>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</si>
  <si>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</si>
  <si>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</si>
  <si>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</si>
  <si>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</si>
  <si>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</si>
  <si>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</si>
  <si>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</si>
  <si>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</si>
  <si>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</si>
  <si>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</si>
  <si>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</si>
  <si>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</si>
  <si>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</si>
  <si>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</si>
  <si>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</si>
  <si>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</si>
  <si>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</si>
  <si>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</si>
  <si>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</si>
  <si>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</si>
  <si>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</si>
  <si>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</si>
  <si>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</si>
  <si>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</si>
  <si>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</si>
  <si>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</si>
  <si>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</si>
  <si>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</si>
  <si>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</si>
  <si>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</si>
  <si>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</si>
  <si>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</si>
  <si>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</si>
  <si>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</si>
  <si>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</si>
  <si>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</si>
  <si>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</si>
  <si>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</si>
  <si>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</si>
  <si>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</si>
  <si>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</si>
  <si>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</si>
  <si>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</si>
  <si>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</si>
  <si>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</si>
  <si>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</si>
  <si>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</si>
  <si>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</si>
  <si>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</si>
  <si>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</si>
  <si>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</si>
  <si>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</si>
  <si>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</si>
  <si>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</si>
  <si>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</si>
  <si>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</si>
  <si>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</si>
  <si>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TRAINING &amp; CONFERENCE</t>
  </si>
  <si>
    <t>01-210-56-00-5696</t>
  </si>
  <si>
    <t>01-210-56-00-5695</t>
  </si>
  <si>
    <t>01-210-56-00-5635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</si>
  <si>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</si>
  <si>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</si>
  <si>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</si>
  <si>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</si>
  <si>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</si>
  <si>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</si>
  <si>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</si>
  <si>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</si>
  <si>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</si>
  <si>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</si>
  <si>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</si>
  <si>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</si>
  <si>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</si>
  <si>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</si>
  <si>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</si>
  <si>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</si>
  <si>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</si>
  <si>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</si>
  <si>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</si>
  <si>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</si>
  <si>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</si>
  <si>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</si>
  <si>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</si>
  <si>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</si>
  <si>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</si>
  <si>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</si>
  <si>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</si>
  <si>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</si>
  <si>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</si>
  <si>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HANGING BASKETS</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</si>
  <si>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</si>
  <si>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</si>
  <si>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</si>
  <si>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</si>
  <si>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</si>
  <si>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</si>
  <si>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</si>
  <si>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</si>
  <si>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</si>
  <si>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</si>
  <si>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</si>
  <si>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</si>
  <si>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</si>
  <si>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</si>
  <si>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</si>
  <si>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</si>
  <si>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</si>
  <si>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</si>
  <si>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</si>
  <si>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</si>
  <si>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</si>
  <si>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</si>
  <si>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</si>
  <si>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</si>
  <si>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</si>
  <si>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</si>
  <si>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</si>
  <si>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</si>
  <si>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</si>
  <si>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</si>
  <si>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</si>
  <si>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</si>
  <si>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</si>
  <si>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</si>
  <si>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01-210-54-00-5484</t>
  </si>
  <si>
    <t>01-210-54-00-5460</t>
  </si>
  <si>
    <t>01-220-54-00-5460</t>
  </si>
  <si>
    <t>01-640-54-00-5456</t>
  </si>
  <si>
    <t>01-640-54-00-5481</t>
  </si>
  <si>
    <t>TRANSFER TO DEBT SERVICE</t>
  </si>
  <si>
    <t>TRANSFER TO WATER</t>
  </si>
  <si>
    <t>TRANSFER TO SEWER</t>
  </si>
  <si>
    <t>TRANSFER FROM SEWER</t>
  </si>
  <si>
    <t>01-000-46-00-4685</t>
  </si>
  <si>
    <t>REIMB - CABLE CONSORTIUM</t>
  </si>
  <si>
    <t>01-210-54-00-5495</t>
  </si>
  <si>
    <t>01-410-56-00-5640</t>
  </si>
  <si>
    <t xml:space="preserve">LOCAL USE TAX                                              </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</si>
  <si>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</si>
  <si>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</si>
  <si>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</si>
  <si>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</si>
  <si>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</si>
  <si>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</si>
  <si>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</si>
  <si>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</si>
  <si>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</si>
  <si>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</si>
  <si>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</si>
  <si>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</si>
  <si>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</si>
  <si>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</si>
  <si>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</si>
  <si>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</si>
  <si>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</si>
  <si>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</si>
  <si>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</si>
  <si>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</si>
  <si>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</si>
  <si>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</si>
  <si>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</si>
  <si>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</si>
  <si>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</si>
  <si>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</si>
  <si>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</si>
  <si>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FY 2017</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</si>
  <si>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</si>
  <si>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</si>
  <si>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</si>
  <si>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</si>
  <si>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</si>
  <si>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</si>
  <si>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</si>
  <si>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</si>
  <si>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</si>
  <si>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</si>
  <si>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</si>
  <si>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</si>
  <si>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</si>
  <si>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15-155-56-00-5619</t>
  </si>
  <si>
    <t>SIGNS</t>
  </si>
  <si>
    <t>GAME FARM ROAD PROJECT</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</si>
  <si>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</si>
  <si>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</si>
  <si>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</si>
  <si>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</si>
  <si>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</si>
  <si>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</si>
  <si>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</si>
  <si>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</si>
  <si>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</si>
  <si>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</si>
  <si>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</si>
  <si>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</si>
  <si>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</si>
  <si>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23-230-60-00-6073</t>
  </si>
  <si>
    <t>23-230-97-00-8000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</si>
  <si>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</si>
  <si>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</si>
  <si>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</si>
  <si>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</si>
  <si>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</si>
  <si>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</si>
  <si>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</si>
  <si>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</si>
  <si>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</si>
  <si>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</si>
  <si>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</si>
  <si>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</si>
  <si>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</si>
  <si>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</si>
  <si>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</si>
  <si>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</si>
  <si>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</si>
  <si>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</si>
  <si>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</si>
  <si>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</si>
  <si>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</si>
  <si>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</si>
  <si>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</si>
  <si>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</si>
  <si>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</si>
  <si>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</si>
  <si>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</si>
  <si>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</si>
  <si>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</si>
  <si>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</si>
  <si>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</si>
  <si>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</si>
  <si>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</si>
  <si>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</si>
  <si>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</si>
  <si>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</si>
  <si>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</si>
  <si>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</si>
  <si>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</si>
  <si>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</si>
  <si>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</si>
  <si>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</si>
  <si>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</si>
  <si>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</si>
  <si>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</si>
  <si>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</si>
  <si>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- 2007A Bond</t>
  </si>
  <si>
    <t>51-510-83-00-8000</t>
  </si>
  <si>
    <t>51-510-83-00-8050</t>
  </si>
  <si>
    <t>Debt Service - 2003 Debt Certificates</t>
  </si>
  <si>
    <t>51-510-86-00-8000</t>
  </si>
  <si>
    <t>51-510-86-00-8050</t>
  </si>
  <si>
    <t>Debt Service - 2006A Refunding Debt Certificates</t>
  </si>
  <si>
    <t>51-510-87-00-8000</t>
  </si>
  <si>
    <t>51-510-87-00-8050</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</si>
  <si>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</si>
  <si>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</si>
  <si>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</si>
  <si>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</si>
  <si>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</si>
  <si>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</si>
  <si>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</si>
  <si>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</si>
  <si>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</si>
  <si>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</si>
  <si>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</si>
  <si>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</si>
  <si>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</si>
  <si>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</si>
  <si>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</si>
  <si>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</si>
  <si>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</si>
  <si>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</si>
  <si>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</si>
  <si>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</si>
  <si>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</si>
  <si>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</si>
  <si>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</si>
  <si>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</si>
  <si>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</si>
  <si>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</si>
  <si>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</si>
  <si>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</si>
  <si>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</si>
  <si>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</si>
  <si>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</si>
  <si>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</si>
  <si>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</si>
  <si>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</si>
  <si>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52-520-75-00-7500</t>
  </si>
  <si>
    <t>LENNAR - RAINTREE SEWER RECPATURE</t>
  </si>
  <si>
    <t>Debt Service - 2004B Bond</t>
  </si>
  <si>
    <t>52-520-84-00-8000</t>
  </si>
  <si>
    <t>52-520-84-00-8050</t>
  </si>
  <si>
    <t>52-520-90-00-8000</t>
  </si>
  <si>
    <t>52-520-90-00-8050</t>
  </si>
  <si>
    <t>Debt Service - 2011 Refunding Bond</t>
  </si>
  <si>
    <t>Debt Service - IEPA Loan L17-115300</t>
  </si>
  <si>
    <t>52-520-96-00-8000</t>
  </si>
  <si>
    <t>52-520-96-00-8050</t>
  </si>
  <si>
    <t>72-000-47-00-4703</t>
  </si>
  <si>
    <t>AUTUMN CREEK</t>
  </si>
  <si>
    <t>72-000-47-00-4704</t>
  </si>
  <si>
    <t>BLACKBERRY WOODS</t>
  </si>
  <si>
    <t>72-720-60-00-6032</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</si>
  <si>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</si>
  <si>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</si>
  <si>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</si>
  <si>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</si>
  <si>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</si>
  <si>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</si>
  <si>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</si>
  <si>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</si>
  <si>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</si>
  <si>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</si>
  <si>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</si>
  <si>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</si>
  <si>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</si>
  <si>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</si>
  <si>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</si>
  <si>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</si>
  <si>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</si>
  <si>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</si>
  <si>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</si>
  <si>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</si>
  <si>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</si>
  <si>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</si>
  <si>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</si>
  <si>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</si>
  <si>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</si>
  <si>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</si>
  <si>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</si>
  <si>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</si>
  <si>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</si>
  <si>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</si>
  <si>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</si>
  <si>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</si>
  <si>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</si>
  <si>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</si>
  <si>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</si>
  <si>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</si>
  <si>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</si>
  <si>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</si>
  <si>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</si>
  <si>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</si>
  <si>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</si>
  <si>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</si>
  <si>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</si>
  <si>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</si>
  <si>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</si>
  <si>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82-000-48-00-4824</t>
  </si>
  <si>
    <t>DVD RENTAL INCOME</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</si>
  <si>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</si>
  <si>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</si>
  <si>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</si>
  <si>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</si>
  <si>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</si>
  <si>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</si>
  <si>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</si>
  <si>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</si>
  <si>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</si>
  <si>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</si>
  <si>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</si>
  <si>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</si>
  <si>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</si>
  <si>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</si>
  <si>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</si>
  <si>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</si>
  <si>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</si>
  <si>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</si>
  <si>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</si>
  <si>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</si>
  <si>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</si>
  <si>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</si>
  <si>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</si>
  <si>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</si>
  <si>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82-820-56-00-5676</t>
  </si>
  <si>
    <t>EMPLOYEE RECOGNITION</t>
  </si>
  <si>
    <t>AUDIO BOOKS</t>
  </si>
  <si>
    <t>82-820-56-00-5684</t>
  </si>
  <si>
    <t>82-820-56-00-5685</t>
  </si>
  <si>
    <t>DVD'S</t>
  </si>
  <si>
    <t>Debt Service - 2006 Bond</t>
  </si>
  <si>
    <t>Library Debt Service</t>
  </si>
  <si>
    <t>Countryside TIF</t>
  </si>
  <si>
    <t>87-870-54-00-5498</t>
  </si>
  <si>
    <t>Downtown TIF</t>
  </si>
  <si>
    <t>88-880-60-00-6079</t>
  </si>
  <si>
    <t>Revenue</t>
  </si>
  <si>
    <t>Finance</t>
  </si>
  <si>
    <t>Police</t>
  </si>
  <si>
    <t>Expenditures</t>
  </si>
  <si>
    <t>Surplus(Deficit)</t>
  </si>
  <si>
    <t>Expenses</t>
  </si>
  <si>
    <t>Fund Balance</t>
  </si>
  <si>
    <t>01-640-99-00-9982</t>
  </si>
  <si>
    <t>TRANSFER TO LIBRARY OPERATIONS</t>
  </si>
  <si>
    <t>82-000-49-00-4901</t>
  </si>
  <si>
    <t>Administration</t>
  </si>
  <si>
    <t>Fund Balance Equiv</t>
  </si>
  <si>
    <t>GENERAL FUND - 01</t>
  </si>
  <si>
    <t>Fox Hill SSA - 11</t>
  </si>
  <si>
    <t>Sunflower SSA - 12</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</si>
  <si>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</si>
  <si>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</si>
  <si>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</si>
  <si>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</si>
  <si>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</si>
  <si>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</si>
  <si>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</si>
  <si>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</si>
  <si>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</si>
  <si>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</si>
  <si>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</si>
  <si>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</si>
  <si>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</si>
  <si>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</si>
  <si>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</si>
  <si>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</si>
  <si>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</si>
  <si>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</si>
  <si>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</si>
  <si>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</si>
  <si>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</si>
  <si>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</si>
  <si>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</si>
  <si>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</si>
  <si>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</si>
  <si>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</si>
  <si>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</si>
  <si>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</si>
  <si>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</si>
  <si>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</si>
  <si>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</si>
  <si>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</si>
  <si>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</si>
  <si>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</si>
  <si>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</si>
  <si>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</si>
  <si>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</si>
  <si>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</si>
  <si>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</si>
  <si>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</si>
  <si>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</si>
  <si>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</si>
  <si>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</si>
  <si>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</si>
  <si>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</si>
  <si>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</si>
  <si>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</si>
  <si>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</si>
  <si>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</si>
  <si>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</si>
  <si>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</si>
  <si>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</si>
  <si>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</si>
  <si>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</si>
  <si>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</si>
  <si>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</si>
  <si>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</si>
  <si>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</si>
  <si>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01-220-50-00-5015</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</si>
  <si>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</si>
  <si>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</si>
  <si>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</si>
  <si>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</si>
  <si>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</si>
  <si>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</si>
  <si>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</si>
  <si>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</si>
  <si>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</si>
  <si>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</si>
  <si>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</si>
  <si>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</si>
  <si>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</si>
  <si>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</si>
  <si>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</si>
  <si>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</si>
  <si>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</si>
  <si>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</si>
  <si>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</si>
  <si>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</si>
  <si>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</si>
  <si>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</si>
  <si>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</si>
  <si>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</si>
  <si>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</si>
  <si>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</si>
  <si>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</si>
  <si>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79-795-56-00-5640</t>
  </si>
  <si>
    <t>79-795-56-00-5695</t>
  </si>
  <si>
    <t>SEIZED VEHICLE PROCEEDS</t>
  </si>
  <si>
    <t>OTHER LICENSES &amp; PERMITS</t>
  </si>
  <si>
    <t>01-110-54-00-5485</t>
  </si>
  <si>
    <t>01-210-54-00-5485</t>
  </si>
  <si>
    <t>01-220-54-00-5485</t>
  </si>
  <si>
    <t>51-000-46-00-4690</t>
  </si>
  <si>
    <t>01-000-40-00-4044</t>
  </si>
  <si>
    <t>23-230-60-00-6094</t>
  </si>
  <si>
    <t>KENCOM</t>
  </si>
  <si>
    <t>01-640-54-00-5449</t>
  </si>
  <si>
    <t>88-880-54-00-5466</t>
  </si>
  <si>
    <t>88-880-60-00-6000</t>
  </si>
  <si>
    <t>PROJECT COSTS</t>
  </si>
  <si>
    <t>72-000-41-00-4175</t>
  </si>
  <si>
    <t>01-640-54-00-5450</t>
  </si>
  <si>
    <t>INFORMATION TECHNOLOGY SERVICES</t>
  </si>
  <si>
    <t>72-720-60-00-6046</t>
  </si>
  <si>
    <t>79-000-48-00-4825</t>
  </si>
  <si>
    <t>79-790-54-00-5495</t>
  </si>
  <si>
    <t>84-000-45-00-4500</t>
  </si>
  <si>
    <t>82-820-52-00-5231</t>
  </si>
  <si>
    <t>CITY</t>
  </si>
  <si>
    <t>Park &amp; Recreation</t>
  </si>
  <si>
    <t xml:space="preserve">Park &amp; Rec </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</si>
  <si>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</si>
  <si>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</si>
  <si>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</si>
  <si>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</si>
  <si>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</si>
  <si>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</si>
  <si>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</si>
  <si>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</si>
  <si>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</si>
  <si>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</si>
  <si>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</si>
  <si>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</si>
  <si>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</si>
  <si>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</si>
  <si>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</si>
  <si>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</si>
  <si>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</si>
  <si>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</si>
  <si>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</si>
  <si>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</si>
  <si>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</si>
  <si>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</si>
  <si>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Non-Abatement of Debt Service</t>
  </si>
  <si>
    <t>23-000-41-00-4178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</si>
  <si>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</si>
  <si>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</si>
  <si>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</si>
  <si>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</si>
  <si>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</si>
  <si>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</si>
  <si>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</si>
  <si>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</si>
  <si>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</si>
  <si>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</si>
  <si>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</si>
  <si>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</si>
  <si>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POLICE CHIEF &amp; DEPUTIES</t>
  </si>
  <si>
    <t>SALARIES - SERGEANTS</t>
  </si>
  <si>
    <t>.</t>
  </si>
  <si>
    <t>MDT - ALERTS FEE</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</si>
  <si>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</si>
  <si>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</si>
  <si>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</si>
  <si>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</si>
  <si>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</si>
  <si>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</si>
  <si>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</si>
  <si>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</si>
  <si>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</si>
  <si>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</si>
  <si>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</si>
  <si>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</si>
  <si>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</si>
  <si>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</si>
  <si>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</si>
  <si>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</si>
  <si>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</si>
  <si>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</si>
  <si>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</si>
  <si>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</si>
  <si>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</si>
  <si>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</si>
  <si>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</si>
  <si>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</si>
  <si>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</si>
  <si>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</si>
  <si>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</si>
  <si>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</si>
  <si>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</si>
  <si>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</si>
  <si>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</si>
  <si>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</si>
  <si>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</si>
  <si>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</si>
  <si>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</si>
  <si>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</si>
  <si>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</si>
  <si>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</si>
  <si>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</si>
  <si>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</si>
  <si>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</si>
  <si>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</si>
  <si>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</si>
  <si>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</si>
  <si>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</si>
  <si>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</si>
  <si>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</si>
  <si>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</si>
  <si>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</si>
  <si>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</si>
  <si>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</si>
  <si>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</si>
  <si>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</si>
  <si>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</si>
  <si>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</si>
  <si>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</si>
  <si>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</si>
  <si>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</si>
  <si>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</si>
  <si>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</si>
  <si>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</si>
  <si>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</si>
  <si>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</si>
  <si>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</si>
  <si>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</si>
  <si>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</si>
  <si>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</si>
  <si>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</si>
  <si>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</si>
  <si>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</si>
  <si>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</si>
  <si>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</si>
  <si>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</si>
  <si>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</si>
  <si>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</si>
  <si>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</si>
  <si>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</si>
  <si>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</si>
  <si>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</si>
  <si>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</si>
  <si>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</si>
  <si>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</si>
  <si>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</si>
  <si>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</si>
  <si>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</si>
  <si>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</si>
  <si>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</si>
  <si>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</si>
  <si>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</si>
  <si>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</si>
  <si>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</si>
  <si>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</si>
  <si>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</si>
  <si>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</si>
  <si>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</si>
  <si>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</si>
  <si>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</si>
  <si>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</si>
  <si>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</si>
  <si>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</si>
  <si>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</si>
  <si>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</si>
  <si>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</si>
  <si>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</si>
  <si>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</si>
  <si>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</si>
  <si>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</si>
  <si>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</si>
  <si>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</si>
  <si>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</si>
  <si>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</si>
  <si>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</si>
  <si>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</si>
  <si>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</si>
  <si>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</si>
  <si>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</si>
  <si>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</si>
  <si>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</si>
  <si>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</si>
  <si>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</si>
  <si>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</si>
  <si>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</si>
  <si>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</si>
  <si>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</si>
  <si>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</si>
  <si>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</si>
  <si>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</si>
  <si>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</si>
  <si>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</si>
  <si>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</si>
  <si>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</si>
  <si>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</si>
  <si>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</si>
  <si>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</si>
  <si>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</si>
  <si>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BUILD PROGRAM</t>
  </si>
  <si>
    <t>51-000-42-00-4216</t>
  </si>
  <si>
    <t>51-510-54-00-5405</t>
  </si>
  <si>
    <t>52-000-42-00-4216</t>
  </si>
  <si>
    <t>52-520-54-00-5405</t>
  </si>
  <si>
    <t>Motor Fuel Tax  - 15</t>
  </si>
  <si>
    <t>Cash Flow - Fund Balance</t>
  </si>
  <si>
    <t>TOTAL REVENUES</t>
  </si>
  <si>
    <t>TOTAL EXPENDITURES</t>
  </si>
  <si>
    <t>52-520-92-00-8000</t>
  </si>
  <si>
    <t>52-520-92-00-8050</t>
  </si>
  <si>
    <t>PARK RENTALS</t>
  </si>
  <si>
    <t>51-000-48-00-4820</t>
  </si>
  <si>
    <t xml:space="preserve">RENTAL INCOME </t>
  </si>
  <si>
    <t>52-520-99-00-9951</t>
  </si>
  <si>
    <t>Kendall County Loan - River Road Bridge</t>
  </si>
  <si>
    <t>Route 47 Expansion Project</t>
  </si>
  <si>
    <t>ELECTRONIC CITATION FEES</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</si>
  <si>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</si>
  <si>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</si>
  <si>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</si>
  <si>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</si>
  <si>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</si>
  <si>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</si>
  <si>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</si>
  <si>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</si>
  <si>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</si>
  <si>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</si>
  <si>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</si>
  <si>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</si>
  <si>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</si>
  <si>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</si>
  <si>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</si>
  <si>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</si>
  <si>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</si>
  <si>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</si>
  <si>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</si>
  <si>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 xml:space="preserve">Total Police </t>
  </si>
  <si>
    <t xml:space="preserve">Total Public Works </t>
  </si>
  <si>
    <t>Total Admin Services &amp; Transfers</t>
  </si>
  <si>
    <t xml:space="preserve">Library Capital </t>
  </si>
  <si>
    <t>SALARIES &amp; WAGES</t>
  </si>
  <si>
    <t>EXCISE TAX</t>
  </si>
  <si>
    <t>23-230-60-00-6058</t>
  </si>
  <si>
    <t xml:space="preserve">US 34 (IL 47 / ORCHARD RD) PROJECT </t>
  </si>
  <si>
    <t>23-230-60-00-6059</t>
  </si>
  <si>
    <t>79-000-48-00-4843</t>
  </si>
  <si>
    <t>TRANSFER TO PARKS &amp; RECREATION</t>
  </si>
  <si>
    <t>23-000-42-00-4218</t>
  </si>
  <si>
    <t>DEVELOPMENT FEES - MUNICIPAL BLDG</t>
  </si>
  <si>
    <t>Vehicle &amp; Equipment - 25</t>
  </si>
  <si>
    <t>DEVELOPMENT FEES - POLICE CAPITAL</t>
  </si>
  <si>
    <t>DEVELOPMENT FEES - PW CAPITAL</t>
  </si>
  <si>
    <t>25-205-54-00-5495</t>
  </si>
  <si>
    <t>25-205-60-00-6060</t>
  </si>
  <si>
    <t>25-205-60-00-6070</t>
  </si>
  <si>
    <t>25-215-54-00-5405</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</si>
  <si>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</si>
  <si>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</si>
  <si>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</si>
  <si>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</si>
  <si>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</si>
  <si>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</si>
  <si>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</si>
  <si>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</si>
  <si>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</si>
  <si>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</si>
  <si>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</si>
  <si>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</si>
  <si>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</si>
  <si>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</si>
  <si>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</si>
  <si>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</si>
  <si>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</si>
  <si>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</si>
  <si>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</si>
  <si>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185 Wolf Street Building</t>
  </si>
  <si>
    <t>Parks &amp; Recreation Capital</t>
  </si>
  <si>
    <t>Fund Balance Equivalent</t>
  </si>
  <si>
    <t>01-110-54-00-5460</t>
  </si>
  <si>
    <t>15-155-54-00-5438</t>
  </si>
  <si>
    <t>SALT STORAGE</t>
  </si>
  <si>
    <t>84-840-54-00-5460</t>
  </si>
  <si>
    <t>DEVELOPMENT FEES - PARK CAPITAL</t>
  </si>
  <si>
    <t>MISCELLANEOUS INCOME - PW CAPITAL</t>
  </si>
  <si>
    <t>INVESTMENT EARNINGS - PARK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</si>
  <si>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</si>
  <si>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</si>
  <si>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</si>
  <si>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</si>
  <si>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</si>
  <si>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</si>
  <si>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</si>
  <si>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</si>
  <si>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</si>
  <si>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</si>
  <si>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</si>
  <si>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</si>
  <si>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</si>
  <si>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</si>
  <si>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</si>
  <si>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</si>
  <si>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</si>
  <si>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</si>
  <si>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</si>
  <si>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</si>
  <si>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</si>
  <si>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</si>
  <si>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FY 2019</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</si>
  <si>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</si>
  <si>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</si>
  <si>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</si>
  <si>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</si>
  <si>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</si>
  <si>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</si>
  <si>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</si>
  <si>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</si>
  <si>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</si>
  <si>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</si>
  <si>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</si>
  <si>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</si>
  <si>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</si>
  <si>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</si>
  <si>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</si>
  <si>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</si>
  <si>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</si>
  <si>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</si>
  <si>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</si>
  <si>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</si>
  <si>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</si>
  <si>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</si>
  <si>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</si>
  <si>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</si>
  <si>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</si>
  <si>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</si>
  <si>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</si>
  <si>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Yorkville Parks and Recreation - Consolidated Budget</t>
  </si>
  <si>
    <t xml:space="preserve">BUSINESS DISTRICT REBATE </t>
  </si>
  <si>
    <t>79-795-54-00-5460</t>
  </si>
  <si>
    <t>FY 2020</t>
  </si>
  <si>
    <t>FY 2021</t>
  </si>
  <si>
    <t>FY 2022</t>
  </si>
  <si>
    <t>FY 2023</t>
  </si>
  <si>
    <t>FY 2024</t>
  </si>
  <si>
    <t>23-230-60-00-6048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</si>
  <si>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</si>
  <si>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</si>
  <si>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</si>
  <si>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</si>
  <si>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</si>
  <si>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Total City</t>
  </si>
  <si>
    <t>Total City Capped</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</si>
  <si>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</si>
  <si>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</si>
  <si>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</si>
  <si>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</si>
  <si>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</si>
  <si>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</si>
  <si>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</si>
  <si>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</si>
  <si>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</si>
  <si>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</si>
  <si>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</si>
  <si>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</si>
  <si>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Water Operations</t>
  </si>
  <si>
    <t>Sewer Operations</t>
  </si>
  <si>
    <t>51-510-60-00-6025</t>
  </si>
  <si>
    <t>52-520-60-00-6025</t>
  </si>
  <si>
    <t>01-110-50-00-5010</t>
  </si>
  <si>
    <t>23-000-46-00-4660</t>
  </si>
  <si>
    <t>REIMB - PUSH FOR THE PATH</t>
  </si>
  <si>
    <t>VIDEO GAMING TAX</t>
  </si>
  <si>
    <t>Debt Service - 2003A IRBB Debt Certificates</t>
  </si>
  <si>
    <t>SALE OF CAPITAL ASSETS - POLICE CAPITAL</t>
  </si>
  <si>
    <t>SALE OF CAPITAL ASSETS</t>
  </si>
  <si>
    <t>INTEREST EXPENSE</t>
  </si>
  <si>
    <t>OUTSIDE REPAIR &amp; MAINTENCE</t>
  </si>
  <si>
    <t>51-510-54-00-5495</t>
  </si>
  <si>
    <t>52-520-54-00-5495</t>
  </si>
  <si>
    <t>23-216-54-00-5446</t>
  </si>
  <si>
    <t>23-216-56-00-5656</t>
  </si>
  <si>
    <t>15-155-60-00-6004</t>
  </si>
  <si>
    <t>BASELINE ROAD BRIDGE REPAIRS</t>
  </si>
  <si>
    <t>51-510-56-00-5665</t>
  </si>
  <si>
    <t>JULIE SUPPLIES</t>
  </si>
  <si>
    <t>E-BOOKS SUBSCRIPTION</t>
  </si>
  <si>
    <t>SALE OF CAPITAL ASSETS - PW CAPITAL</t>
  </si>
  <si>
    <t>25-225-60-00-6070</t>
  </si>
  <si>
    <t>12-000-40-00-4000</t>
  </si>
  <si>
    <t xml:space="preserve">PROPERTY TAXES                        </t>
  </si>
  <si>
    <t>11-000-40-00-4000</t>
  </si>
  <si>
    <t xml:space="preserve">PROPERTY TAXES                             </t>
  </si>
  <si>
    <t>42-000-40-00-4000</t>
  </si>
  <si>
    <t>82-000-40-00-4000</t>
  </si>
  <si>
    <t xml:space="preserve">PROPERTY TAXES                         </t>
  </si>
  <si>
    <t>87-000-40-00-4000</t>
  </si>
  <si>
    <t>88-000-40-00-4000</t>
  </si>
  <si>
    <t>PARKS &amp; RECREATION CHARGEBACK</t>
  </si>
  <si>
    <t>79-790-54-00-5422</t>
  </si>
  <si>
    <t>Parks &amp; Rec Capital Expenditures</t>
  </si>
  <si>
    <t>Parks &amp; Rec Capital Fund Balance</t>
  </si>
  <si>
    <t>23-000-41-00-4161</t>
  </si>
  <si>
    <t>88-880-60-00-6048</t>
  </si>
  <si>
    <t>Principal</t>
  </si>
  <si>
    <t>Interest</t>
  </si>
  <si>
    <t>01-000-41-00-4168</t>
  </si>
  <si>
    <t>23-216-54-00-5405</t>
  </si>
  <si>
    <t>25-205-54-00-5405</t>
  </si>
  <si>
    <t>25-225-54-00-5405</t>
  </si>
  <si>
    <t>42-420-54-00-5405</t>
  </si>
  <si>
    <t>72-000-42-00-4216</t>
  </si>
  <si>
    <t>25-000-42-00-4216</t>
  </si>
  <si>
    <t>42-000-42-00-4216</t>
  </si>
  <si>
    <t>72-720-54-00-5405</t>
  </si>
  <si>
    <t>51-510-60-00-6066</t>
  </si>
  <si>
    <t>KENDALL AREA TRANSIT</t>
  </si>
  <si>
    <t>FEDERAL GRANTS - ITEP DOWNTOWN</t>
  </si>
  <si>
    <t>15-155-54-00-5482</t>
  </si>
  <si>
    <t>STREET LIGHTING</t>
  </si>
  <si>
    <t>72-000-47-00-4736</t>
  </si>
  <si>
    <t>BRIARWOOD</t>
  </si>
  <si>
    <t>EMPLOYER CONTRIBUTION - POLICE PENSION</t>
  </si>
  <si>
    <t>DEVELOPMENT FEES - CW CAPITAL</t>
  </si>
  <si>
    <t>DOWNTOWN STREETSCAPE IMPROVEMENT</t>
  </si>
  <si>
    <t xml:space="preserve">City-Wide </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</si>
  <si>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</si>
  <si>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</si>
  <si>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</si>
  <si>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</si>
  <si>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 xml:space="preserve">The Administrative Services Department accounts for General Fund expenditures that are shared by all departments and cannot be easily classified in one department or the other.  These expenditures include such items as tax rebates, bad debt, engineering services, corporate legal expenditures and interfund transfers. </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</si>
  <si>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</si>
  <si>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</si>
  <si>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</si>
  <si>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END BUDGET DETAIL WORKSHEET</t>
  </si>
  <si>
    <t>PUBLIC WORKS DEPARTMENT - STREET OPERATIONS / HEALTH &amp; SANITATION</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</si>
  <si>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</si>
  <si>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</si>
  <si>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</si>
  <si>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</si>
  <si>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</si>
  <si>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</si>
  <si>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ITEP KENNEDY RD TRAIL</t>
  </si>
  <si>
    <t>25-000-42-00-4218</t>
  </si>
  <si>
    <t>25-000-42-00-4219</t>
  </si>
  <si>
    <t>25-000-42-00-4215</t>
  </si>
  <si>
    <t>25-000-42-00-4220</t>
  </si>
  <si>
    <t>25-000-43-00-4315</t>
  </si>
  <si>
    <t>25-000-43-00-4316</t>
  </si>
  <si>
    <t>25-000-43-00-4340</t>
  </si>
  <si>
    <t>25-000-44-00-4418</t>
  </si>
  <si>
    <t>25-000-44-00-4420</t>
  </si>
  <si>
    <t>25-000-44-00-4421</t>
  </si>
  <si>
    <t>25-000-44-00-4427</t>
  </si>
  <si>
    <t>25-000-45-00-4522</t>
  </si>
  <si>
    <t>25-000-48-00-4852</t>
  </si>
  <si>
    <t>25-000-48-00-4854</t>
  </si>
  <si>
    <t>25-000-49-00-4920</t>
  </si>
  <si>
    <t>25-000-49-00-4921</t>
  </si>
  <si>
    <t>STATE GRANTS - TRAFFIC SIGNAL MAINTENANCE</t>
  </si>
  <si>
    <t>82-000-44-00-4439</t>
  </si>
  <si>
    <t>MOSER HOLDING COSTS</t>
  </si>
  <si>
    <t>23-230-54-00-5499</t>
  </si>
  <si>
    <t>72-720-60-00-6043</t>
  </si>
  <si>
    <t>BRISTOL BAY REGIONAL PARK</t>
  </si>
  <si>
    <t>BOND ISSUANCE</t>
  </si>
  <si>
    <t>BOND ISSUANCE COSTS</t>
  </si>
  <si>
    <t>PAYMENT TO ESCROW AGENT</t>
  </si>
  <si>
    <t>88-000-48-00-4850</t>
  </si>
  <si>
    <t>23-000-49-00-4923</t>
  </si>
  <si>
    <t>42-420-79-00-8000</t>
  </si>
  <si>
    <t>42-420-79-00-8050</t>
  </si>
  <si>
    <t>2014A Bond</t>
  </si>
  <si>
    <t>23-230-78-00-8000</t>
  </si>
  <si>
    <t>23-230-78-00-8050</t>
  </si>
  <si>
    <t>51-510-94-00-8000</t>
  </si>
  <si>
    <t>51-510-94-00-8050</t>
  </si>
  <si>
    <t>Debt Service - 2014 Refunding Bond</t>
  </si>
  <si>
    <t>23-230-54-00-5498</t>
  </si>
  <si>
    <t>City-Wide - Building &amp; Grounds Expenditures</t>
  </si>
  <si>
    <t>LIQUOR LICENSES</t>
  </si>
  <si>
    <t>PREMIUM ON BOND ISSUANCE</t>
  </si>
  <si>
    <t>23-000-46-00-4690</t>
  </si>
  <si>
    <t xml:space="preserve">REIMB - MISCELLANEOUS </t>
  </si>
  <si>
    <t>72-000-46-00-4655</t>
  </si>
  <si>
    <t>51-510-54-00-5402</t>
  </si>
  <si>
    <t xml:space="preserve">The Debt Service Fund accumulates monies for payment of the 2014B bonds, which refinanced the 2005A bonds.  The 2005A bonds were originally issued to finance road improvement projects.  </t>
  </si>
  <si>
    <t>72-000-41-00-4186</t>
  </si>
  <si>
    <t xml:space="preserve">OSLAD GRANT - BRISTOL BAY </t>
  </si>
  <si>
    <t>OSLAD GRANT - RIVERFRONT PARK</t>
  </si>
  <si>
    <t>TREE &amp; STUMP MAINTENANCE</t>
  </si>
  <si>
    <t>BALISTIC VESTS</t>
  </si>
  <si>
    <t>51-510-54-00-5465</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</si>
  <si>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</si>
  <si>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</si>
  <si>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</si>
  <si>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</si>
  <si>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</si>
  <si>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</si>
  <si>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</si>
  <si>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</si>
  <si>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</si>
  <si>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23-230-60-00-6082</t>
  </si>
  <si>
    <t>COUNTRYSIDE PKY IMPROVEMENTS</t>
  </si>
  <si>
    <t>51-510-77-00-8000</t>
  </si>
  <si>
    <t>51-510-77-00-8050</t>
  </si>
  <si>
    <t>51-510-60-00-6082</t>
  </si>
  <si>
    <t>Aggregated Benefit Information</t>
  </si>
  <si>
    <t>IMRF</t>
  </si>
  <si>
    <t>FICA</t>
  </si>
  <si>
    <t xml:space="preserve">PROPERTY TAXES - 2014B BOND                  </t>
  </si>
  <si>
    <t>TRANSFER TO CITY-WIDE CAPITAL</t>
  </si>
  <si>
    <t>BLACKBERRY CREEK NATURE PRESERVE</t>
  </si>
  <si>
    <t>72-720-60-00-6067</t>
  </si>
  <si>
    <t>01-640-99-00-9915</t>
  </si>
  <si>
    <t>TRANSFER TO MOTOR FUEL TAX</t>
  </si>
  <si>
    <t>TRANSFER FROM CITY-WIDE CAPITAL</t>
  </si>
  <si>
    <t>15-000-49-00-4901</t>
  </si>
  <si>
    <t>Countryside Parkway</t>
  </si>
  <si>
    <t>87-870-54-00-5462</t>
  </si>
  <si>
    <t>88-880-54-00-5462</t>
  </si>
  <si>
    <t>Well Rehabs</t>
  </si>
  <si>
    <t>Selected Capital Projects - Aggregated &gt; $500,000</t>
  </si>
  <si>
    <t>2014B Refunding Bond</t>
  </si>
  <si>
    <t>Debt Service - 2014C Refunding Bond</t>
  </si>
  <si>
    <t>WRIGLEY (RTE 47) EXPANSION</t>
  </si>
  <si>
    <t>STATE GRANTS - EDP WRIGLEY (RTE 47)</t>
  </si>
  <si>
    <t>23-000-41-00-4188</t>
  </si>
  <si>
    <t>23-230-60-00-6009</t>
  </si>
  <si>
    <t>Total Library</t>
  </si>
  <si>
    <t>Grand Total</t>
  </si>
  <si>
    <t>01-000-40-00-4055</t>
  </si>
  <si>
    <t>Selected Capital Projects - Aggregated &gt; $500,000 continued</t>
  </si>
  <si>
    <t xml:space="preserve">Developer </t>
  </si>
  <si>
    <t>Commitments</t>
  </si>
  <si>
    <t>2015A Bond</t>
  </si>
  <si>
    <t>01-410-54-00-5415</t>
  </si>
  <si>
    <t>51-000-49-00-4902</t>
  </si>
  <si>
    <t>51-000-49-00-4903</t>
  </si>
  <si>
    <t>51-510-99-00-9960</t>
  </si>
  <si>
    <t>82-000-46-00-4690</t>
  </si>
  <si>
    <t>84-000-48-00-4850</t>
  </si>
  <si>
    <t>KENDALL CO JUVE PROBATION</t>
  </si>
  <si>
    <t>Developer Commitment</t>
  </si>
  <si>
    <t>Special Service Areas</t>
  </si>
  <si>
    <t>TIF Districts</t>
  </si>
  <si>
    <t>Road &amp; Bridge Tax</t>
  </si>
  <si>
    <t xml:space="preserve">US 34 (CENTER / ELDAMAIN RD) PROJECT </t>
  </si>
  <si>
    <t>23-230-60-00-6016</t>
  </si>
  <si>
    <t>72-000-47-00-4708</t>
  </si>
  <si>
    <t>COUNTRY HILLS</t>
  </si>
  <si>
    <t>01-110-54-00-5410</t>
  </si>
  <si>
    <t>01-410-54-00-5482</t>
  </si>
  <si>
    <t>25-000-49-00-4922</t>
  </si>
  <si>
    <t>SALE OF CAPITAL ASSETS - PARK CAPITAL</t>
  </si>
  <si>
    <t xml:space="preserve">REIMB - GRANDE RESERVE PARK </t>
  </si>
  <si>
    <t>82-820-56-00-5686</t>
  </si>
  <si>
    <t>51-510-60-00-6059</t>
  </si>
  <si>
    <t>52-520-60-00-6059</t>
  </si>
  <si>
    <t>87-870-77-00-8000</t>
  </si>
  <si>
    <t>87-870-77-00-8050</t>
  </si>
  <si>
    <t>NEW WORLD &amp; LIVE SCAN</t>
  </si>
  <si>
    <t>01-640-54-00-5418</t>
  </si>
  <si>
    <t>PURCHASING SERVICES</t>
  </si>
  <si>
    <t>RENEW PROGRAM PERMITS</t>
  </si>
  <si>
    <t>RENEW PROGRAM</t>
  </si>
  <si>
    <t>23-000-41-00-4169</t>
  </si>
  <si>
    <t>FEDERAL GRANTS -MILL STREET LAFO</t>
  </si>
  <si>
    <t>23-000-46-00-4607</t>
  </si>
  <si>
    <t>REIMB - BLACKBERRY WOODS</t>
  </si>
  <si>
    <t>23-230-60-00-6014</t>
  </si>
  <si>
    <t>25-000-48-00-4855</t>
  </si>
  <si>
    <t>MISCELLANEOUS INCOME - PARK CAPITAL</t>
  </si>
  <si>
    <t>84-000-42-00-4224</t>
  </si>
  <si>
    <t>84-840-54-00-5406</t>
  </si>
  <si>
    <t>15-155-56-00-5642</t>
  </si>
  <si>
    <t>01-640-54-00-5473</t>
  </si>
  <si>
    <t>01-640-54-00-5486</t>
  </si>
  <si>
    <t>STREET LIGHTING SUPPLIES</t>
  </si>
  <si>
    <t>23-000-46-00-4630</t>
  </si>
  <si>
    <t>REIMB - STAGECOACH CROSSING</t>
  </si>
  <si>
    <t>STAGECOACH CROSSING</t>
  </si>
  <si>
    <t>51-510-85-00-8000</t>
  </si>
  <si>
    <t>51-510-85-00-8050</t>
  </si>
  <si>
    <t>01-210-54-00-5488</t>
  </si>
  <si>
    <t>01-410-54-00-5488</t>
  </si>
  <si>
    <t>51-510-54-00-5488</t>
  </si>
  <si>
    <t>52-520-54-00-5488</t>
  </si>
  <si>
    <t>79-790-54-00-5488</t>
  </si>
  <si>
    <t>79-795-54-00-5488</t>
  </si>
  <si>
    <t>01-640-50-00-5016</t>
  </si>
  <si>
    <t>SALARIES - SPECIAL CENSUS</t>
  </si>
  <si>
    <t>01-640-54-00-5478</t>
  </si>
  <si>
    <t>SPECIAL CENSUS</t>
  </si>
  <si>
    <t>72-000-49-00-4910</t>
  </si>
  <si>
    <t>23-000-49-00-4910</t>
  </si>
  <si>
    <t>GC HOUSING RENTAL ASSISTANCE</t>
  </si>
  <si>
    <t>23-230-60-00-6017</t>
  </si>
  <si>
    <t>25-225-54-00-5462</t>
  </si>
  <si>
    <t>23-000-49-00-4951</t>
  </si>
  <si>
    <t>TRANSFER FROM WATER</t>
  </si>
  <si>
    <t>23-230-60-00-6084</t>
  </si>
  <si>
    <t>23-230-99-00-9951</t>
  </si>
  <si>
    <t>51-000-49-00-4923</t>
  </si>
  <si>
    <t>72-000-47-00-4722</t>
  </si>
  <si>
    <t>GC HOUSING (ANTHONY'S PLACE)</t>
  </si>
  <si>
    <t>23-230-60-00-6011</t>
  </si>
  <si>
    <t>PROPERTY ACQUISITION</t>
  </si>
  <si>
    <t>BUILDINGS &amp; STRUCTURES</t>
  </si>
  <si>
    <t>52-520-60-00-6066</t>
  </si>
  <si>
    <t>11-111-54-00-5462</t>
  </si>
  <si>
    <t>12-112-54-00-5462</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</si>
  <si>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</si>
  <si>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</si>
  <si>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</si>
  <si>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</si>
  <si>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</si>
  <si>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</si>
  <si>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</si>
  <si>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</si>
  <si>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</si>
  <si>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</si>
  <si>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</si>
  <si>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</si>
  <si>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72-000-47-00-4723</t>
  </si>
  <si>
    <t>WINDETT RIDGE</t>
  </si>
  <si>
    <t>72-720-60-00-6069</t>
  </si>
  <si>
    <t>WINDETT RIDGE PARK</t>
  </si>
  <si>
    <t>51-510-60-00-6081</t>
  </si>
  <si>
    <t>23-230-60-00-6086</t>
  </si>
  <si>
    <t>KENNEDY ROAD IMPROVEMENTS</t>
  </si>
  <si>
    <t>51-510-54-00-5401</t>
  </si>
  <si>
    <t>ADMINISTRATIVE CHARGEBACK</t>
  </si>
  <si>
    <t>52-520-54-00-5401</t>
  </si>
  <si>
    <t>01-000-44-00-4415</t>
  </si>
  <si>
    <t>87-870-54-00-5401</t>
  </si>
  <si>
    <t>88-880-54-00-5401</t>
  </si>
  <si>
    <t>88-880-60-00-6011</t>
  </si>
  <si>
    <t>Rte 71 Water/Sewer Main Replacement</t>
  </si>
  <si>
    <t>79-795-54-00-5422</t>
  </si>
  <si>
    <t>Debt Service - 2016 Refunding Bond</t>
  </si>
  <si>
    <t>23-000-46-00-4608</t>
  </si>
  <si>
    <t>REIMB - KENNEDY ROAD IMPROVEMENTS</t>
  </si>
  <si>
    <t>CENTER &amp; COUNTRYSIDE IMPROVEMENTS</t>
  </si>
  <si>
    <t xml:space="preserve">UB COLLECTION FEES </t>
  </si>
  <si>
    <t>FNBO Loan - 102 E Van Emmon Building</t>
  </si>
  <si>
    <t>11-000-49-00-4910</t>
  </si>
  <si>
    <t>72-000-47-00-4720</t>
  </si>
  <si>
    <t>WOODWORTH</t>
  </si>
  <si>
    <t>51-000-49-00-4910</t>
  </si>
  <si>
    <t>52-520-60-00-6060</t>
  </si>
  <si>
    <t xml:space="preserve">PROPERTY TAXES - LIBRARY OPS                   </t>
  </si>
  <si>
    <t>PROPERTY TAXES - DEBT SERVICE</t>
  </si>
  <si>
    <t>88-880-60-00-6045</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</si>
  <si>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Capital (84); and Park &amp; Recreation (79).</t>
  </si>
  <si>
    <t>The table and graph below present the Library's funds in aggregate, similar to that of a private business (for illustrative purposes only).  All budgeted Library funds are included:  Library Operations (82); and Library Capital (84).</t>
  </si>
  <si>
    <t>The table and graph below present the Park &amp; Recreation funds in aggregate, similar to that of a private business (for illustrative purposes only).  All budgeted Park &amp; Recreation funds are included:  Parks &amp; Recreation (79); and the Parks &amp; Recreation Capital portion of Vehicle &amp; Equipment Fund (25).</t>
  </si>
  <si>
    <t>82-820-84-00-8000</t>
  </si>
  <si>
    <t>82-820-84-00-8050</t>
  </si>
  <si>
    <t>82-820-99-00-8000</t>
  </si>
  <si>
    <t>82-820-99-00-8050</t>
  </si>
  <si>
    <t>51-510-60-00-6011</t>
  </si>
  <si>
    <t>01-640-54-00-5423</t>
  </si>
  <si>
    <t>Downtown TIF II</t>
  </si>
  <si>
    <t>89-000-40-00-4000</t>
  </si>
  <si>
    <t>89-000-45-00-4500</t>
  </si>
  <si>
    <t>89-890-54-00-5401</t>
  </si>
  <si>
    <t>89-890-54-00-5462</t>
  </si>
  <si>
    <t>89-890-54-00-5466</t>
  </si>
  <si>
    <t>89-890-60-00-6000</t>
  </si>
  <si>
    <t>Downtown TIF Fund II (89)</t>
  </si>
  <si>
    <t>23-216-60-00-6020</t>
  </si>
  <si>
    <t>01-220-54-00-5422</t>
  </si>
  <si>
    <t>General Government Capital</t>
  </si>
  <si>
    <t>25-000-44-00-4419</t>
  </si>
  <si>
    <t>COMMUNITY DEVELOPMENT CHARGEBACK</t>
  </si>
  <si>
    <t>Fund Balance - General Government</t>
  </si>
  <si>
    <t>01-410-56-00-5618</t>
  </si>
  <si>
    <t>01-410-56-00-5619</t>
  </si>
  <si>
    <t>01-410-56-00-5642</t>
  </si>
  <si>
    <t>01-410-54-00-5483</t>
  </si>
  <si>
    <t>52-520-54-00-5483</t>
  </si>
  <si>
    <t>01-410-56-00-5665</t>
  </si>
  <si>
    <t>52-520-56-00-5665</t>
  </si>
  <si>
    <t>23-230-60-00-6019</t>
  </si>
  <si>
    <t>BRISTOL BAY ACCESS ROAD</t>
  </si>
  <si>
    <t>87-870-54-00-5425</t>
  </si>
  <si>
    <t>23-230-60-00-6021</t>
  </si>
  <si>
    <t>PAVILLION ROAD STREAMBANK STABILIZATION</t>
  </si>
  <si>
    <t>01-110-54-00-5424</t>
  </si>
  <si>
    <t>COMPUTER REPLACEMENT CHARGEBACK</t>
  </si>
  <si>
    <t>01-120-54-00-5424</t>
  </si>
  <si>
    <t>01-210-54-00-5424</t>
  </si>
  <si>
    <t>01-220-54-00-5424</t>
  </si>
  <si>
    <t>01-410-54-00-5424</t>
  </si>
  <si>
    <t>51-510-54-00-5424</t>
  </si>
  <si>
    <t>52-520-54-00-5424</t>
  </si>
  <si>
    <t>79-790-54-00-5424</t>
  </si>
  <si>
    <t>79-795-54-00-5424</t>
  </si>
  <si>
    <t>25-000-44-00-4428</t>
  </si>
  <si>
    <t>COMPUTER REPLACEMENT CHARGEBACKS</t>
  </si>
  <si>
    <t>IDOR ADMINISTRATION FEE</t>
  </si>
  <si>
    <t>01-640-52-00-5214</t>
  </si>
  <si>
    <t>FICA CONTRIBUTION - SPECIAL CENSUS</t>
  </si>
  <si>
    <t>72-000-47-00-4707</t>
  </si>
  <si>
    <t>RIVER'S EDGE</t>
  </si>
  <si>
    <t>72-000-47-00-4709</t>
  </si>
  <si>
    <t>SALEK</t>
  </si>
  <si>
    <t>01-410-56-00-5632</t>
  </si>
  <si>
    <t>ASPHALT PATCHING</t>
  </si>
  <si>
    <t>23-000-48-00-4845</t>
  </si>
  <si>
    <t>23-000-46-00-4618</t>
  </si>
  <si>
    <t>REIMB - BRISTOL BAY ANNEX</t>
  </si>
  <si>
    <t>23-230-54-00-5497</t>
  </si>
  <si>
    <t>PROPERTY TAX PAYMENT</t>
  </si>
  <si>
    <t>23-230-60-00-6098</t>
  </si>
  <si>
    <t>BRISTOL BAY SUBDIVISION</t>
  </si>
  <si>
    <t>25-212-56-00-5635</t>
  </si>
  <si>
    <t>25-212-60-00-6070</t>
  </si>
  <si>
    <t>General Government Fund Balance</t>
  </si>
  <si>
    <t>General Government Capital Expenditures</t>
  </si>
  <si>
    <t>79-000-41-00-4175</t>
  </si>
  <si>
    <t>23-230-60-00-6023</t>
  </si>
  <si>
    <t>FOUNTAIN VILLAGE SUBDIVISION</t>
  </si>
  <si>
    <t>23-000-46-00-4621</t>
  </si>
  <si>
    <t>REIMB - FOUNTAIN VILLAGE</t>
  </si>
  <si>
    <t>23-230-56-00-5632</t>
  </si>
  <si>
    <t>23-216-54-00-5482</t>
  </si>
  <si>
    <t>23-216-56-00-5619</t>
  </si>
  <si>
    <t>52-520-60-00-6001</t>
  </si>
  <si>
    <t>SCADA SYSTEM</t>
  </si>
  <si>
    <t>72-720-60-00-6010</t>
  </si>
  <si>
    <t>PARK IMPROVEMENTS</t>
  </si>
  <si>
    <t>52-520-60-00-6070</t>
  </si>
  <si>
    <t>23-216-56-00-5626</t>
  </si>
  <si>
    <t>82-000-40-00-4083</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</si>
  <si>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Public Works and Parks &amp; Recreation Departments.  </t>
  </si>
  <si>
    <t>Operational Fund Balance %</t>
  </si>
  <si>
    <t>Property Taxes (continued)</t>
  </si>
  <si>
    <t>82-820-56-00-5621</t>
  </si>
  <si>
    <t>CUSTODIAL SUPPLIES</t>
  </si>
  <si>
    <t>LIBRARY OPERATING SUPPLIES</t>
  </si>
  <si>
    <t>23-000-46-00-4624</t>
  </si>
  <si>
    <t>REIMB - WHISPERING MEADOWS</t>
  </si>
  <si>
    <t>23-230-60-00-6034</t>
  </si>
  <si>
    <t>WHISPERING MEADOWS SUBDIVISION</t>
  </si>
  <si>
    <t>01-640-99-00-9923</t>
  </si>
  <si>
    <t>51-510-60-00-6034</t>
  </si>
  <si>
    <t>52-520-60-00-6034</t>
  </si>
  <si>
    <t>Fiscal Years 2017 - 2024</t>
  </si>
  <si>
    <t>Fiscal Year 2020</t>
  </si>
  <si>
    <t>Fiscal Year 2020 Budget</t>
  </si>
  <si>
    <t>01-000-45-00-4550</t>
  </si>
  <si>
    <t>GAIN ON INVESTMENT</t>
  </si>
  <si>
    <t xml:space="preserve">TRANSFER FROM GENERAL </t>
  </si>
  <si>
    <t>23-000-45-00-4550</t>
  </si>
  <si>
    <t>23-230-54-00-5462</t>
  </si>
  <si>
    <t>25-000-45-00-4550</t>
  </si>
  <si>
    <t>51-000-45-00-4550</t>
  </si>
  <si>
    <t>51-510-99-00-9923</t>
  </si>
  <si>
    <t>52-000-45-00-4550</t>
  </si>
  <si>
    <t>72-000-47-00-4724</t>
  </si>
  <si>
    <t>KENDALL MARKETPLACE</t>
  </si>
  <si>
    <t>82-000-45-00-4550</t>
  </si>
  <si>
    <t>SIDEWALK CONSTRUCTION SUPPLIES</t>
  </si>
  <si>
    <t>23-230-56-00-5637</t>
  </si>
  <si>
    <t>72-720-54-00-5485</t>
  </si>
  <si>
    <t>72-720-60-00-6047</t>
  </si>
  <si>
    <t>72-720-60-00-6049</t>
  </si>
  <si>
    <t>RAINTREE PARK C</t>
  </si>
  <si>
    <t>72-720-60-00-6070</t>
  </si>
  <si>
    <t xml:space="preserve">BRISTOL BAY </t>
  </si>
  <si>
    <t>72-720-60-00-6014</t>
  </si>
  <si>
    <t>72-720-60-00-6040</t>
  </si>
  <si>
    <t>PRESTWICK</t>
  </si>
  <si>
    <t xml:space="preserve">GRANDE RESERVE PARK </t>
  </si>
  <si>
    <t>72-000-47-00-4725</t>
  </si>
  <si>
    <t>HEARTLAND MEADOWS</t>
  </si>
  <si>
    <t>72-000-47-00-4726</t>
  </si>
  <si>
    <t>KENDALLWOOD ESTATES</t>
  </si>
  <si>
    <t>72-000-47-00-4702</t>
  </si>
  <si>
    <t>WHISPERING MEADOWS</t>
  </si>
  <si>
    <t>23-216-60-00-6013</t>
  </si>
  <si>
    <t>BEECHER CENTER</t>
  </si>
  <si>
    <t>25-225-54-00-5495</t>
  </si>
  <si>
    <t>25-000-42-00-4217</t>
  </si>
  <si>
    <t>WEATHER WARNING SIREN FEES</t>
  </si>
  <si>
    <t>84-840-60-00-6020</t>
  </si>
  <si>
    <t>72-720-60-00-6013</t>
  </si>
  <si>
    <t>BEECHER CENTER PARK</t>
  </si>
  <si>
    <t xml:space="preserve">KENNEDY ROAD BIKE TRAIL </t>
  </si>
  <si>
    <t>52-520-50-00-5015</t>
  </si>
  <si>
    <t>88-000-49-00-4905</t>
  </si>
  <si>
    <t>LOAN PROCEEDS</t>
  </si>
  <si>
    <t>51-510-60-00-6015</t>
  </si>
  <si>
    <t>WATER TOWER PAINTING</t>
  </si>
  <si>
    <t>23-230-60-00-6012</t>
  </si>
  <si>
    <t>MILL ROAD IMPROVEMENTS</t>
  </si>
  <si>
    <t>23-000-46-00-4612</t>
  </si>
  <si>
    <t>REIMB - MILL ROAD IMPROVEMENTS</t>
  </si>
  <si>
    <t>15-155-56-00-5632</t>
  </si>
  <si>
    <t>82-820-56-00-5635</t>
  </si>
  <si>
    <t>ROUTE 71 (RTE 47 / RTE 126) PROJECT</t>
  </si>
  <si>
    <t>72-000-48-00-4850</t>
  </si>
  <si>
    <t>SALT &amp; CALCIUM CHLORIDE</t>
  </si>
  <si>
    <t>79-795-54-00-5410</t>
  </si>
  <si>
    <t>01-640-54-00-5462</t>
  </si>
  <si>
    <t>88-880-54-00-5470</t>
  </si>
  <si>
    <t>FACADE REHAB PROGRAM</t>
  </si>
  <si>
    <t>89-890-54-00-5470</t>
  </si>
  <si>
    <t>88-880-60-00-6015</t>
  </si>
  <si>
    <t>DOWNTOWN HILL</t>
  </si>
  <si>
    <t>Whispering Meadows</t>
  </si>
  <si>
    <t>Mill Road</t>
  </si>
  <si>
    <t>Water Tower Painting</t>
  </si>
  <si>
    <t>Total City Debt Service Payments</t>
  </si>
  <si>
    <t>Cation Exchange Media Repl</t>
  </si>
  <si>
    <t xml:space="preserve">The Downtown TIF II was created in 2018, in order to help promote downtown redevelopment and support the existing Downtown TIF.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</si>
</sst>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1" formatCode="_(* #,##0_);_(* \(#,##0\);_(* &quot;-&quot;_);_(@_)"/>
    <numFmt numFmtId="43" formatCode="_(* #,##0.00_);_(* \(#,##0.00\);_(* &quot;-&quot;??_);_(@_)"/>
    <numFmt numFmtId="164" formatCode="_(* #,##0_);_(* \(#,##0\);_(* &quot;-&quot;??_);_(@_)"/>
    <numFmt numFmtId="165" formatCode="&quot;$&quot;#,##0.00"/>
    <numFmt numFmtId="166" formatCode="0.0%"/>
    <numFmt numFmtId="167" formatCode="_(* #,##0.00_);_(* \(#,##0.00\);_(* &quot;-&quot;_);_(@_)"/>
    <numFmt numFmtId="168" formatCode="_(* #,##0.00000_);_(* \(#,##0.00000\);_(* &quot;-&quot;_);_(@_)"/>
  </numFmts>
  <fonts count="50">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sz val="16"/>
      <name val="Times New Roman"/>
      <family val="1"/>
    </font>
    <font>
      <b/>
      <sz val="9"/>
      <color indexed="8"/>
      <name val="Times New Roman"/>
      <family val="1"/>
    </font>
    <font>
      <b/>
      <u/>
      <sz val="11"/>
      <color theme="0"/>
      <name val="Times New Roman"/>
      <family val="1"/>
    </font>
    <font>
      <sz val="11"/>
      <color theme="0"/>
      <name val="Times New Roman"/>
      <family val="1"/>
    </font>
    <font>
      <b/>
      <sz val="11"/>
      <color theme="0"/>
      <name val="Times New Roman"/>
      <family val="1"/>
    </font>
    <font>
      <b/>
      <i/>
      <sz val="11"/>
      <color theme="0"/>
      <name val="Times New Roman"/>
      <family val="1"/>
    </font>
    <font>
      <sz val="11"/>
      <color rgb="FFFF0000"/>
      <name val="Times New Roman"/>
      <family val="1"/>
    </font>
    <font>
      <sz val="11"/>
      <color rgb="FF000000"/>
      <name val="Times New Roman"/>
      <family val="1"/>
    </font>
    <font>
      <sz val="28"/>
      <color theme="0"/>
      <name val="Times New Roman"/>
      <family val="1"/>
    </font>
    <font>
      <b/>
      <sz val="12"/>
      <color theme="0"/>
      <name val="Times New Roman"/>
      <family val="1"/>
    </font>
    <font>
      <i/>
      <u/>
      <sz val="9"/>
      <color indexed="8"/>
      <name val="Times New Roman"/>
      <family val="1"/>
    </font>
  </fonts>
  <fills count="8">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
      <left/>
      <right/>
      <top style="thin">
        <color theme="0"/>
      </top>
      <bottom style="thin">
        <color theme="0"/>
      </bottom>
      <diagonal/>
    </border>
    <border>
      <left/>
      <right/>
      <top style="thin">
        <color theme="0"/>
      </top>
      <bottom/>
      <diagonal/>
    </border>
  </borders>
  <cellStyleXfs count="5">
    <xf numFmtId="0" fontId="0" fillId="0" borderId="0">
      <alignment vertical="top"/>
    </xf>
    <xf numFmtId="0" fontId="4" fillId="0" borderId="0">
      <alignment horizontal="center"/>
    </xf>
    <xf numFmtId="43" fontId="1" fillId="0" borderId="0" applyFont="0" applyFill="0" applyBorder="0" applyAlignment="0" applyProtection="0"/>
    <xf numFmtId="9" fontId="11" fillId="0" borderId="0" applyFont="0" applyFill="0" applyBorder="0" applyAlignment="0" applyProtection="0"/>
    <xf numFmtId="37" fontId="5" fillId="2" borderId="0"/>
  </cellStyleXfs>
  <cellXfs count="497">
    <xf numFmtId="0" fontId="0" fillId="0" borderId="0" xfId="0">
      <alignment vertical="top"/>
    </xf>
    <xf numFmtId="0" fontId="2" fillId="0" borderId="0" xfId="0" applyFont="1" applyFill="1" applyAlignment="1">
      <alignment vertical="center"/>
    </xf>
    <xf numFmtId="164" fontId="2" fillId="0" borderId="0" xfId="2" applyNumberFormat="1" applyFont="1" applyFill="1" applyAlignment="1">
      <alignment vertical="center"/>
    </xf>
    <xf numFmtId="164" fontId="2" fillId="0" borderId="0" xfId="2" applyNumberFormat="1" applyFont="1" applyFill="1" applyBorder="1" applyAlignment="1">
      <alignment vertical="center"/>
    </xf>
    <xf numFmtId="164" fontId="3" fillId="0" borderId="0" xfId="2"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0" fontId="3" fillId="0" borderId="0" xfId="0" applyFont="1" applyFill="1" applyAlignment="1">
      <alignment vertical="center"/>
    </xf>
    <xf numFmtId="164" fontId="16" fillId="0" borderId="0" xfId="2"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xf>
    <xf numFmtId="0" fontId="2" fillId="0" borderId="0" xfId="0" applyFont="1" applyFill="1" applyBorder="1" applyAlignment="1"/>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164" fontId="2" fillId="0" borderId="0" xfId="2" applyNumberFormat="1" applyFont="1" applyFill="1" applyBorder="1" applyAlignment="1"/>
    <xf numFmtId="0" fontId="2" fillId="0" borderId="0" xfId="0" applyFont="1" applyFill="1" applyBorder="1" applyAlignment="1" applyProtection="1">
      <alignment horizontal="center"/>
    </xf>
    <xf numFmtId="164" fontId="2" fillId="0" borderId="0" xfId="2" applyNumberFormat="1" applyFont="1" applyFill="1" applyAlignment="1">
      <alignment vertical="center" wrapText="1"/>
    </xf>
    <xf numFmtId="164" fontId="2" fillId="0" borderId="0" xfId="2" applyNumberFormat="1" applyFont="1" applyFill="1" applyBorder="1" applyAlignment="1" applyProtection="1">
      <alignment horizontal="center"/>
    </xf>
    <xf numFmtId="164" fontId="0" fillId="0" borderId="0" xfId="2"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2"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2" applyNumberFormat="1" applyFont="1" applyFill="1" applyBorder="1" applyAlignment="1">
      <alignment horizontal="center"/>
    </xf>
    <xf numFmtId="164" fontId="2" fillId="3" borderId="0" xfId="2"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2" applyNumberFormat="1" applyFont="1" applyFill="1" applyBorder="1" applyAlignment="1">
      <alignment vertical="top"/>
    </xf>
    <xf numFmtId="164" fontId="0" fillId="0" borderId="0" xfId="2" applyNumberFormat="1" applyFont="1" applyBorder="1" applyAlignment="1">
      <alignment vertical="top"/>
    </xf>
    <xf numFmtId="0" fontId="19"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1" xfId="0" applyFont="1" applyFill="1" applyBorder="1" applyAlignment="1">
      <alignment horizontal="center"/>
    </xf>
    <xf numFmtId="0" fontId="3" fillId="0" borderId="0" xfId="0" applyFont="1" applyFill="1" applyAlignment="1">
      <alignment horizontal="left"/>
    </xf>
    <xf numFmtId="0" fontId="2" fillId="0" borderId="2" xfId="0" applyFont="1" applyFill="1" applyBorder="1" applyAlignment="1" applyProtection="1">
      <alignment horizontal="left" indent="1"/>
    </xf>
    <xf numFmtId="0" fontId="2" fillId="0" borderId="0" xfId="0" applyFont="1" applyAlignment="1">
      <alignment horizontal="left" vertical="center" wrapText="1"/>
    </xf>
    <xf numFmtId="164" fontId="2" fillId="0" borderId="0" xfId="2" applyNumberFormat="1" applyFont="1" applyFill="1"/>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2" fillId="0" borderId="0" xfId="0" applyFont="1" applyAlignment="1">
      <alignment vertical="center"/>
    </xf>
    <xf numFmtId="164" fontId="19" fillId="0" borderId="0" xfId="2" applyNumberFormat="1" applyFont="1" applyAlignment="1">
      <alignment horizontal="center" wrapText="1"/>
    </xf>
    <xf numFmtId="164" fontId="20" fillId="0" borderId="0" xfId="2" applyNumberFormat="1" applyFont="1" applyAlignment="1">
      <alignment horizontal="center" wrapText="1"/>
    </xf>
    <xf numFmtId="164" fontId="2" fillId="0" borderId="0" xfId="2" applyNumberFormat="1" applyFont="1" applyAlignment="1"/>
    <xf numFmtId="164" fontId="2" fillId="0" borderId="0" xfId="2" applyNumberFormat="1" applyFont="1" applyAlignment="1">
      <alignment horizontal="left" vertical="center" wrapText="1" indent="2"/>
    </xf>
    <xf numFmtId="164" fontId="2" fillId="0" borderId="0" xfId="2" applyNumberFormat="1" applyFont="1" applyFill="1" applyBorder="1"/>
    <xf numFmtId="164" fontId="2" fillId="0" borderId="0" xfId="2" applyNumberFormat="1" applyFont="1" applyAlignment="1">
      <alignment horizontal="left" vertical="center" wrapText="1"/>
    </xf>
    <xf numFmtId="164" fontId="0" fillId="0" borderId="0" xfId="2" applyNumberFormat="1" applyFont="1" applyAlignment="1">
      <alignment horizontal="left"/>
    </xf>
    <xf numFmtId="164" fontId="2" fillId="0" borderId="0" xfId="2" applyNumberFormat="1" applyFont="1" applyAlignment="1">
      <alignment horizontal="left" vertical="center" indent="2"/>
    </xf>
    <xf numFmtId="164" fontId="21" fillId="0" borderId="0" xfId="2" applyNumberFormat="1" applyFont="1" applyAlignment="1">
      <alignment horizontal="left" vertical="center" indent="2"/>
    </xf>
    <xf numFmtId="164" fontId="2" fillId="0" borderId="0" xfId="2" applyNumberFormat="1" applyFont="1" applyFill="1" applyAlignment="1">
      <alignment vertical="top"/>
    </xf>
    <xf numFmtId="164" fontId="0" fillId="0" borderId="0" xfId="2" applyNumberFormat="1" applyFont="1" applyAlignment="1">
      <alignment wrapText="1"/>
    </xf>
    <xf numFmtId="0" fontId="20"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1" xfId="0" applyFont="1" applyFill="1" applyBorder="1" applyAlignment="1" applyProtection="1">
      <alignment vertical="center"/>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4" fillId="0" borderId="0" xfId="0" applyFont="1" applyFill="1" applyAlignment="1" applyProtection="1">
      <alignment vertical="center"/>
    </xf>
    <xf numFmtId="0" fontId="2" fillId="0" borderId="0" xfId="0" applyFont="1" applyAlignment="1">
      <alignment vertical="center"/>
    </xf>
    <xf numFmtId="164" fontId="2" fillId="0" borderId="0" xfId="2" applyNumberFormat="1" applyFont="1" applyFill="1" applyBorder="1" applyAlignment="1" applyProtection="1">
      <alignment vertical="center"/>
    </xf>
    <xf numFmtId="0" fontId="2" fillId="0" borderId="0" xfId="0" applyFont="1" applyBorder="1" applyAlignment="1">
      <alignment vertical="center"/>
    </xf>
    <xf numFmtId="0" fontId="3" fillId="0" borderId="3" xfId="0" applyFont="1" applyFill="1" applyBorder="1" applyAlignment="1" applyProtection="1">
      <alignment vertical="center"/>
    </xf>
    <xf numFmtId="164" fontId="3" fillId="0" borderId="3" xfId="2" applyNumberFormat="1" applyFont="1" applyFill="1" applyBorder="1" applyAlignment="1" applyProtection="1">
      <alignment vertical="center"/>
    </xf>
    <xf numFmtId="37" fontId="2" fillId="0" borderId="0" xfId="0" applyNumberFormat="1" applyFont="1" applyFill="1" applyAlignment="1" applyProtection="1">
      <alignment vertical="center"/>
    </xf>
    <xf numFmtId="37" fontId="2" fillId="0" borderId="1" xfId="4" applyFont="1" applyFill="1" applyBorder="1" applyAlignment="1">
      <alignment horizontal="center" vertical="center"/>
    </xf>
    <xf numFmtId="37" fontId="2" fillId="0" borderId="0" xfId="4" applyFont="1" applyFill="1" applyBorder="1" applyAlignment="1">
      <alignment horizontal="center" vertical="center"/>
    </xf>
    <xf numFmtId="164" fontId="2" fillId="0" borderId="0" xfId="2" applyNumberFormat="1" applyFont="1" applyFill="1" applyAlignment="1">
      <alignment horizontal="center" vertical="center"/>
    </xf>
    <xf numFmtId="164" fontId="3" fillId="0" borderId="3" xfId="2" applyNumberFormat="1" applyFont="1" applyFill="1" applyBorder="1" applyAlignment="1">
      <alignment vertical="center"/>
    </xf>
    <xf numFmtId="10" fontId="2" fillId="0" borderId="0" xfId="3" applyNumberFormat="1" applyFont="1" applyFill="1" applyAlignment="1">
      <alignment vertical="center"/>
    </xf>
    <xf numFmtId="41" fontId="2" fillId="0" borderId="0" xfId="0" applyNumberFormat="1" applyFont="1" applyFill="1" applyBorder="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1" xfId="0" applyFont="1" applyFill="1" applyBorder="1" applyAlignment="1" applyProtection="1">
      <alignment horizontal="center"/>
    </xf>
    <xf numFmtId="37" fontId="2" fillId="0" borderId="1" xfId="4" applyFont="1" applyFill="1" applyBorder="1" applyAlignment="1">
      <alignment horizontal="center"/>
    </xf>
    <xf numFmtId="37" fontId="2" fillId="0" borderId="0" xfId="4" applyFont="1" applyFill="1" applyBorder="1" applyAlignment="1">
      <alignment horizontal="center"/>
    </xf>
    <xf numFmtId="164" fontId="2" fillId="0" borderId="0" xfId="2" applyNumberFormat="1" applyFont="1" applyFill="1" applyAlignment="1" applyProtection="1">
      <alignment vertical="center"/>
    </xf>
    <xf numFmtId="164" fontId="2" fillId="0" borderId="0" xfId="2" applyNumberFormat="1" applyFont="1" applyAlignment="1">
      <alignment vertical="center"/>
    </xf>
    <xf numFmtId="164" fontId="2" fillId="0" borderId="0" xfId="2"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2" applyNumberFormat="1" applyFont="1" applyFill="1" applyBorder="1" applyAlignment="1" applyProtection="1">
      <alignment vertical="center"/>
    </xf>
    <xf numFmtId="164" fontId="18" fillId="0" borderId="0" xfId="2" applyNumberFormat="1" applyFont="1" applyFill="1" applyBorder="1" applyAlignment="1" applyProtection="1">
      <alignment vertical="center"/>
    </xf>
    <xf numFmtId="164" fontId="18" fillId="0" borderId="0" xfId="2" applyNumberFormat="1" applyFont="1" applyFill="1" applyBorder="1" applyAlignment="1">
      <alignment vertical="center"/>
    </xf>
    <xf numFmtId="0" fontId="3" fillId="4" borderId="3" xfId="0" applyFont="1" applyFill="1" applyBorder="1" applyAlignment="1" applyProtection="1">
      <alignment vertical="center"/>
    </xf>
    <xf numFmtId="41" fontId="3" fillId="4" borderId="3" xfId="0" applyNumberFormat="1" applyFont="1" applyFill="1" applyBorder="1" applyAlignment="1" applyProtection="1">
      <alignment vertical="center"/>
    </xf>
    <xf numFmtId="164" fontId="3" fillId="4" borderId="3" xfId="2" applyNumberFormat="1" applyFont="1" applyFill="1" applyBorder="1" applyAlignment="1" applyProtection="1">
      <alignment vertical="center"/>
    </xf>
    <xf numFmtId="37" fontId="2" fillId="0" borderId="0" xfId="0" applyNumberFormat="1" applyFont="1" applyFill="1" applyAlignment="1" applyProtection="1"/>
    <xf numFmtId="0" fontId="25" fillId="0" borderId="0" xfId="0" applyFont="1" applyAlignment="1"/>
    <xf numFmtId="0" fontId="26" fillId="0" borderId="0" xfId="0" applyFont="1" applyFill="1" applyAlignment="1"/>
    <xf numFmtId="0" fontId="25" fillId="0" borderId="0" xfId="0" applyFont="1" applyFill="1" applyAlignment="1"/>
    <xf numFmtId="0" fontId="19" fillId="0" borderId="0" xfId="0" applyFont="1" applyFill="1" applyAlignment="1">
      <alignment horizontal="center"/>
    </xf>
    <xf numFmtId="0" fontId="24" fillId="0" borderId="0" xfId="0" applyFont="1" applyFill="1" applyAlignment="1" applyProtection="1">
      <alignment horizontal="left"/>
    </xf>
    <xf numFmtId="164" fontId="2" fillId="0" borderId="0" xfId="2" applyNumberFormat="1" applyFont="1"/>
    <xf numFmtId="164" fontId="2" fillId="0" borderId="0" xfId="2" applyNumberFormat="1" applyFont="1" applyBorder="1" applyAlignment="1">
      <alignment vertical="center"/>
    </xf>
    <xf numFmtId="0" fontId="25" fillId="0" borderId="0" xfId="0" applyFont="1" applyBorder="1" applyAlignment="1"/>
    <xf numFmtId="164" fontId="2" fillId="0" borderId="2" xfId="2" applyNumberFormat="1" applyFont="1" applyFill="1" applyBorder="1" applyAlignment="1">
      <alignment vertical="center"/>
    </xf>
    <xf numFmtId="164" fontId="2" fillId="0" borderId="2" xfId="2" applyNumberFormat="1" applyFont="1" applyBorder="1" applyAlignment="1">
      <alignment vertical="center"/>
    </xf>
    <xf numFmtId="0" fontId="27" fillId="0" borderId="0" xfId="0" applyFont="1" applyAlignment="1">
      <alignment horizontal="center"/>
    </xf>
    <xf numFmtId="0" fontId="27" fillId="0" borderId="0" xfId="0" applyFont="1" applyFill="1" applyAlignment="1">
      <alignment vertical="center"/>
    </xf>
    <xf numFmtId="0" fontId="3" fillId="0" borderId="0" xfId="0" applyFont="1" applyFill="1" applyBorder="1" applyAlignment="1"/>
    <xf numFmtId="0" fontId="3" fillId="0" borderId="4" xfId="0" applyFont="1" applyFill="1" applyBorder="1" applyAlignment="1" applyProtection="1">
      <alignment horizontal="left" indent="1"/>
    </xf>
    <xf numFmtId="0" fontId="14" fillId="0" borderId="0" xfId="0" applyFont="1" applyBorder="1">
      <alignment vertical="top"/>
    </xf>
    <xf numFmtId="0" fontId="3" fillId="0" borderId="3" xfId="0" applyFont="1" applyFill="1" applyBorder="1" applyAlignment="1" applyProtection="1">
      <alignment horizontal="left" indent="1"/>
    </xf>
    <xf numFmtId="0" fontId="3" fillId="0" borderId="3" xfId="0" applyFont="1" applyFill="1" applyBorder="1" applyAlignment="1" applyProtection="1">
      <alignment horizontal="left" indent="1" shrinkToFit="1"/>
    </xf>
    <xf numFmtId="0" fontId="33" fillId="0" borderId="0" xfId="0" applyFont="1" applyAlignment="1"/>
    <xf numFmtId="0" fontId="33"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164" fontId="3" fillId="0" borderId="0" xfId="2" applyNumberFormat="1" applyFont="1" applyFill="1" applyBorder="1"/>
    <xf numFmtId="164" fontId="3" fillId="0" borderId="5" xfId="2" applyNumberFormat="1" applyFont="1" applyFill="1" applyBorder="1" applyAlignment="1">
      <alignment vertical="center"/>
    </xf>
    <xf numFmtId="0" fontId="3" fillId="0" borderId="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3" applyNumberFormat="1" applyFont="1" applyFill="1" applyBorder="1" applyAlignment="1">
      <alignment vertical="center"/>
    </xf>
    <xf numFmtId="0" fontId="2" fillId="0" borderId="1" xfId="0" applyFont="1" applyFill="1" applyBorder="1" applyAlignment="1">
      <alignment vertical="center"/>
    </xf>
    <xf numFmtId="164" fontId="2" fillId="0" borderId="0" xfId="2" applyNumberFormat="1" applyFont="1" applyFill="1" applyBorder="1" applyAlignment="1" applyProtection="1">
      <alignment horizontal="center" vertical="center"/>
    </xf>
    <xf numFmtId="10" fontId="2" fillId="0" borderId="0" xfId="3" applyNumberFormat="1" applyFont="1" applyFill="1" applyBorder="1" applyAlignment="1">
      <alignment vertical="center"/>
    </xf>
    <xf numFmtId="0" fontId="2" fillId="0" borderId="2" xfId="1" applyFont="1" applyFill="1" applyBorder="1" applyAlignment="1">
      <alignment vertical="center"/>
    </xf>
    <xf numFmtId="0" fontId="18" fillId="0" borderId="0" xfId="1" applyFont="1" applyFill="1" applyBorder="1" applyAlignment="1">
      <alignment vertical="center"/>
    </xf>
    <xf numFmtId="164" fontId="18" fillId="0" borderId="5" xfId="2" applyNumberFormat="1" applyFont="1" applyFill="1" applyBorder="1" applyAlignment="1">
      <alignment vertical="center"/>
    </xf>
    <xf numFmtId="166" fontId="2" fillId="0" borderId="0" xfId="3" applyNumberFormat="1" applyFont="1" applyFill="1" applyBorder="1" applyAlignment="1">
      <alignment vertical="center"/>
    </xf>
    <xf numFmtId="0" fontId="6" fillId="6" borderId="0" xfId="0" applyFont="1" applyFill="1" applyAlignment="1" applyProtection="1">
      <alignment vertical="center"/>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41" fontId="2" fillId="0" borderId="0" xfId="2" applyNumberFormat="1" applyFont="1" applyFill="1" applyAlignment="1" applyProtection="1">
      <alignment vertical="center"/>
      <protection locked="0"/>
    </xf>
    <xf numFmtId="41" fontId="2" fillId="6" borderId="0" xfId="2"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0" borderId="6" xfId="2" applyNumberFormat="1" applyFont="1" applyFill="1" applyBorder="1" applyAlignment="1" applyProtection="1">
      <alignment vertical="center"/>
      <protection locked="0"/>
    </xf>
    <xf numFmtId="41" fontId="2" fillId="6" borderId="6" xfId="2" applyNumberFormat="1" applyFont="1" applyFill="1" applyBorder="1" applyAlignment="1" applyProtection="1">
      <alignment vertical="center"/>
      <protection locked="0"/>
    </xf>
    <xf numFmtId="41" fontId="2" fillId="0" borderId="0" xfId="2" applyNumberFormat="1" applyFont="1" applyFill="1" applyBorder="1" applyAlignment="1" applyProtection="1">
      <alignment vertical="center"/>
      <protection locked="0"/>
    </xf>
    <xf numFmtId="41" fontId="2" fillId="0" borderId="7" xfId="2" applyNumberFormat="1" applyFont="1" applyFill="1" applyBorder="1" applyAlignment="1" applyProtection="1">
      <alignment vertical="center"/>
      <protection locked="0"/>
    </xf>
    <xf numFmtId="41" fontId="2" fillId="6" borderId="7" xfId="2" applyNumberFormat="1" applyFont="1" applyFill="1" applyBorder="1" applyAlignment="1" applyProtection="1">
      <alignment vertical="center"/>
      <protection locked="0"/>
    </xf>
    <xf numFmtId="41" fontId="2" fillId="6" borderId="0" xfId="2" applyNumberFormat="1" applyFont="1" applyFill="1" applyBorder="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41" fontId="16" fillId="0" borderId="0" xfId="2" applyNumberFormat="1" applyFont="1" applyFill="1" applyAlignment="1" applyProtection="1">
      <alignment vertical="center"/>
      <protection locked="0"/>
    </xf>
    <xf numFmtId="41" fontId="16" fillId="0" borderId="0" xfId="2" applyNumberFormat="1" applyFont="1" applyFill="1" applyBorder="1" applyAlignment="1" applyProtection="1">
      <alignment vertical="center"/>
      <protection locked="0"/>
    </xf>
    <xf numFmtId="41" fontId="16" fillId="6" borderId="0" xfId="2" applyNumberFormat="1" applyFont="1" applyFill="1" applyBorder="1" applyAlignment="1" applyProtection="1">
      <alignmen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41" fontId="2" fillId="0" borderId="0" xfId="2" applyNumberFormat="1" applyFont="1" applyFill="1" applyAlignment="1" applyProtection="1">
      <alignment horizontal="right" vertical="center"/>
      <protection locked="0"/>
    </xf>
    <xf numFmtId="41" fontId="2" fillId="6" borderId="0" xfId="2" applyNumberFormat="1" applyFont="1" applyFill="1" applyAlignment="1" applyProtection="1">
      <alignment horizontal="right" vertical="center"/>
      <protection locked="0"/>
    </xf>
    <xf numFmtId="41" fontId="16" fillId="6" borderId="0" xfId="2" applyNumberFormat="1" applyFont="1" applyFill="1" applyAlignment="1" applyProtection="1">
      <alignment vertical="center"/>
      <protection locked="0"/>
    </xf>
    <xf numFmtId="41" fontId="16" fillId="0" borderId="6" xfId="2" applyNumberFormat="1" applyFont="1" applyFill="1" applyBorder="1" applyAlignment="1" applyProtection="1">
      <alignment vertical="center"/>
      <protection locked="0"/>
    </xf>
    <xf numFmtId="41" fontId="16" fillId="6" borderId="6" xfId="2" applyNumberFormat="1" applyFont="1" applyFill="1" applyBorder="1" applyAlignment="1" applyProtection="1">
      <alignment vertical="center"/>
      <protection locked="0"/>
    </xf>
    <xf numFmtId="41" fontId="3" fillId="6" borderId="0" xfId="2"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protection locked="0"/>
    </xf>
    <xf numFmtId="41" fontId="6" fillId="0" borderId="0" xfId="2" applyNumberFormat="1" applyFont="1" applyFill="1" applyAlignment="1" applyProtection="1">
      <alignment horizontal="right" vertical="center"/>
      <protection locked="0"/>
    </xf>
    <xf numFmtId="41" fontId="16" fillId="0" borderId="7" xfId="2" applyNumberFormat="1" applyFont="1" applyFill="1" applyBorder="1" applyAlignment="1" applyProtection="1">
      <alignment vertical="center"/>
      <protection locked="0"/>
    </xf>
    <xf numFmtId="41" fontId="16" fillId="6" borderId="7" xfId="2" applyNumberFormat="1" applyFont="1" applyFill="1" applyBorder="1" applyAlignment="1" applyProtection="1">
      <alignment vertical="center"/>
      <protection locked="0"/>
    </xf>
    <xf numFmtId="164" fontId="6" fillId="0" borderId="0" xfId="2" applyNumberFormat="1" applyFont="1" applyFill="1" applyAlignment="1" applyProtection="1">
      <alignment vertical="center"/>
      <protection locked="0"/>
    </xf>
    <xf numFmtId="41" fontId="6" fillId="0" borderId="0" xfId="2" applyNumberFormat="1" applyFont="1" applyFill="1" applyAlignment="1" applyProtection="1">
      <alignment vertical="center"/>
      <protection locked="0"/>
    </xf>
    <xf numFmtId="41" fontId="6" fillId="6" borderId="0" xfId="2" applyNumberFormat="1" applyFont="1" applyFill="1" applyAlignment="1" applyProtection="1">
      <alignment vertical="center"/>
      <protection locked="0"/>
    </xf>
    <xf numFmtId="41" fontId="6" fillId="6" borderId="0" xfId="2" applyNumberFormat="1" applyFont="1" applyFill="1" applyAlignment="1" applyProtection="1">
      <alignment horizontal="right" vertical="center"/>
      <protection locked="0"/>
    </xf>
    <xf numFmtId="41" fontId="7" fillId="0" borderId="0" xfId="2" applyNumberFormat="1" applyFont="1" applyFill="1" applyAlignment="1" applyProtection="1">
      <alignment vertical="center"/>
      <protection locked="0"/>
    </xf>
    <xf numFmtId="41" fontId="7" fillId="6" borderId="0" xfId="2" applyNumberFormat="1" applyFont="1" applyFill="1" applyAlignment="1" applyProtection="1">
      <alignment vertical="center"/>
      <protection locked="0"/>
    </xf>
    <xf numFmtId="41" fontId="17" fillId="6" borderId="0" xfId="2" applyNumberFormat="1" applyFont="1" applyFill="1" applyAlignment="1" applyProtection="1">
      <alignment horizontal="right" vertical="center"/>
      <protection locked="0"/>
    </xf>
    <xf numFmtId="41" fontId="16" fillId="6" borderId="0" xfId="2" applyNumberFormat="1" applyFont="1" applyFill="1" applyAlignment="1" applyProtection="1">
      <alignment horizontal="right" vertical="center"/>
      <protection locked="0"/>
    </xf>
    <xf numFmtId="43" fontId="6" fillId="0" borderId="0" xfId="0" applyNumberFormat="1" applyFont="1" applyFill="1" applyAlignment="1" applyProtection="1">
      <alignment vertical="center"/>
      <protection locked="0"/>
    </xf>
    <xf numFmtId="41" fontId="17" fillId="6" borderId="0" xfId="2" applyNumberFormat="1" applyFont="1" applyFill="1" applyAlignment="1" applyProtection="1">
      <alignment vertical="center"/>
      <protection locked="0"/>
    </xf>
    <xf numFmtId="41" fontId="10" fillId="0" borderId="0" xfId="0" applyNumberFormat="1" applyFont="1" applyFill="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32" fillId="0" borderId="0" xfId="0" applyFont="1" applyFill="1" applyAlignment="1" applyProtection="1">
      <alignment vertical="center"/>
    </xf>
    <xf numFmtId="41" fontId="2" fillId="0" borderId="0" xfId="2" applyNumberFormat="1" applyFont="1" applyFill="1" applyAlignment="1" applyProtection="1">
      <alignment vertical="center"/>
    </xf>
    <xf numFmtId="41" fontId="2" fillId="6" borderId="0" xfId="2" applyNumberFormat="1" applyFont="1" applyFill="1" applyAlignment="1" applyProtection="1">
      <alignment vertical="center"/>
    </xf>
    <xf numFmtId="41" fontId="2" fillId="0" borderId="6" xfId="2" applyNumberFormat="1" applyFont="1" applyFill="1" applyBorder="1" applyAlignment="1" applyProtection="1">
      <alignment vertical="center"/>
    </xf>
    <xf numFmtId="41" fontId="2" fillId="0" borderId="0" xfId="2" applyNumberFormat="1" applyFont="1" applyFill="1" applyBorder="1" applyAlignment="1" applyProtection="1">
      <alignment vertical="center"/>
    </xf>
    <xf numFmtId="41" fontId="2" fillId="0" borderId="7" xfId="2" applyNumberFormat="1" applyFont="1" applyFill="1" applyBorder="1" applyAlignment="1" applyProtection="1">
      <alignment vertical="center"/>
    </xf>
    <xf numFmtId="41" fontId="2" fillId="6" borderId="0" xfId="2"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16" fillId="0" borderId="0" xfId="2" applyNumberFormat="1" applyFont="1" applyFill="1" applyAlignment="1" applyProtection="1">
      <alignment vertical="center"/>
    </xf>
    <xf numFmtId="41" fontId="16" fillId="0" borderId="0" xfId="2"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7" xfId="2"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2" applyNumberFormat="1" applyFont="1" applyFill="1" applyAlignment="1" applyProtection="1">
      <alignment horizontal="right" vertical="center"/>
    </xf>
    <xf numFmtId="41" fontId="3" fillId="6" borderId="0" xfId="2" applyNumberFormat="1" applyFont="1" applyFill="1" applyAlignment="1" applyProtection="1">
      <alignment vertical="center"/>
    </xf>
    <xf numFmtId="41" fontId="16" fillId="0" borderId="6" xfId="2" applyNumberFormat="1" applyFont="1" applyFill="1" applyBorder="1" applyAlignment="1" applyProtection="1">
      <alignment vertical="center"/>
    </xf>
    <xf numFmtId="41" fontId="3" fillId="6" borderId="0" xfId="2" applyNumberFormat="1" applyFont="1" applyFill="1" applyBorder="1" applyAlignment="1" applyProtection="1">
      <alignment horizontal="right" vertical="center"/>
    </xf>
    <xf numFmtId="41" fontId="6" fillId="0" borderId="0" xfId="2" applyNumberFormat="1" applyFont="1" applyFill="1" applyAlignment="1" applyProtection="1">
      <alignment horizontal="right" vertical="center"/>
    </xf>
    <xf numFmtId="41" fontId="16" fillId="0" borderId="7" xfId="2" applyNumberFormat="1" applyFont="1" applyFill="1" applyBorder="1" applyAlignment="1" applyProtection="1">
      <alignment vertical="center"/>
    </xf>
    <xf numFmtId="41" fontId="3" fillId="6" borderId="0" xfId="2" applyNumberFormat="1" applyFont="1" applyFill="1" applyAlignment="1" applyProtection="1">
      <alignment horizontal="right" vertical="center"/>
    </xf>
    <xf numFmtId="41" fontId="3" fillId="0" borderId="0" xfId="2" applyNumberFormat="1" applyFont="1" applyFill="1" applyAlignment="1" applyProtection="1">
      <alignment horizontal="right" vertical="center"/>
    </xf>
    <xf numFmtId="41" fontId="6" fillId="0" borderId="0" xfId="2" applyNumberFormat="1" applyFont="1" applyFill="1" applyAlignment="1" applyProtection="1">
      <alignment vertical="center"/>
    </xf>
    <xf numFmtId="41" fontId="6" fillId="6" borderId="0" xfId="2" applyNumberFormat="1" applyFont="1" applyFill="1" applyAlignment="1" applyProtection="1">
      <alignment vertical="center"/>
    </xf>
    <xf numFmtId="41" fontId="3" fillId="0" borderId="0" xfId="2" applyNumberFormat="1" applyFont="1" applyFill="1" applyAlignment="1" applyProtection="1">
      <alignment vertical="center"/>
    </xf>
    <xf numFmtId="41" fontId="3" fillId="0" borderId="0" xfId="2" applyNumberFormat="1" applyFont="1" applyFill="1" applyBorder="1" applyAlignment="1" applyProtection="1">
      <alignment horizontal="right" vertical="center"/>
    </xf>
    <xf numFmtId="41" fontId="3" fillId="0" borderId="0" xfId="2" applyNumberFormat="1" applyFont="1" applyFill="1" applyBorder="1" applyAlignment="1" applyProtection="1">
      <alignment vertical="center"/>
    </xf>
    <xf numFmtId="41" fontId="7" fillId="0" borderId="0" xfId="2" applyNumberFormat="1" applyFont="1" applyFill="1" applyAlignment="1" applyProtection="1">
      <alignment vertical="center"/>
    </xf>
    <xf numFmtId="41" fontId="7" fillId="6" borderId="0" xfId="2" applyNumberFormat="1" applyFont="1" applyFill="1" applyAlignment="1" applyProtection="1">
      <alignment vertical="center"/>
    </xf>
    <xf numFmtId="10" fontId="10" fillId="0" borderId="0" xfId="3" applyNumberFormat="1" applyFont="1" applyFill="1" applyAlignment="1" applyProtection="1">
      <alignment vertical="center"/>
    </xf>
    <xf numFmtId="10" fontId="10" fillId="6" borderId="0" xfId="3" applyNumberFormat="1" applyFont="1" applyFill="1" applyAlignment="1" applyProtection="1">
      <alignment vertical="center"/>
    </xf>
    <xf numFmtId="41" fontId="17" fillId="0" borderId="0" xfId="2" applyNumberFormat="1" applyFont="1" applyFill="1" applyAlignment="1" applyProtection="1">
      <alignment horizontal="right" vertical="center"/>
    </xf>
    <xf numFmtId="41" fontId="16" fillId="0" borderId="0" xfId="2" applyNumberFormat="1" applyFont="1" applyFill="1" applyAlignment="1" applyProtection="1">
      <alignment horizontal="right" vertical="center"/>
    </xf>
    <xf numFmtId="41" fontId="29" fillId="0" borderId="0" xfId="2" applyNumberFormat="1" applyFont="1" applyFill="1" applyAlignment="1" applyProtection="1">
      <alignment vertical="center"/>
    </xf>
    <xf numFmtId="41" fontId="29" fillId="6" borderId="0" xfId="2" applyNumberFormat="1" applyFont="1" applyFill="1" applyAlignment="1" applyProtection="1">
      <alignment vertical="center"/>
    </xf>
    <xf numFmtId="41" fontId="7" fillId="0" borderId="4" xfId="2" applyNumberFormat="1" applyFont="1" applyFill="1" applyBorder="1" applyAlignment="1" applyProtection="1">
      <alignment vertical="center"/>
    </xf>
    <xf numFmtId="41" fontId="7" fillId="6" borderId="4" xfId="2" applyNumberFormat="1" applyFont="1" applyFill="1" applyBorder="1" applyAlignment="1" applyProtection="1">
      <alignment vertical="center"/>
    </xf>
    <xf numFmtId="41" fontId="10" fillId="6" borderId="0" xfId="3" applyNumberFormat="1" applyFont="1" applyFill="1" applyAlignment="1" applyProtection="1">
      <alignment vertical="center"/>
    </xf>
    <xf numFmtId="41" fontId="10" fillId="0" borderId="0" xfId="3" applyNumberFormat="1" applyFont="1" applyFill="1" applyAlignment="1" applyProtection="1">
      <alignment vertical="center"/>
    </xf>
    <xf numFmtId="41" fontId="17" fillId="0" borderId="0" xfId="2" applyNumberFormat="1" applyFont="1" applyFill="1" applyAlignment="1" applyProtection="1">
      <alignment vertical="center"/>
    </xf>
    <xf numFmtId="41" fontId="17" fillId="6" borderId="0" xfId="2" applyNumberFormat="1" applyFont="1" applyFill="1" applyAlignment="1" applyProtection="1">
      <alignment vertical="center"/>
    </xf>
    <xf numFmtId="41" fontId="3" fillId="6" borderId="0" xfId="2"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2" applyNumberFormat="1" applyFont="1" applyFill="1" applyAlignment="1" applyProtection="1">
      <alignment horizontal="center" vertical="center"/>
    </xf>
    <xf numFmtId="41" fontId="7" fillId="6" borderId="0" xfId="2" applyNumberFormat="1" applyFont="1" applyFill="1" applyAlignment="1" applyProtection="1">
      <alignment horizontal="center" vertical="center"/>
    </xf>
    <xf numFmtId="41" fontId="10" fillId="6" borderId="0" xfId="0" applyNumberFormat="1" applyFont="1" applyFill="1" applyAlignment="1" applyProtection="1">
      <alignment vertical="center"/>
    </xf>
    <xf numFmtId="41" fontId="10" fillId="0" borderId="0" xfId="3" applyNumberFormat="1" applyFont="1" applyFill="1" applyAlignment="1" applyProtection="1">
      <alignment horizontal="center" vertical="center"/>
    </xf>
    <xf numFmtId="41" fontId="10" fillId="0" borderId="0" xfId="2" applyNumberFormat="1" applyFont="1" applyFill="1" applyAlignment="1" applyProtection="1">
      <alignment vertical="center"/>
    </xf>
    <xf numFmtId="41" fontId="10" fillId="6" borderId="0" xfId="2"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28" fillId="0" borderId="0" xfId="2" applyNumberFormat="1" applyFont="1" applyFill="1" applyAlignment="1" applyProtection="1">
      <alignment vertical="center"/>
    </xf>
    <xf numFmtId="41" fontId="28" fillId="6" borderId="0" xfId="2" applyNumberFormat="1" applyFont="1" applyFill="1" applyAlignment="1" applyProtection="1">
      <alignment vertical="center"/>
    </xf>
    <xf numFmtId="167"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5" fontId="7" fillId="0" borderId="0" xfId="0" applyNumberFormat="1" applyFont="1" applyFill="1" applyAlignment="1" applyProtection="1">
      <alignment vertical="center"/>
    </xf>
    <xf numFmtId="164" fontId="7" fillId="0" borderId="0" xfId="2" applyNumberFormat="1" applyFont="1" applyFill="1" applyAlignment="1" applyProtection="1">
      <alignment vertical="center"/>
    </xf>
    <xf numFmtId="10" fontId="7" fillId="0" borderId="0" xfId="3"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3"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2"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7"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31" fillId="0" borderId="0" xfId="0" applyFont="1" applyFill="1" applyAlignment="1" applyProtection="1">
      <alignment vertical="center"/>
    </xf>
    <xf numFmtId="41" fontId="3" fillId="0" borderId="0" xfId="0" applyNumberFormat="1" applyFont="1" applyFill="1" applyAlignment="1" applyProtection="1">
      <alignment vertical="center"/>
    </xf>
    <xf numFmtId="164" fontId="6" fillId="0" borderId="0" xfId="2" applyNumberFormat="1" applyFont="1" applyFill="1" applyAlignment="1" applyProtection="1">
      <alignment vertical="center"/>
    </xf>
    <xf numFmtId="0" fontId="41" fillId="7" borderId="0" xfId="0" applyFont="1" applyFill="1" applyAlignment="1" applyProtection="1">
      <alignment vertical="center"/>
    </xf>
    <xf numFmtId="0" fontId="42" fillId="7" borderId="0" xfId="0" applyFont="1" applyFill="1" applyAlignment="1" applyProtection="1">
      <alignment vertical="center"/>
    </xf>
    <xf numFmtId="41" fontId="42" fillId="7" borderId="0" xfId="0" applyNumberFormat="1" applyFont="1" applyFill="1" applyAlignment="1" applyProtection="1">
      <alignment vertical="center"/>
    </xf>
    <xf numFmtId="41" fontId="42" fillId="7" borderId="0" xfId="2" applyNumberFormat="1" applyFont="1" applyFill="1" applyAlignment="1" applyProtection="1">
      <alignment vertical="center"/>
    </xf>
    <xf numFmtId="41" fontId="42" fillId="7" borderId="0" xfId="3" applyNumberFormat="1" applyFont="1" applyFill="1" applyAlignment="1" applyProtection="1">
      <alignment vertical="center"/>
    </xf>
    <xf numFmtId="0" fontId="42" fillId="0" borderId="0" xfId="0" applyFont="1" applyFill="1" applyAlignment="1" applyProtection="1">
      <alignment vertical="center"/>
    </xf>
    <xf numFmtId="0" fontId="43" fillId="0" borderId="0" xfId="0" applyFont="1" applyFill="1" applyAlignment="1" applyProtection="1">
      <alignment vertical="center"/>
    </xf>
    <xf numFmtId="0" fontId="43" fillId="0" borderId="0" xfId="0" applyFont="1" applyFill="1" applyAlignment="1" applyProtection="1">
      <alignment horizontal="right" vertical="center"/>
    </xf>
    <xf numFmtId="41" fontId="43" fillId="0" borderId="0" xfId="0" applyNumberFormat="1" applyFont="1" applyFill="1" applyAlignment="1" applyProtection="1">
      <alignment vertical="center"/>
    </xf>
    <xf numFmtId="41" fontId="2" fillId="0" borderId="6" xfId="2" applyNumberFormat="1" applyFont="1" applyFill="1" applyBorder="1" applyAlignment="1" applyProtection="1">
      <alignment horizontal="center" vertical="center"/>
      <protection locked="0"/>
    </xf>
    <xf numFmtId="164" fontId="3" fillId="0" borderId="0" xfId="2" applyNumberFormat="1" applyFont="1" applyFill="1" applyBorder="1" applyAlignment="1" applyProtection="1">
      <alignment horizontal="center" vertical="center"/>
    </xf>
    <xf numFmtId="164" fontId="2" fillId="0" borderId="6" xfId="2" applyNumberFormat="1" applyFont="1" applyFill="1" applyBorder="1" applyAlignment="1" applyProtection="1">
      <alignment horizontal="center" vertical="center"/>
      <protection locked="0"/>
    </xf>
    <xf numFmtId="164" fontId="2" fillId="0" borderId="0" xfId="2" applyNumberFormat="1" applyFont="1" applyFill="1" applyBorder="1" applyAlignment="1" applyProtection="1">
      <alignment horizontal="center" vertical="center"/>
      <protection locked="0"/>
    </xf>
    <xf numFmtId="41" fontId="2" fillId="0" borderId="0" xfId="2" applyNumberFormat="1" applyFont="1" applyFill="1" applyBorder="1" applyAlignment="1" applyProtection="1">
      <alignment horizontal="center" vertical="center"/>
      <protection locked="0"/>
    </xf>
    <xf numFmtId="164" fontId="2" fillId="0" borderId="0" xfId="2" applyNumberFormat="1" applyFont="1" applyFill="1" applyAlignment="1" applyProtection="1">
      <alignment horizontal="center" vertical="center"/>
    </xf>
    <xf numFmtId="0" fontId="30" fillId="0" borderId="0" xfId="0" applyFont="1" applyFill="1" applyAlignment="1" applyProtection="1">
      <alignment vertical="center"/>
    </xf>
    <xf numFmtId="167" fontId="7" fillId="0" borderId="0" xfId="0" applyNumberFormat="1" applyFont="1" applyFill="1" applyAlignment="1" applyProtection="1">
      <alignment vertical="center"/>
    </xf>
    <xf numFmtId="0" fontId="34" fillId="0" borderId="0" xfId="0" applyFont="1" applyFill="1" applyAlignment="1" applyProtection="1">
      <alignment vertical="center"/>
    </xf>
    <xf numFmtId="0" fontId="35" fillId="0" borderId="0" xfId="0" applyFont="1" applyFill="1" applyAlignment="1" applyProtection="1">
      <alignment vertical="center"/>
    </xf>
    <xf numFmtId="41" fontId="34" fillId="0" borderId="0" xfId="0" applyNumberFormat="1" applyFont="1" applyFill="1" applyAlignment="1" applyProtection="1">
      <alignment vertical="center"/>
    </xf>
    <xf numFmtId="41" fontId="34" fillId="6" borderId="0" xfId="0" applyNumberFormat="1" applyFont="1" applyFill="1" applyAlignment="1" applyProtection="1">
      <alignment vertical="center"/>
    </xf>
    <xf numFmtId="0" fontId="36" fillId="0" borderId="0" xfId="0" applyFont="1" applyFill="1" applyAlignment="1" applyProtection="1">
      <alignment vertical="center"/>
    </xf>
    <xf numFmtId="0" fontId="37" fillId="0" borderId="0" xfId="0" applyFont="1" applyFill="1" applyAlignment="1" applyProtection="1">
      <alignment vertical="center"/>
    </xf>
    <xf numFmtId="41" fontId="36" fillId="0" borderId="0" xfId="0" applyNumberFormat="1" applyFont="1" applyFill="1" applyAlignment="1" applyProtection="1">
      <alignment vertical="center"/>
    </xf>
    <xf numFmtId="41" fontId="36" fillId="6" borderId="0" xfId="0" applyNumberFormat="1" applyFont="1" applyFill="1" applyAlignment="1" applyProtection="1">
      <alignment vertical="center"/>
    </xf>
    <xf numFmtId="0" fontId="2" fillId="0" borderId="0" xfId="0" applyFont="1" applyFill="1" applyAlignment="1" applyProtection="1">
      <alignment vertical="center"/>
      <protection locked="0"/>
    </xf>
    <xf numFmtId="167" fontId="6" fillId="6" borderId="0" xfId="0" applyNumberFormat="1" applyFont="1" applyFill="1" applyAlignment="1" applyProtection="1">
      <alignment vertical="center"/>
      <protection locked="0"/>
    </xf>
    <xf numFmtId="167" fontId="6" fillId="0" borderId="0" xfId="0" applyNumberFormat="1" applyFont="1" applyFill="1" applyAlignment="1" applyProtection="1">
      <alignment vertical="center"/>
      <protection locked="0"/>
    </xf>
    <xf numFmtId="167" fontId="7" fillId="0" borderId="0" xfId="2" applyNumberFormat="1" applyFont="1" applyFill="1" applyAlignment="1" applyProtection="1">
      <alignment vertical="center"/>
    </xf>
    <xf numFmtId="167" fontId="10" fillId="0" borderId="0" xfId="3" applyNumberFormat="1" applyFont="1" applyFill="1" applyAlignment="1" applyProtection="1">
      <alignment vertical="center"/>
    </xf>
    <xf numFmtId="167" fontId="7" fillId="6" borderId="0" xfId="0" applyNumberFormat="1" applyFont="1" applyFill="1" applyAlignment="1" applyProtection="1">
      <alignment vertical="center"/>
      <protection locked="0"/>
    </xf>
    <xf numFmtId="167" fontId="7" fillId="0" borderId="0" xfId="0" applyNumberFormat="1" applyFont="1" applyFill="1" applyAlignment="1" applyProtection="1">
      <alignment vertical="center"/>
      <protection locked="0"/>
    </xf>
    <xf numFmtId="167" fontId="7" fillId="6" borderId="0" xfId="2" applyNumberFormat="1" applyFont="1" applyFill="1" applyAlignment="1" applyProtection="1">
      <alignment vertical="center"/>
      <protection locked="0"/>
    </xf>
    <xf numFmtId="167" fontId="7" fillId="0" borderId="0" xfId="2" applyNumberFormat="1" applyFont="1" applyFill="1" applyAlignment="1" applyProtection="1">
      <alignment vertical="center"/>
      <protection locked="0"/>
    </xf>
    <xf numFmtId="167" fontId="10" fillId="6" borderId="0" xfId="3" applyNumberFormat="1" applyFont="1" applyFill="1" applyAlignment="1" applyProtection="1">
      <alignment vertical="center"/>
      <protection locked="0"/>
    </xf>
    <xf numFmtId="167" fontId="10" fillId="0" borderId="0" xfId="3" applyNumberFormat="1" applyFont="1" applyFill="1" applyAlignment="1" applyProtection="1">
      <alignment vertical="center"/>
      <protection locked="0"/>
    </xf>
    <xf numFmtId="167" fontId="6" fillId="6" borderId="0" xfId="3" applyNumberFormat="1" applyFont="1" applyFill="1" applyAlignment="1" applyProtection="1">
      <alignment vertical="center"/>
      <protection locked="0"/>
    </xf>
    <xf numFmtId="167" fontId="6" fillId="0" borderId="0" xfId="3" applyNumberFormat="1" applyFont="1" applyFill="1" applyAlignment="1" applyProtection="1">
      <alignment vertical="center"/>
      <protection locked="0"/>
    </xf>
    <xf numFmtId="0" fontId="6" fillId="7" borderId="0" xfId="0" applyFont="1" applyFill="1" applyAlignment="1" applyProtection="1">
      <alignment vertical="center"/>
      <protection locked="0"/>
    </xf>
    <xf numFmtId="0" fontId="45" fillId="0" borderId="0" xfId="0" applyFont="1" applyFill="1" applyAlignment="1" applyProtection="1">
      <alignment horizontal="left" vertical="center" indent="1"/>
    </xf>
    <xf numFmtId="41" fontId="45" fillId="0" borderId="0" xfId="2" applyNumberFormat="1" applyFont="1" applyFill="1" applyAlignment="1" applyProtection="1">
      <alignment vertical="center"/>
    </xf>
    <xf numFmtId="0" fontId="42" fillId="0" borderId="0" xfId="0" applyFont="1" applyFill="1" applyAlignment="1" applyProtection="1">
      <alignment vertical="center"/>
      <protection locked="0"/>
    </xf>
    <xf numFmtId="0" fontId="3" fillId="0" borderId="0" xfId="0" applyFont="1" applyFill="1" applyAlignment="1" applyProtection="1">
      <alignment horizontal="right" vertical="center"/>
    </xf>
    <xf numFmtId="41" fontId="2" fillId="0" borderId="0" xfId="0" applyNumberFormat="1" applyFont="1" applyFill="1" applyAlignment="1" applyProtection="1">
      <alignment horizontal="center" vertical="center"/>
    </xf>
    <xf numFmtId="0" fontId="24" fillId="0" borderId="0" xfId="0" applyFont="1" applyFill="1" applyAlignment="1" applyProtection="1">
      <alignment horizontal="left" vertical="center"/>
    </xf>
    <xf numFmtId="41" fontId="45" fillId="6" borderId="0" xfId="2" applyNumberFormat="1" applyFont="1" applyFill="1" applyAlignment="1" applyProtection="1">
      <alignment vertical="center"/>
    </xf>
    <xf numFmtId="41" fontId="43" fillId="6" borderId="0" xfId="0" applyNumberFormat="1" applyFont="1" applyFill="1" applyAlignment="1" applyProtection="1">
      <alignment vertical="center"/>
    </xf>
    <xf numFmtId="0" fontId="19" fillId="0" borderId="0" xfId="0" applyFont="1" applyFill="1" applyAlignment="1">
      <alignment vertical="center"/>
    </xf>
    <xf numFmtId="0" fontId="23" fillId="0" borderId="0" xfId="0" applyFont="1" applyFill="1" applyAlignment="1">
      <alignment vertical="center"/>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0" fontId="2" fillId="0" borderId="0" xfId="0" applyFont="1" applyFill="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0" xfId="1" applyFont="1" applyFill="1" applyBorder="1" applyAlignment="1">
      <alignment horizontal="left" vertical="center" indent="1"/>
    </xf>
    <xf numFmtId="43" fontId="10" fillId="0" borderId="0" xfId="2" applyFont="1" applyFill="1" applyAlignment="1" applyProtection="1">
      <alignment vertical="center"/>
    </xf>
    <xf numFmtId="41" fontId="22" fillId="0" borderId="0" xfId="0" applyNumberFormat="1" applyFont="1" applyFill="1" applyAlignment="1" applyProtection="1">
      <alignment vertical="center"/>
    </xf>
    <xf numFmtId="41" fontId="22" fillId="6" borderId="0" xfId="0" applyNumberFormat="1" applyFont="1" applyFill="1" applyAlignment="1" applyProtection="1">
      <alignment vertical="center"/>
    </xf>
    <xf numFmtId="41" fontId="2" fillId="6" borderId="0" xfId="0" applyNumberFormat="1" applyFont="1" applyFill="1" applyAlignment="1" applyProtection="1">
      <alignment vertical="center"/>
    </xf>
    <xf numFmtId="0" fontId="2" fillId="0" borderId="0" xfId="0" applyFont="1" applyFill="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5" borderId="0" xfId="0" applyFont="1" applyFill="1" applyAlignment="1">
      <alignment vertical="center"/>
    </xf>
    <xf numFmtId="0" fontId="6" fillId="0" borderId="0" xfId="0" applyFont="1" applyFill="1" applyAlignment="1">
      <alignment vertical="center"/>
    </xf>
    <xf numFmtId="164" fontId="6" fillId="0" borderId="0" xfId="2" applyNumberFormat="1" applyFont="1" applyFill="1" applyAlignment="1">
      <alignment vertical="center" wrapText="1"/>
    </xf>
    <xf numFmtId="164" fontId="6" fillId="0" borderId="0" xfId="2" applyNumberFormat="1" applyFont="1" applyAlignment="1">
      <alignment vertical="center" wrapText="1"/>
    </xf>
    <xf numFmtId="0" fontId="6" fillId="0" borderId="0" xfId="0" applyFont="1" applyAlignment="1">
      <alignment horizontal="left" vertical="center" wrapText="1"/>
    </xf>
    <xf numFmtId="164" fontId="6" fillId="0" borderId="0" xfId="2" applyNumberFormat="1" applyFont="1" applyFill="1" applyAlignment="1">
      <alignment vertical="center"/>
    </xf>
    <xf numFmtId="164" fontId="6" fillId="0" borderId="0" xfId="2" applyNumberFormat="1" applyFont="1" applyAlignment="1">
      <alignment vertical="center"/>
    </xf>
    <xf numFmtId="41" fontId="16" fillId="0" borderId="0" xfId="0" applyNumberFormat="1" applyFont="1" applyFill="1" applyAlignment="1" applyProtection="1">
      <alignment vertical="center"/>
    </xf>
    <xf numFmtId="41" fontId="16" fillId="6" borderId="0" xfId="0" applyNumberFormat="1" applyFont="1" applyFill="1" applyAlignment="1" applyProtection="1">
      <alignment vertical="center"/>
      <protection locked="0"/>
    </xf>
    <xf numFmtId="0" fontId="3" fillId="0" borderId="0" xfId="0" applyFont="1" applyFill="1" applyAlignment="1" applyProtection="1">
      <alignment horizontal="center" vertical="center"/>
    </xf>
    <xf numFmtId="41" fontId="42" fillId="0" borderId="0" xfId="0" applyNumberFormat="1" applyFont="1" applyFill="1" applyAlignment="1" applyProtection="1">
      <alignment vertical="center"/>
    </xf>
    <xf numFmtId="41" fontId="42" fillId="0" borderId="0" xfId="2" applyNumberFormat="1" applyFont="1" applyFill="1" applyAlignment="1" applyProtection="1">
      <alignment vertical="center"/>
    </xf>
    <xf numFmtId="41" fontId="42" fillId="6" borderId="0" xfId="2" applyNumberFormat="1" applyFont="1" applyFill="1" applyAlignment="1" applyProtection="1">
      <alignment vertical="center"/>
    </xf>
    <xf numFmtId="167" fontId="43" fillId="0" borderId="0" xfId="2" applyNumberFormat="1" applyFont="1" applyFill="1" applyAlignment="1" applyProtection="1">
      <alignment vertical="center"/>
    </xf>
    <xf numFmtId="41" fontId="42" fillId="0" borderId="0" xfId="2" applyNumberFormat="1" applyFont="1" applyFill="1" applyAlignment="1" applyProtection="1">
      <alignment vertical="center"/>
      <protection locked="0"/>
    </xf>
    <xf numFmtId="0" fontId="42" fillId="0" borderId="0" xfId="0" applyFont="1" applyFill="1" applyAlignment="1" applyProtection="1">
      <alignment horizontal="center" vertical="center"/>
      <protection locked="0"/>
    </xf>
    <xf numFmtId="41" fontId="2" fillId="6" borderId="6" xfId="2" applyNumberFormat="1" applyFont="1" applyFill="1" applyBorder="1" applyAlignment="1" applyProtection="1">
      <alignment vertical="center"/>
    </xf>
    <xf numFmtId="0" fontId="2" fillId="0" borderId="0" xfId="0" applyFont="1" applyFill="1" applyAlignment="1" applyProtection="1">
      <alignment horizontal="center" vertical="center"/>
      <protection locked="0"/>
    </xf>
    <xf numFmtId="0" fontId="31"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9" fillId="0" borderId="0" xfId="0" applyFont="1" applyFill="1" applyAlignment="1" applyProtection="1">
      <alignment horizontal="right" vertical="center"/>
    </xf>
    <xf numFmtId="164" fontId="9" fillId="0" borderId="0" xfId="2" applyNumberFormat="1" applyFont="1" applyFill="1" applyAlignment="1" applyProtection="1">
      <alignment vertical="center"/>
    </xf>
    <xf numFmtId="164" fontId="9" fillId="6" borderId="0" xfId="2" applyNumberFormat="1" applyFont="1" applyFill="1" applyAlignment="1" applyProtection="1">
      <alignment vertical="center"/>
    </xf>
    <xf numFmtId="41" fontId="42" fillId="6" borderId="0" xfId="2" applyNumberFormat="1" applyFont="1" applyFill="1" applyAlignment="1" applyProtection="1">
      <alignment vertical="center"/>
      <protection locked="0"/>
    </xf>
    <xf numFmtId="41" fontId="42" fillId="6" borderId="0" xfId="0" applyNumberFormat="1" applyFont="1" applyFill="1" applyAlignment="1" applyProtection="1">
      <alignment vertical="center"/>
    </xf>
    <xf numFmtId="41" fontId="16" fillId="6" borderId="0" xfId="0" applyNumberFormat="1" applyFont="1" applyFill="1" applyAlignment="1" applyProtection="1">
      <alignment vertical="center"/>
    </xf>
    <xf numFmtId="10" fontId="6" fillId="0" borderId="0" xfId="3" applyNumberFormat="1" applyFont="1" applyFill="1" applyAlignment="1" applyProtection="1">
      <alignment vertical="center"/>
      <protection locked="0"/>
    </xf>
    <xf numFmtId="164" fontId="17" fillId="0" borderId="0" xfId="2" applyNumberFormat="1" applyFont="1" applyFill="1" applyAlignment="1" applyProtection="1">
      <alignment vertical="center"/>
    </xf>
    <xf numFmtId="164" fontId="17" fillId="6" borderId="0" xfId="2" applyNumberFormat="1" applyFont="1" applyFill="1" applyAlignment="1" applyProtection="1">
      <alignment vertical="center"/>
    </xf>
    <xf numFmtId="164" fontId="6" fillId="6" borderId="0" xfId="2" applyNumberFormat="1" applyFont="1" applyFill="1" applyAlignment="1" applyProtection="1">
      <alignment vertical="center"/>
    </xf>
    <xf numFmtId="164" fontId="7" fillId="6" borderId="0" xfId="2" applyNumberFormat="1" applyFont="1" applyFill="1" applyAlignment="1" applyProtection="1">
      <alignment vertical="center"/>
    </xf>
    <xf numFmtId="10" fontId="6" fillId="6" borderId="0" xfId="3" applyNumberFormat="1" applyFont="1" applyFill="1" applyAlignment="1" applyProtection="1">
      <alignment vertical="center"/>
    </xf>
    <xf numFmtId="43" fontId="6" fillId="0" borderId="0" xfId="2" applyFont="1" applyFill="1" applyAlignment="1" applyProtection="1">
      <alignment vertical="center"/>
    </xf>
    <xf numFmtId="10" fontId="7" fillId="6" borderId="0" xfId="3" applyNumberFormat="1" applyFont="1" applyFill="1" applyAlignment="1" applyProtection="1">
      <alignment vertical="center"/>
    </xf>
    <xf numFmtId="41" fontId="43" fillId="0" borderId="0" xfId="2" applyNumberFormat="1" applyFont="1" applyFill="1" applyAlignment="1" applyProtection="1">
      <alignment vertical="center"/>
    </xf>
    <xf numFmtId="41" fontId="43" fillId="6" borderId="0" xfId="2" applyNumberFormat="1" applyFont="1" applyFill="1" applyAlignment="1" applyProtection="1">
      <alignment vertical="center"/>
    </xf>
    <xf numFmtId="10" fontId="9" fillId="0" borderId="0" xfId="3" applyNumberFormat="1" applyFont="1" applyFill="1" applyAlignment="1" applyProtection="1">
      <alignment vertical="center"/>
    </xf>
    <xf numFmtId="10" fontId="9" fillId="6" borderId="0" xfId="3" applyNumberFormat="1" applyFont="1" applyFill="1" applyAlignment="1" applyProtection="1">
      <alignment vertical="center"/>
    </xf>
    <xf numFmtId="0" fontId="3" fillId="6" borderId="0" xfId="0" applyFont="1" applyFill="1" applyBorder="1" applyAlignment="1" applyProtection="1">
      <alignment horizontal="center" vertical="center"/>
    </xf>
    <xf numFmtId="0" fontId="42" fillId="0" borderId="0" xfId="0" applyFont="1" applyFill="1" applyAlignment="1">
      <alignment vertical="center"/>
    </xf>
    <xf numFmtId="0" fontId="43" fillId="0" borderId="0" xfId="0" applyFont="1" applyFill="1" applyAlignment="1" applyProtection="1">
      <alignment vertical="center"/>
      <protection locked="0"/>
    </xf>
    <xf numFmtId="41" fontId="17" fillId="0" borderId="0" xfId="2" applyNumberFormat="1" applyFont="1" applyFill="1" applyAlignment="1" applyProtection="1">
      <alignment horizontal="right" vertical="center"/>
      <protection locked="0"/>
    </xf>
    <xf numFmtId="41" fontId="16" fillId="0" borderId="0" xfId="2" applyNumberFormat="1" applyFont="1" applyFill="1" applyAlignment="1" applyProtection="1">
      <alignment horizontal="right" vertical="center"/>
      <protection locked="0"/>
    </xf>
    <xf numFmtId="41" fontId="16" fillId="0" borderId="0" xfId="0" applyNumberFormat="1" applyFont="1" applyFill="1" applyAlignment="1" applyProtection="1">
      <alignment vertical="center"/>
      <protection locked="0"/>
    </xf>
    <xf numFmtId="164" fontId="6" fillId="6" borderId="0" xfId="2" applyNumberFormat="1" applyFont="1" applyFill="1" applyAlignment="1" applyProtection="1">
      <alignment vertical="center"/>
      <protection locked="0"/>
    </xf>
    <xf numFmtId="41" fontId="2" fillId="6" borderId="0" xfId="2" applyNumberFormat="1" applyFont="1" applyFill="1" applyAlignment="1" applyProtection="1">
      <alignment horizontal="right" vertical="center"/>
    </xf>
    <xf numFmtId="9" fontId="7" fillId="0" borderId="0" xfId="3" applyFont="1" applyFill="1" applyAlignment="1" applyProtection="1">
      <alignment vertical="center"/>
    </xf>
    <xf numFmtId="9" fontId="7" fillId="6" borderId="0" xfId="3" applyFont="1" applyFill="1" applyAlignment="1" applyProtection="1">
      <alignment vertical="center"/>
    </xf>
    <xf numFmtId="0" fontId="2" fillId="0" borderId="0" xfId="0" applyFont="1" applyFill="1" applyAlignment="1">
      <alignment vertical="center" shrinkToFit="1"/>
    </xf>
    <xf numFmtId="41" fontId="2" fillId="0" borderId="0" xfId="0" applyNumberFormat="1" applyFont="1" applyFill="1" applyAlignment="1" applyProtection="1">
      <alignment horizontal="center" vertical="center"/>
      <protection locked="0"/>
    </xf>
    <xf numFmtId="0" fontId="2" fillId="7" borderId="0" xfId="0" applyFont="1" applyFill="1" applyAlignment="1" applyProtection="1">
      <alignment horizontal="center" vertical="center"/>
    </xf>
    <xf numFmtId="10" fontId="2" fillId="0" borderId="0" xfId="3" applyNumberFormat="1" applyFont="1" applyFill="1" applyAlignment="1" applyProtection="1">
      <alignment horizontal="center" vertical="center"/>
    </xf>
    <xf numFmtId="0" fontId="2" fillId="7" borderId="0" xfId="0" applyFont="1" applyFill="1" applyAlignment="1" applyProtection="1">
      <alignment horizontal="center" vertical="center"/>
      <protection locked="0"/>
    </xf>
    <xf numFmtId="41" fontId="3" fillId="0" borderId="0" xfId="0" applyNumberFormat="1" applyFont="1" applyFill="1" applyAlignment="1" applyProtection="1">
      <alignment horizontal="center" vertical="center"/>
    </xf>
    <xf numFmtId="9" fontId="3" fillId="0" borderId="0" xfId="3" applyFont="1" applyFill="1" applyAlignment="1" applyProtection="1">
      <alignment horizontal="center" vertical="center"/>
    </xf>
    <xf numFmtId="0" fontId="20" fillId="0" borderId="0" xfId="0" applyFont="1" applyFill="1" applyAlignment="1" applyProtection="1">
      <alignment horizontal="center" vertical="center"/>
    </xf>
    <xf numFmtId="0" fontId="39" fillId="0" borderId="0" xfId="0" applyFont="1" applyFill="1" applyAlignment="1" applyProtection="1">
      <alignment horizontal="center" vertical="center"/>
    </xf>
    <xf numFmtId="164" fontId="18" fillId="0" borderId="0" xfId="0" applyNumberFormat="1" applyFont="1" applyFill="1" applyAlignment="1" applyProtection="1">
      <alignment horizontal="center" vertical="center"/>
      <protection locked="0"/>
    </xf>
    <xf numFmtId="41" fontId="2" fillId="7" borderId="0" xfId="0" applyNumberFormat="1" applyFont="1" applyFill="1" applyAlignment="1" applyProtection="1">
      <alignment vertical="center"/>
    </xf>
    <xf numFmtId="164" fontId="18" fillId="0" borderId="0" xfId="2" applyNumberFormat="1" applyFont="1" applyFill="1" applyAlignment="1" applyProtection="1">
      <alignment horizontal="center" vertical="center"/>
    </xf>
    <xf numFmtId="9" fontId="18" fillId="0" borderId="0" xfId="3" applyFont="1" applyFill="1" applyAlignment="1" applyProtection="1">
      <alignment horizontal="center" vertical="center"/>
    </xf>
    <xf numFmtId="41" fontId="17" fillId="0" borderId="0" xfId="2" applyNumberFormat="1" applyFont="1" applyFill="1" applyAlignment="1" applyProtection="1">
      <alignment vertical="center"/>
      <protection locked="0"/>
    </xf>
    <xf numFmtId="10" fontId="18" fillId="6" borderId="0" xfId="3" applyNumberFormat="1" applyFont="1" applyFill="1" applyBorder="1" applyAlignment="1">
      <alignment vertical="center"/>
    </xf>
    <xf numFmtId="0" fontId="30" fillId="6" borderId="0" xfId="0" applyFont="1" applyFill="1" applyBorder="1" applyAlignment="1" applyProtection="1">
      <alignment horizontal="left" vertical="center"/>
    </xf>
    <xf numFmtId="0" fontId="9" fillId="0" borderId="0" xfId="0" applyFont="1" applyFill="1" applyAlignment="1" applyProtection="1">
      <alignment horizontal="center" vertical="center"/>
    </xf>
    <xf numFmtId="41" fontId="7" fillId="0" borderId="0" xfId="2" applyNumberFormat="1" applyFont="1" applyFill="1" applyBorder="1" applyAlignment="1" applyProtection="1">
      <alignment vertical="center"/>
    </xf>
    <xf numFmtId="41" fontId="7" fillId="6" borderId="0" xfId="2" applyNumberFormat="1" applyFont="1" applyFill="1" applyBorder="1" applyAlignment="1" applyProtection="1">
      <alignment vertical="center"/>
    </xf>
    <xf numFmtId="9" fontId="40" fillId="6" borderId="0" xfId="3" applyFont="1" applyFill="1" applyAlignment="1" applyProtection="1">
      <alignment horizontal="center" vertical="center"/>
    </xf>
    <xf numFmtId="41" fontId="16" fillId="6" borderId="0" xfId="2" applyNumberFormat="1" applyFont="1" applyFill="1" applyAlignment="1" applyProtection="1">
      <alignment vertical="center"/>
    </xf>
    <xf numFmtId="10" fontId="18" fillId="0" borderId="0" xfId="3" applyNumberFormat="1" applyFont="1" applyFill="1" applyAlignment="1" applyProtection="1">
      <alignment vertical="center"/>
    </xf>
    <xf numFmtId="10" fontId="18" fillId="6"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10" fontId="42" fillId="0" borderId="0" xfId="3"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48" fillId="0" borderId="0" xfId="0" applyFont="1" applyFill="1" applyAlignment="1" applyProtection="1">
      <alignment horizontal="center" vertical="center"/>
    </xf>
    <xf numFmtId="0" fontId="44"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6" fillId="0" borderId="0" xfId="0" applyFont="1" applyFill="1" applyAlignment="1" applyProtection="1">
      <alignment vertical="center"/>
    </xf>
    <xf numFmtId="10" fontId="42" fillId="6" borderId="0" xfId="3"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168" fontId="6" fillId="6"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41" fontId="2" fillId="0" borderId="0" xfId="2" applyNumberFormat="1" applyFont="1" applyFill="1" applyAlignment="1" applyProtection="1">
      <alignment horizontal="center" vertical="center"/>
      <protection locked="0"/>
    </xf>
    <xf numFmtId="0" fontId="31"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19" fillId="0" borderId="0" xfId="0" applyFont="1" applyFill="1" applyAlignment="1">
      <alignment horizontal="center" vertical="center"/>
    </xf>
    <xf numFmtId="0" fontId="23" fillId="0" borderId="0" xfId="0" applyFont="1" applyFill="1" applyAlignment="1">
      <alignment horizontal="center" vertical="center"/>
    </xf>
    <xf numFmtId="0" fontId="19" fillId="0" borderId="0" xfId="0" applyFont="1" applyAlignment="1">
      <alignment horizontal="center" vertical="center" wrapText="1"/>
    </xf>
    <xf numFmtId="0" fontId="2" fillId="0" borderId="0" xfId="0" applyFont="1" applyFill="1" applyAlignment="1">
      <alignment vertical="center" wrapText="1"/>
    </xf>
    <xf numFmtId="0" fontId="19" fillId="0" borderId="0" xfId="0" applyFont="1" applyAlignment="1">
      <alignment horizontal="center" vertical="center"/>
    </xf>
    <xf numFmtId="0" fontId="19" fillId="0" borderId="0" xfId="0" applyFont="1" applyFill="1" applyBorder="1" applyAlignment="1">
      <alignment horizontal="center" vertical="center" wrapText="1"/>
    </xf>
    <xf numFmtId="0" fontId="2" fillId="0" borderId="0" xfId="0" applyFont="1" applyAlignment="1">
      <alignment vertical="top" wrapText="1"/>
    </xf>
    <xf numFmtId="0" fontId="19" fillId="0" borderId="0" xfId="0" applyFont="1" applyFill="1" applyAlignment="1">
      <alignment horizontal="center" vertical="center" wrapText="1"/>
    </xf>
    <xf numFmtId="0" fontId="46" fillId="0" borderId="0" xfId="0" applyFont="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top" wrapText="1"/>
    </xf>
    <xf numFmtId="0" fontId="6" fillId="0" borderId="0" xfId="0" applyFont="1" applyBorder="1" applyAlignment="1">
      <alignment vertical="top" wrapText="1"/>
    </xf>
    <xf numFmtId="0" fontId="3" fillId="0" borderId="0" xfId="0" applyFont="1" applyFill="1" applyAlignment="1">
      <alignment horizontal="center" vertical="center" wrapText="1"/>
    </xf>
    <xf numFmtId="0" fontId="6" fillId="0" borderId="0" xfId="0" applyFont="1" applyAlignment="1">
      <alignment vertical="center" wrapText="1"/>
    </xf>
    <xf numFmtId="0" fontId="41" fillId="7" borderId="0" xfId="0" applyFont="1" applyFill="1" applyAlignment="1" applyProtection="1">
      <alignment horizontal="center" vertical="center"/>
    </xf>
    <xf numFmtId="0" fontId="47" fillId="7" borderId="0" xfId="0" applyFont="1" applyFill="1" applyAlignment="1" applyProtection="1">
      <alignment horizontal="center" vertical="center"/>
      <protection locked="0"/>
    </xf>
    <xf numFmtId="0" fontId="31" fillId="0"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38"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2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9"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7" fillId="0" borderId="0" xfId="0" applyFont="1" applyFill="1" applyAlignment="1" applyProtection="1">
      <alignment horizontal="left" vertical="center" wrapText="1"/>
    </xf>
    <xf numFmtId="0" fontId="2" fillId="0" borderId="0" xfId="0" applyFont="1" applyFill="1" applyAlignment="1" applyProtection="1">
      <alignment vertical="center" shrinkToFit="1"/>
    </xf>
    <xf numFmtId="0" fontId="2" fillId="0" borderId="0" xfId="0" applyFont="1" applyFill="1" applyAlignment="1" applyProtection="1">
      <alignment horizontal="left" vertical="center"/>
    </xf>
    <xf numFmtId="0" fontId="7" fillId="0" borderId="0" xfId="0" applyFont="1" applyFill="1" applyAlignment="1" applyProtection="1">
      <alignment horizontal="center" vertical="center" textRotation="180"/>
    </xf>
  </cellXfs>
  <cellStyles count="5">
    <cellStyle name="Activity Heading" xfId="1" xr:uid="{00000000-0005-0000-0000-000000000000}"/>
    <cellStyle name="Comma" xfId="2" builtinId="3"/>
    <cellStyle name="Normal" xfId="0" builtinId="0"/>
    <cellStyle name="Percent" xfId="3" builtinId="5"/>
    <cellStyle name="Shading for Budget"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00523184550044"/>
          <c:y val="0.11658398950131239"/>
          <c:w val="0.77880157594904464"/>
          <c:h val="0.76270085272722365"/>
        </c:manualLayout>
      </c:layout>
      <c:lineChart>
        <c:grouping val="standard"/>
        <c:varyColors val="0"/>
        <c:ser>
          <c:idx val="0"/>
          <c:order val="0"/>
          <c:val>
            <c:numRef>
              <c:f>'Gen Fd Cover Sheets'!$C$16:$K$16</c:f>
              <c:numCache>
                <c:formatCode>_(* #,##0_);_(* \(#,##0\);_(* "-"??_);_(@_)</c:formatCode>
                <c:ptCount val="9"/>
                <c:pt idx="0">
                  <c:v>770180</c:v>
                </c:pt>
                <c:pt idx="1">
                  <c:v>860857</c:v>
                </c:pt>
                <c:pt idx="2">
                  <c:v>955899</c:v>
                </c:pt>
                <c:pt idx="3">
                  <c:v>941707</c:v>
                </c:pt>
                <c:pt idx="4">
                  <c:v>962572</c:v>
                </c:pt>
                <c:pt idx="5">
                  <c:v>995589</c:v>
                </c:pt>
                <c:pt idx="6">
                  <c:v>1029318</c:v>
                </c:pt>
                <c:pt idx="7">
                  <c:v>1065503</c:v>
                </c:pt>
                <c:pt idx="8">
                  <c:v>1104555</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307086614167E-2"/>
        </c:manualLayout>
      </c:layout>
      <c:overlay val="0"/>
    </c:title>
    <c:autoTitleDeleted val="0"/>
    <c:plotArea>
      <c:layout>
        <c:manualLayout>
          <c:layoutTarget val="inner"/>
          <c:xMode val="edge"/>
          <c:yMode val="edge"/>
          <c:x val="0.22700453907858967"/>
          <c:y val="0.17990508131504543"/>
          <c:w val="0.76827217160415562"/>
          <c:h val="0.53840924541128476"/>
        </c:manualLayout>
      </c:layout>
      <c:lineChart>
        <c:grouping val="standard"/>
        <c:varyColors val="0"/>
        <c:ser>
          <c:idx val="0"/>
          <c:order val="0"/>
          <c:val>
            <c:numRef>
              <c:f>'Fund Cover Sheets'!$C$102:$K$102</c:f>
              <c:numCache>
                <c:formatCode>_(* #,##0_);_(* \(#,##0\);_(* "-"??_);_(@_)</c:formatCode>
                <c:ptCount val="9"/>
                <c:pt idx="0">
                  <c:v>-15774</c:v>
                </c:pt>
                <c:pt idx="1">
                  <c:v>-21251</c:v>
                </c:pt>
                <c:pt idx="2">
                  <c:v>-28236</c:v>
                </c:pt>
                <c:pt idx="3">
                  <c:v>-24447</c:v>
                </c:pt>
                <c:pt idx="4">
                  <c:v>-20284</c:v>
                </c:pt>
                <c:pt idx="5">
                  <c:v>-14306</c:v>
                </c:pt>
                <c:pt idx="6">
                  <c:v>-8484</c:v>
                </c:pt>
                <c:pt idx="7">
                  <c:v>-2826</c:v>
                </c:pt>
                <c:pt idx="8">
                  <c:v>1220</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22044891648817871"/>
          <c:y val="0.17946974847050684"/>
          <c:w val="0.77955108351184565"/>
          <c:h val="0.53840924541128476"/>
        </c:manualLayout>
      </c:layout>
      <c:lineChart>
        <c:grouping val="standard"/>
        <c:varyColors val="0"/>
        <c:ser>
          <c:idx val="0"/>
          <c:order val="0"/>
          <c:val>
            <c:numRef>
              <c:f>'Fund Cover Sheets'!$C$140:$K$140</c:f>
              <c:numCache>
                <c:formatCode>_(* #,##0_);_(* \(#,##0\);_(* "-"??_);_(@_)</c:formatCode>
                <c:ptCount val="9"/>
                <c:pt idx="0">
                  <c:v>792224</c:v>
                </c:pt>
                <c:pt idx="1">
                  <c:v>698493</c:v>
                </c:pt>
                <c:pt idx="2">
                  <c:v>428536</c:v>
                </c:pt>
                <c:pt idx="3">
                  <c:v>630127</c:v>
                </c:pt>
                <c:pt idx="4">
                  <c:v>446243</c:v>
                </c:pt>
                <c:pt idx="5">
                  <c:v>268121</c:v>
                </c:pt>
                <c:pt idx="6">
                  <c:v>121651</c:v>
                </c:pt>
                <c:pt idx="7">
                  <c:v>26196</c:v>
                </c:pt>
                <c:pt idx="8">
                  <c:v>0</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22598612765719694"/>
          <c:y val="0.19204813943043303"/>
          <c:w val="0.7727917381706183"/>
          <c:h val="0.53840924541128476"/>
        </c:manualLayout>
      </c:layout>
      <c:lineChart>
        <c:grouping val="standard"/>
        <c:varyColors val="0"/>
        <c:ser>
          <c:idx val="0"/>
          <c:order val="0"/>
          <c:val>
            <c:numRef>
              <c:f>'Fund Cover Sheets'!$C$380:$K$380</c:f>
              <c:numCache>
                <c:formatCode>_(* #,##0_);_(* \(#,##0\);_(* "-"??_);_(@_)</c:formatCode>
                <c:ptCount val="9"/>
                <c:pt idx="0">
                  <c:v>1378030</c:v>
                </c:pt>
                <c:pt idx="1">
                  <c:v>1411053</c:v>
                </c:pt>
                <c:pt idx="2">
                  <c:v>705765</c:v>
                </c:pt>
                <c:pt idx="3">
                  <c:v>1072996</c:v>
                </c:pt>
                <c:pt idx="4">
                  <c:v>684578</c:v>
                </c:pt>
                <c:pt idx="5">
                  <c:v>459710</c:v>
                </c:pt>
                <c:pt idx="6">
                  <c:v>588773</c:v>
                </c:pt>
                <c:pt idx="7">
                  <c:v>862297</c:v>
                </c:pt>
                <c:pt idx="8">
                  <c:v>1544828</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22196428607124793"/>
          <c:y val="0.2598715361584828"/>
          <c:w val="0.77803571392875193"/>
          <c:h val="0.53840924541128476"/>
        </c:manualLayout>
      </c:layout>
      <c:lineChart>
        <c:grouping val="standard"/>
        <c:varyColors val="0"/>
        <c:ser>
          <c:idx val="0"/>
          <c:order val="0"/>
          <c:val>
            <c:numRef>
              <c:f>'Fund Cover Sheets'!$C$423:$K$423</c:f>
              <c:numCache>
                <c:formatCode>_(* #,##0_);_(* \(#,##0\);_(* "-"??_);_(@_)</c:formatCode>
                <c:ptCount val="9"/>
                <c:pt idx="0">
                  <c:v>250318</c:v>
                </c:pt>
                <c:pt idx="1">
                  <c:v>-278204</c:v>
                </c:pt>
                <c:pt idx="2">
                  <c:v>62362</c:v>
                </c:pt>
                <c:pt idx="3">
                  <c:v>206160</c:v>
                </c:pt>
                <c:pt idx="4">
                  <c:v>159745</c:v>
                </c:pt>
                <c:pt idx="5">
                  <c:v>74474</c:v>
                </c:pt>
                <c:pt idx="6">
                  <c:v>69474</c:v>
                </c:pt>
                <c:pt idx="7">
                  <c:v>-10526</c:v>
                </c:pt>
                <c:pt idx="8">
                  <c:v>-197221</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22197354984882209"/>
          <c:y val="0.17946974847050848"/>
          <c:w val="0.778026450151178"/>
          <c:h val="0.53840924541128476"/>
        </c:manualLayout>
      </c:layout>
      <c:lineChart>
        <c:grouping val="standard"/>
        <c:varyColors val="0"/>
        <c:ser>
          <c:idx val="0"/>
          <c:order val="0"/>
          <c:val>
            <c:numRef>
              <c:f>'Fund Cover Sheets'!$C$467:$K$467</c:f>
              <c:numCache>
                <c:formatCode>_(* #,##0_);_(* \(#,##0\);_(* "-"??_);_(@_)</c:formatCode>
                <c:ptCount val="9"/>
                <c:pt idx="0">
                  <c:v>445875</c:v>
                </c:pt>
                <c:pt idx="1">
                  <c:v>473852</c:v>
                </c:pt>
                <c:pt idx="2">
                  <c:v>312946</c:v>
                </c:pt>
                <c:pt idx="3">
                  <c:v>415872</c:v>
                </c:pt>
                <c:pt idx="4">
                  <c:v>317455</c:v>
                </c:pt>
                <c:pt idx="5">
                  <c:v>324135</c:v>
                </c:pt>
                <c:pt idx="6">
                  <c:v>333531</c:v>
                </c:pt>
                <c:pt idx="7">
                  <c:v>345095</c:v>
                </c:pt>
                <c:pt idx="8">
                  <c:v>355483</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22201220293137044"/>
          <c:y val="0.2062701961249819"/>
          <c:w val="0.77798779706863264"/>
          <c:h val="0.53840924541128476"/>
        </c:manualLayout>
      </c:layout>
      <c:lineChart>
        <c:grouping val="standard"/>
        <c:varyColors val="0"/>
        <c:ser>
          <c:idx val="0"/>
          <c:order val="0"/>
          <c:val>
            <c:numRef>
              <c:f>'Fund Cover Sheets'!$C$512:$K$512</c:f>
              <c:numCache>
                <c:formatCode>_(* #,##0_);_(* \(#,##0\);_(* "-"??_);_(@_)</c:formatCode>
                <c:ptCount val="9"/>
                <c:pt idx="0">
                  <c:v>489057</c:v>
                </c:pt>
                <c:pt idx="1">
                  <c:v>510355</c:v>
                </c:pt>
                <c:pt idx="2">
                  <c:v>474039</c:v>
                </c:pt>
                <c:pt idx="3">
                  <c:v>514719</c:v>
                </c:pt>
                <c:pt idx="4">
                  <c:v>471125</c:v>
                </c:pt>
                <c:pt idx="5">
                  <c:v>419202</c:v>
                </c:pt>
                <c:pt idx="6">
                  <c:v>353460</c:v>
                </c:pt>
                <c:pt idx="7">
                  <c:v>275514</c:v>
                </c:pt>
                <c:pt idx="8">
                  <c:v>181827</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22102294031427891"/>
          <c:y val="0.17946952610823144"/>
          <c:w val="0.77897705968572106"/>
          <c:h val="0.53840924541128476"/>
        </c:manualLayout>
      </c:layout>
      <c:lineChart>
        <c:grouping val="standard"/>
        <c:varyColors val="0"/>
        <c:ser>
          <c:idx val="0"/>
          <c:order val="0"/>
          <c:val>
            <c:numRef>
              <c:f>'Fund Cover Sheets'!$C$553:$K$553</c:f>
              <c:numCache>
                <c:formatCode>_(* #,##0_);_(* \(#,##0\);_(* "-"??_);_(@_)</c:formatCode>
                <c:ptCount val="9"/>
                <c:pt idx="0">
                  <c:v>19904</c:v>
                </c:pt>
                <c:pt idx="1">
                  <c:v>58443</c:v>
                </c:pt>
                <c:pt idx="2">
                  <c:v>31274</c:v>
                </c:pt>
                <c:pt idx="3">
                  <c:v>93593</c:v>
                </c:pt>
                <c:pt idx="4">
                  <c:v>68193</c:v>
                </c:pt>
                <c:pt idx="5">
                  <c:v>42793</c:v>
                </c:pt>
                <c:pt idx="6">
                  <c:v>17393</c:v>
                </c:pt>
                <c:pt idx="7">
                  <c:v>1893</c:v>
                </c:pt>
                <c:pt idx="8">
                  <c:v>250</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22479586722153416"/>
          <c:y val="0.17276935860404391"/>
          <c:w val="0.77520413277846589"/>
          <c:h val="0.53840924541128476"/>
        </c:manualLayout>
      </c:layout>
      <c:lineChart>
        <c:grouping val="standard"/>
        <c:varyColors val="0"/>
        <c:ser>
          <c:idx val="0"/>
          <c:order val="0"/>
          <c:val>
            <c:numRef>
              <c:f>'Fund Cover Sheets'!$C$590:$K$590</c:f>
              <c:numCache>
                <c:formatCode>_(* #,##0_);_(* \(#,##0\);_(* "-"??_);_(@_)</c:formatCode>
                <c:ptCount val="9"/>
                <c:pt idx="0">
                  <c:v>-495754</c:v>
                </c:pt>
                <c:pt idx="1">
                  <c:v>-459819</c:v>
                </c:pt>
                <c:pt idx="2">
                  <c:v>-1077343</c:v>
                </c:pt>
                <c:pt idx="3">
                  <c:v>-423969</c:v>
                </c:pt>
                <c:pt idx="4">
                  <c:v>-1115459</c:v>
                </c:pt>
                <c:pt idx="5">
                  <c:v>-1077309</c:v>
                </c:pt>
                <c:pt idx="6">
                  <c:v>-872082</c:v>
                </c:pt>
                <c:pt idx="7">
                  <c:v>-655954</c:v>
                </c:pt>
                <c:pt idx="8">
                  <c:v>-429832</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89886094335523"/>
          <c:y val="4.3242803205748997E-2"/>
        </c:manualLayout>
      </c:layout>
      <c:overlay val="0"/>
    </c:title>
    <c:autoTitleDeleted val="0"/>
    <c:plotArea>
      <c:layout>
        <c:manualLayout>
          <c:layoutTarget val="inner"/>
          <c:xMode val="edge"/>
          <c:yMode val="edge"/>
          <c:x val="0.22178090364387537"/>
          <c:y val="0.16606919109985624"/>
          <c:w val="0.77821909635623165"/>
          <c:h val="0.53840924541128476"/>
        </c:manualLayout>
      </c:layout>
      <c:lineChart>
        <c:grouping val="standard"/>
        <c:varyColors val="0"/>
        <c:ser>
          <c:idx val="0"/>
          <c:order val="0"/>
          <c:val>
            <c:numRef>
              <c:f>'Fund Cover Sheets'!$C$628:$K$628</c:f>
              <c:numCache>
                <c:formatCode>_(* #,##0_);_(* \(#,##0\);_(* "-"??_);_(@_)</c:formatCode>
                <c:ptCount val="9"/>
                <c:pt idx="0">
                  <c:v>97556</c:v>
                </c:pt>
                <c:pt idx="1">
                  <c:v>-681305</c:v>
                </c:pt>
                <c:pt idx="2">
                  <c:v>-1194280</c:v>
                </c:pt>
                <c:pt idx="3">
                  <c:v>-973703</c:v>
                </c:pt>
                <c:pt idx="4">
                  <c:v>-1320187</c:v>
                </c:pt>
                <c:pt idx="5">
                  <c:v>-1539088</c:v>
                </c:pt>
                <c:pt idx="6">
                  <c:v>-1752869</c:v>
                </c:pt>
                <c:pt idx="7">
                  <c:v>-1757224</c:v>
                </c:pt>
                <c:pt idx="8">
                  <c:v>-1759516</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22207940592791756"/>
          <c:y val="0.17946974847050723"/>
          <c:w val="0.77792058543304365"/>
          <c:h val="0.53840924541128476"/>
        </c:manualLayout>
      </c:layout>
      <c:lineChart>
        <c:grouping val="standard"/>
        <c:varyColors val="0"/>
        <c:ser>
          <c:idx val="0"/>
          <c:order val="0"/>
          <c:val>
            <c:numRef>
              <c:f>'Fund Cover Sheets'!$C$290:$K$290</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 val="autoZero"/>
        <c:auto val="0"/>
        <c:lblAlgn val="ctr"/>
        <c:lblOffset val="100"/>
        <c:tickMarkSkip val="1"/>
        <c:noMultiLvlLbl val="0"/>
      </c:catAx>
      <c:valAx>
        <c:axId val="103282560"/>
        <c:scaling>
          <c:orientation val="minMax"/>
        </c:scaling>
        <c:delete val="0"/>
        <c:axPos val="l"/>
        <c:numFmt formatCode="\$#,##0_);\(\$#,##0\)" sourceLinked="0"/>
        <c:majorTickMark val="out"/>
        <c:minorTickMark val="none"/>
        <c:tickLblPos val="nextTo"/>
        <c:txPr>
          <a:bodyPr rot="0" vert="horz"/>
          <a:lstStyle/>
          <a:p>
            <a:pPr>
              <a:defRPr/>
            </a:pPr>
            <a:endParaRPr lang="en-US"/>
          </a:p>
        </c:txPr>
        <c:crossAx val="10328102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45215616775879"/>
          <c:y val="0.11154855643044605"/>
          <c:w val="0.77754779357742465"/>
          <c:h val="0.79527559055120001"/>
        </c:manualLayout>
      </c:layout>
      <c:lineChart>
        <c:grouping val="standard"/>
        <c:varyColors val="0"/>
        <c:ser>
          <c:idx val="0"/>
          <c:order val="0"/>
          <c:val>
            <c:numRef>
              <c:f>'Gen Fd Cover Sheets'!$C$47:$K$47</c:f>
              <c:numCache>
                <c:formatCode>_(* #,##0_);_(* \(#,##0\);_(* "-"??_);_(@_)</c:formatCode>
                <c:ptCount val="9"/>
                <c:pt idx="0">
                  <c:v>399439</c:v>
                </c:pt>
                <c:pt idx="1">
                  <c:v>444035</c:v>
                </c:pt>
                <c:pt idx="2">
                  <c:v>490629</c:v>
                </c:pt>
                <c:pt idx="3">
                  <c:v>480315</c:v>
                </c:pt>
                <c:pt idx="4">
                  <c:v>531841</c:v>
                </c:pt>
                <c:pt idx="5">
                  <c:v>544462</c:v>
                </c:pt>
                <c:pt idx="6">
                  <c:v>564429</c:v>
                </c:pt>
                <c:pt idx="7">
                  <c:v>587468</c:v>
                </c:pt>
                <c:pt idx="8">
                  <c:v>608576</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5631141965249676"/>
                <c:y val="0.22309711286090494"/>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22286824555490894"/>
          <c:y val="0.17947000279788144"/>
          <c:w val="0.7770240258429234"/>
          <c:h val="0.53840924541128476"/>
        </c:manualLayout>
      </c:layout>
      <c:lineChart>
        <c:grouping val="standard"/>
        <c:varyColors val="0"/>
        <c:ser>
          <c:idx val="0"/>
          <c:order val="0"/>
          <c:val>
            <c:numRef>
              <c:f>'Fund Cover Sheets'!$C$184:$K$184</c:f>
              <c:numCache>
                <c:formatCode>_(* #,##0_);_(* \(#,##0\);_(* "-"??_);_(@_)</c:formatCode>
                <c:ptCount val="9"/>
                <c:pt idx="0">
                  <c:v>1355530</c:v>
                </c:pt>
                <c:pt idx="1">
                  <c:v>388897</c:v>
                </c:pt>
                <c:pt idx="2">
                  <c:v>-30817</c:v>
                </c:pt>
                <c:pt idx="3">
                  <c:v>554722</c:v>
                </c:pt>
                <c:pt idx="4">
                  <c:v>-71657</c:v>
                </c:pt>
                <c:pt idx="5">
                  <c:v>-32657</c:v>
                </c:pt>
                <c:pt idx="6">
                  <c:v>24610</c:v>
                </c:pt>
                <c:pt idx="7">
                  <c:v>101628</c:v>
                </c:pt>
                <c:pt idx="8">
                  <c:v>182180</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22286824555490894"/>
          <c:y val="0.17946974847050684"/>
          <c:w val="0.7770240258429234"/>
          <c:h val="0.53840924541128476"/>
        </c:manualLayout>
      </c:layout>
      <c:lineChart>
        <c:grouping val="standard"/>
        <c:varyColors val="0"/>
        <c:ser>
          <c:idx val="0"/>
          <c:order val="0"/>
          <c:val>
            <c:numRef>
              <c:f>'Fund Cover Sheets'!$C$254:$K$254</c:f>
              <c:numCache>
                <c:formatCode>_(* #,##0_);_(* \(#,##0\);_(* "-"??_);_(@_)</c:formatCode>
                <c:ptCount val="9"/>
                <c:pt idx="0">
                  <c:v>270407</c:v>
                </c:pt>
                <c:pt idx="1">
                  <c:v>357246</c:v>
                </c:pt>
                <c:pt idx="2">
                  <c:v>263801</c:v>
                </c:pt>
                <c:pt idx="3">
                  <c:v>382789</c:v>
                </c:pt>
                <c:pt idx="4">
                  <c:v>318431</c:v>
                </c:pt>
                <c:pt idx="5">
                  <c:v>313142</c:v>
                </c:pt>
                <c:pt idx="6">
                  <c:v>307852</c:v>
                </c:pt>
                <c:pt idx="7">
                  <c:v>298388</c:v>
                </c:pt>
                <c:pt idx="8">
                  <c:v>304733</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22207940592791756"/>
          <c:y val="0.17946974847050728"/>
          <c:w val="0.77792058543304365"/>
          <c:h val="0.53840924541128476"/>
        </c:manualLayout>
      </c:layout>
      <c:lineChart>
        <c:grouping val="standard"/>
        <c:varyColors val="0"/>
        <c:ser>
          <c:idx val="0"/>
          <c:order val="0"/>
          <c:val>
            <c:numRef>
              <c:f>'Fund Cover Sheets'!$C$334:$K$334</c:f>
              <c:numCache>
                <c:formatCode>_(* #,##0_);_(* \(#,##0\);_(* "-"??_);_(@_)</c:formatCode>
                <c:ptCount val="9"/>
                <c:pt idx="0">
                  <c:v>2826144</c:v>
                </c:pt>
                <c:pt idx="1">
                  <c:v>2584259</c:v>
                </c:pt>
                <c:pt idx="2">
                  <c:v>1952155</c:v>
                </c:pt>
                <c:pt idx="3">
                  <c:v>3480726</c:v>
                </c:pt>
                <c:pt idx="4">
                  <c:v>2410513</c:v>
                </c:pt>
                <c:pt idx="5">
                  <c:v>1932343</c:v>
                </c:pt>
                <c:pt idx="6">
                  <c:v>1932033</c:v>
                </c:pt>
                <c:pt idx="7">
                  <c:v>2190487</c:v>
                </c:pt>
                <c:pt idx="8">
                  <c:v>4414057</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21991279087532681"/>
          <c:y val="0.22514661347785564"/>
          <c:w val="0.7775003970307226"/>
          <c:h val="0.53840924541128476"/>
        </c:manualLayout>
      </c:layout>
      <c:lineChart>
        <c:grouping val="standard"/>
        <c:varyColors val="0"/>
        <c:ser>
          <c:idx val="0"/>
          <c:order val="0"/>
          <c:val>
            <c:numRef>
              <c:f>'Fund Cover Sheets'!$C$716:$K$716</c:f>
              <c:numCache>
                <c:formatCode>_(* #,##0_);_(* \(#,##0\);_(* "-"??_);_(@_)</c:formatCode>
                <c:ptCount val="9"/>
                <c:pt idx="0">
                  <c:v>12417105</c:v>
                </c:pt>
                <c:pt idx="1">
                  <c:v>10182982</c:v>
                </c:pt>
                <c:pt idx="2">
                  <c:v>6293309</c:v>
                </c:pt>
                <c:pt idx="3">
                  <c:v>11124689</c:v>
                </c:pt>
                <c:pt idx="4">
                  <c:v>7710131</c:v>
                </c:pt>
                <c:pt idx="5">
                  <c:v>6018232</c:v>
                </c:pt>
                <c:pt idx="6">
                  <c:v>4992947</c:v>
                </c:pt>
                <c:pt idx="7">
                  <c:v>4080583</c:v>
                </c:pt>
                <c:pt idx="8">
                  <c:v>5466745</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0.13842327257378204"/>
                <c:y val="0.19904545814214863"/>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22201220293137044"/>
          <c:y val="0.2062701961249819"/>
          <c:w val="0.77798779706863264"/>
          <c:h val="0.53840924541128476"/>
        </c:manualLayout>
      </c:layout>
      <c:lineChart>
        <c:grouping val="standard"/>
        <c:varyColors val="0"/>
        <c:ser>
          <c:idx val="0"/>
          <c:order val="0"/>
          <c:val>
            <c:numRef>
              <c:f>'Fund Cover Sheets'!$C$765:$K$765</c:f>
              <c:numCache>
                <c:formatCode>_(* #,##0_);_(* \(#,##0\);_(* "-"??_);_(@_)</c:formatCode>
                <c:ptCount val="9"/>
                <c:pt idx="0">
                  <c:v>508961</c:v>
                </c:pt>
                <c:pt idx="1">
                  <c:v>568798</c:v>
                </c:pt>
                <c:pt idx="2">
                  <c:v>505313</c:v>
                </c:pt>
                <c:pt idx="3">
                  <c:v>608312</c:v>
                </c:pt>
                <c:pt idx="4">
                  <c:v>539318</c:v>
                </c:pt>
                <c:pt idx="5">
                  <c:v>461995</c:v>
                </c:pt>
                <c:pt idx="6">
                  <c:v>370853</c:v>
                </c:pt>
                <c:pt idx="7">
                  <c:v>277407</c:v>
                </c:pt>
                <c:pt idx="8">
                  <c:v>182077</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254299916424E-2"/>
        </c:manualLayout>
      </c:layout>
      <c:overlay val="0"/>
    </c:title>
    <c:autoTitleDeleted val="0"/>
    <c:plotArea>
      <c:layout>
        <c:manualLayout>
          <c:layoutTarget val="inner"/>
          <c:xMode val="edge"/>
          <c:yMode val="edge"/>
          <c:x val="0.26503331314354939"/>
          <c:y val="0.17946974847050853"/>
          <c:w val="0.7349666868564505"/>
          <c:h val="0.53840924541128476"/>
        </c:manualLayout>
      </c:layout>
      <c:lineChart>
        <c:grouping val="standard"/>
        <c:varyColors val="0"/>
        <c:ser>
          <c:idx val="0"/>
          <c:order val="0"/>
          <c:val>
            <c:numRef>
              <c:f>'Fund Cover Sheets'!$C$812:$K$812</c:f>
              <c:numCache>
                <c:formatCode>_(* #,##0_);_(* \(#,##0\);_(* "-"??_);_(@_)</c:formatCode>
                <c:ptCount val="9"/>
                <c:pt idx="0">
                  <c:v>716282</c:v>
                </c:pt>
                <c:pt idx="1">
                  <c:v>793168</c:v>
                </c:pt>
                <c:pt idx="2">
                  <c:v>570312</c:v>
                </c:pt>
                <c:pt idx="3">
                  <c:v>694258</c:v>
                </c:pt>
                <c:pt idx="4">
                  <c:v>544325</c:v>
                </c:pt>
                <c:pt idx="5">
                  <c:v>552489</c:v>
                </c:pt>
                <c:pt idx="6">
                  <c:v>563368</c:v>
                </c:pt>
                <c:pt idx="7">
                  <c:v>576416</c:v>
                </c:pt>
                <c:pt idx="8">
                  <c:v>588287</c:v>
                </c:pt>
              </c:numCache>
            </c:numRef>
          </c:val>
          <c:smooth val="0"/>
          <c:extLst>
            <c:ext xmlns:c16="http://schemas.microsoft.com/office/drawing/2014/chart" uri="{C3380CC4-5D6E-409C-BE32-E72D297353CC}">
              <c16:uniqueId val="{00000000-A04E-4F7D-8FC0-7A4F56F28C23}"/>
            </c:ext>
          </c:extLst>
        </c:ser>
        <c:dLbls>
          <c:showLegendKey val="0"/>
          <c:showVal val="0"/>
          <c:showCatName val="0"/>
          <c:showSerName val="0"/>
          <c:showPercent val="0"/>
          <c:showBubbleSize val="0"/>
        </c:dLbls>
        <c:marker val="1"/>
        <c:smooth val="0"/>
        <c:axId val="111184896"/>
        <c:axId val="111203072"/>
      </c:lineChart>
      <c:catAx>
        <c:axId val="111184896"/>
        <c:scaling>
          <c:orientation val="minMax"/>
        </c:scaling>
        <c:delete val="0"/>
        <c:axPos val="b"/>
        <c:majorTickMark val="out"/>
        <c:minorTickMark val="none"/>
        <c:tickLblPos val="none"/>
        <c:crossAx val="111203072"/>
        <c:crosses val="autoZero"/>
        <c:auto val="0"/>
        <c:lblAlgn val="ctr"/>
        <c:lblOffset val="100"/>
        <c:tickMarkSkip val="1"/>
        <c:noMultiLvlLbl val="0"/>
      </c:catAx>
      <c:valAx>
        <c:axId val="111203072"/>
        <c:scaling>
          <c:orientation val="minMax"/>
        </c:scaling>
        <c:delete val="0"/>
        <c:axPos val="l"/>
        <c:numFmt formatCode="\$#,##0_);\(\$#,##0\)" sourceLinked="0"/>
        <c:majorTickMark val="out"/>
        <c:minorTickMark val="none"/>
        <c:tickLblPos val="nextTo"/>
        <c:txPr>
          <a:bodyPr rot="0" vert="horz"/>
          <a:lstStyle/>
          <a:p>
            <a:pPr>
              <a:defRPr/>
            </a:pPr>
            <a:endParaRPr lang="en-US"/>
          </a:p>
        </c:txPr>
        <c:crossAx val="1111848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3124705009261305"/>
          <c:y val="0.46392016505958139"/>
        </c:manualLayout>
      </c:layout>
      <c:overlay val="0"/>
    </c:title>
    <c:autoTitleDeleted val="0"/>
    <c:plotArea>
      <c:layout>
        <c:manualLayout>
          <c:layoutTarget val="inner"/>
          <c:xMode val="edge"/>
          <c:yMode val="edge"/>
          <c:x val="0.22178090364387537"/>
          <c:y val="0.16606919109985624"/>
          <c:w val="0.77821909635623165"/>
          <c:h val="0.53840924541128476"/>
        </c:manualLayout>
      </c:layout>
      <c:lineChart>
        <c:grouping val="standard"/>
        <c:varyColors val="0"/>
        <c:ser>
          <c:idx val="0"/>
          <c:order val="0"/>
          <c:val>
            <c:numRef>
              <c:f>'Fund Cover Sheets'!$C$664:$K$664</c:f>
              <c:numCache>
                <c:formatCode>_(* #,##0_);_(* \(#,##0\);_(* "-"??_);_(@_)</c:formatCode>
                <c:ptCount val="9"/>
                <c:pt idx="0">
                  <c:v>0</c:v>
                </c:pt>
                <c:pt idx="1">
                  <c:v>0</c:v>
                </c:pt>
                <c:pt idx="2">
                  <c:v>-10000</c:v>
                </c:pt>
                <c:pt idx="3">
                  <c:v>-10000</c:v>
                </c:pt>
                <c:pt idx="4">
                  <c:v>-45000</c:v>
                </c:pt>
                <c:pt idx="5">
                  <c:v>-55000</c:v>
                </c:pt>
                <c:pt idx="6">
                  <c:v>-65000</c:v>
                </c:pt>
                <c:pt idx="7">
                  <c:v>-75000</c:v>
                </c:pt>
                <c:pt idx="8">
                  <c:v>-85000</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55422379970497"/>
          <c:y val="8.3758656673940224E-2"/>
          <c:w val="0.77410116164820064"/>
          <c:h val="0.8156606851549757"/>
        </c:manualLayout>
      </c:layout>
      <c:lineChart>
        <c:grouping val="stacked"/>
        <c:varyColors val="0"/>
        <c:ser>
          <c:idx val="0"/>
          <c:order val="0"/>
          <c:val>
            <c:numRef>
              <c:f>'Gen Fd Cover Sheets'!$C$75:$K$75</c:f>
              <c:numCache>
                <c:formatCode>_(* #,##0_);_(* \(#,##0\);_(* "-"??_);_(@_)</c:formatCode>
                <c:ptCount val="9"/>
                <c:pt idx="0">
                  <c:v>4903925</c:v>
                </c:pt>
                <c:pt idx="1">
                  <c:v>5283553</c:v>
                </c:pt>
                <c:pt idx="2">
                  <c:v>5645116</c:v>
                </c:pt>
                <c:pt idx="3">
                  <c:v>5402040</c:v>
                </c:pt>
                <c:pt idx="4">
                  <c:v>5923525</c:v>
                </c:pt>
                <c:pt idx="5">
                  <c:v>6350388</c:v>
                </c:pt>
                <c:pt idx="6">
                  <c:v>6666505</c:v>
                </c:pt>
                <c:pt idx="7">
                  <c:v>7024826</c:v>
                </c:pt>
                <c:pt idx="8">
                  <c:v>7413386</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811355042197792"/>
          <c:y val="0.1640419947506562"/>
          <c:w val="0.77188649815220001"/>
          <c:h val="0.79527559055120001"/>
        </c:manualLayout>
      </c:layout>
      <c:lineChart>
        <c:grouping val="standard"/>
        <c:varyColors val="0"/>
        <c:ser>
          <c:idx val="0"/>
          <c:order val="0"/>
          <c:val>
            <c:numRef>
              <c:f>'Gen Fd Cover Sheets'!$C$108:$K$108</c:f>
              <c:numCache>
                <c:formatCode>_(* #,##0_);_(* \(#,##0\);_(* "-"??_);_(@_)</c:formatCode>
                <c:ptCount val="9"/>
                <c:pt idx="0">
                  <c:v>573958</c:v>
                </c:pt>
                <c:pt idx="1">
                  <c:v>629893</c:v>
                </c:pt>
                <c:pt idx="2">
                  <c:v>829646</c:v>
                </c:pt>
                <c:pt idx="3">
                  <c:v>916827</c:v>
                </c:pt>
                <c:pt idx="4">
                  <c:v>930389</c:v>
                </c:pt>
                <c:pt idx="5">
                  <c:v>989458</c:v>
                </c:pt>
                <c:pt idx="6">
                  <c:v>927949</c:v>
                </c:pt>
                <c:pt idx="7">
                  <c:v>962918</c:v>
                </c:pt>
                <c:pt idx="8">
                  <c:v>994382</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90385094280844"/>
          <c:y val="9.2177413634106503E-2"/>
          <c:w val="0.78985932633768163"/>
          <c:h val="0.80607414494849161"/>
        </c:manualLayout>
      </c:layout>
      <c:lineChart>
        <c:grouping val="standard"/>
        <c:varyColors val="0"/>
        <c:ser>
          <c:idx val="0"/>
          <c:order val="0"/>
          <c:val>
            <c:numRef>
              <c:f>'Gen Fd Cover Sheets'!$C$136:$K$136</c:f>
              <c:numCache>
                <c:formatCode>_(* #,##0_);_(* \(#,##0\);_(* "-"??_);_(@_)</c:formatCode>
                <c:ptCount val="9"/>
                <c:pt idx="0">
                  <c:v>2077502</c:v>
                </c:pt>
                <c:pt idx="1">
                  <c:v>1928581</c:v>
                </c:pt>
                <c:pt idx="2">
                  <c:v>2093255</c:v>
                </c:pt>
                <c:pt idx="3">
                  <c:v>2134209</c:v>
                </c:pt>
                <c:pt idx="4">
                  <c:v>2315961</c:v>
                </c:pt>
                <c:pt idx="5">
                  <c:v>2315900</c:v>
                </c:pt>
                <c:pt idx="6">
                  <c:v>2379788</c:v>
                </c:pt>
                <c:pt idx="7">
                  <c:v>2448726</c:v>
                </c:pt>
                <c:pt idx="8">
                  <c:v>2522151</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34598557698207"/>
          <c:y val="8.9162123965274245E-2"/>
          <c:w val="0.74765403742235759"/>
          <c:h val="0.82398155265190065"/>
        </c:manualLayout>
      </c:layout>
      <c:lineChart>
        <c:grouping val="standard"/>
        <c:varyColors val="0"/>
        <c:ser>
          <c:idx val="0"/>
          <c:order val="0"/>
          <c:val>
            <c:numRef>
              <c:f>'Gen Fd Cover Sheets'!$C$168:$K$168</c:f>
              <c:numCache>
                <c:formatCode>_(* #,##0_);_(* \(#,##0\);_(* "-"??_);_(@_)</c:formatCode>
                <c:ptCount val="9"/>
                <c:pt idx="0">
                  <c:v>5763401</c:v>
                </c:pt>
                <c:pt idx="1">
                  <c:v>6072995</c:v>
                </c:pt>
                <c:pt idx="2">
                  <c:v>6381251</c:v>
                </c:pt>
                <c:pt idx="3">
                  <c:v>6406007</c:v>
                </c:pt>
                <c:pt idx="4">
                  <c:v>5804950</c:v>
                </c:pt>
                <c:pt idx="5">
                  <c:v>6108815</c:v>
                </c:pt>
                <c:pt idx="6">
                  <c:v>6490414</c:v>
                </c:pt>
                <c:pt idx="7">
                  <c:v>6622910</c:v>
                </c:pt>
                <c:pt idx="8">
                  <c:v>6430688</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22249960629925289"/>
          <c:y val="0.22514661347785561"/>
          <c:w val="0.7775003970307226"/>
          <c:h val="0.53840924541128476"/>
        </c:manualLayout>
      </c:layout>
      <c:lineChart>
        <c:grouping val="standard"/>
        <c:varyColors val="0"/>
        <c:ser>
          <c:idx val="0"/>
          <c:order val="0"/>
          <c:val>
            <c:numRef>
              <c:f>'Fund Cover Sheets'!$C$32:$K$32</c:f>
              <c:numCache>
                <c:formatCode>_(* #,##0_);_(* \(#,##0\);_(* "-"??_);_(@_)</c:formatCode>
                <c:ptCount val="9"/>
                <c:pt idx="0">
                  <c:v>6214089</c:v>
                </c:pt>
                <c:pt idx="1">
                  <c:v>6496373</c:v>
                </c:pt>
                <c:pt idx="2">
                  <c:v>5468778</c:v>
                </c:pt>
                <c:pt idx="3">
                  <c:v>6496572</c:v>
                </c:pt>
                <c:pt idx="4">
                  <c:v>6496572</c:v>
                </c:pt>
                <c:pt idx="5">
                  <c:v>5920595</c:v>
                </c:pt>
                <c:pt idx="6">
                  <c:v>4877366</c:v>
                </c:pt>
                <c:pt idx="7">
                  <c:v>3332243</c:v>
                </c:pt>
                <c:pt idx="8">
                  <c:v>1720782</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3842327257378204"/>
                <c:y val="0.19904545814214852"/>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4635099001"/>
          <c:y val="4.9943330947267994E-2"/>
        </c:manualLayout>
      </c:layout>
      <c:overlay val="0"/>
      <c:spPr>
        <a:noFill/>
        <a:ln w="25400">
          <a:noFill/>
        </a:ln>
      </c:spPr>
    </c:title>
    <c:autoTitleDeleted val="0"/>
    <c:plotArea>
      <c:layout>
        <c:manualLayout>
          <c:layoutTarget val="inner"/>
          <c:xMode val="edge"/>
          <c:yMode val="edge"/>
          <c:x val="5.9299681139162924E-2"/>
          <c:y val="0.17946974847050687"/>
          <c:w val="0.92473125950364365"/>
          <c:h val="0.53840924541128476"/>
        </c:manualLayout>
      </c:layout>
      <c:lineChart>
        <c:grouping val="standard"/>
        <c:varyColors val="0"/>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5"/>
              <c:pt idx="0">
                <c:v>-534828</c:v>
              </c:pt>
              <c:pt idx="1">
                <c:v>-2374704</c:v>
              </c:pt>
              <c:pt idx="2">
                <c:v>270222</c:v>
              </c:pt>
              <c:pt idx="3">
                <c:v>-1131924</c:v>
              </c:pt>
              <c:pt idx="4">
                <c:v>-1068555</c:v>
              </c:pt>
            </c:numLit>
          </c:val>
          <c:smooth val="0"/>
          <c:extLst>
            <c:ext xmlns:c16="http://schemas.microsoft.com/office/drawing/2014/chart" uri="{C3380CC4-5D6E-409C-BE32-E72D297353CC}">
              <c16:uniqueId val="{00000000-950B-4671-A5EF-D8FADAF9B3FA}"/>
            </c:ext>
          </c:extLst>
        </c:ser>
        <c:dLbls>
          <c:showLegendKey val="0"/>
          <c:showVal val="0"/>
          <c:showCatName val="0"/>
          <c:showSerName val="0"/>
          <c:showPercent val="0"/>
          <c:showBubbleSize val="0"/>
        </c:dLbls>
        <c:marker val="1"/>
        <c:smooth val="0"/>
        <c:axId val="54573696"/>
        <c:axId val="54579584"/>
      </c:lineChart>
      <c:catAx>
        <c:axId val="5457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54579584"/>
        <c:crosses val="autoZero"/>
        <c:auto val="0"/>
        <c:lblAlgn val="ctr"/>
        <c:lblOffset val="100"/>
        <c:tickLblSkip val="1"/>
        <c:tickMarkSkip val="1"/>
        <c:noMultiLvlLbl val="0"/>
      </c:catAx>
      <c:valAx>
        <c:axId val="54579584"/>
        <c:scaling>
          <c:orientation val="minMax"/>
        </c:scaling>
        <c:delete val="0"/>
        <c:axPos val="l"/>
        <c:numFmt formatCode="\$#,##0_);\(\$#,##0\)" sourceLinked="0"/>
        <c:majorTickMark val="out"/>
        <c:minorTickMark val="none"/>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54573696"/>
        <c:crosses val="autoZero"/>
        <c:crossBetween val="between"/>
        <c:dispUnits>
          <c:builtInUnit val="thousands"/>
          <c:dispUnitsLbl>
            <c:layout>
              <c:manualLayout>
                <c:xMode val="edge"/>
                <c:yMode val="edge"/>
                <c:x val="2.5885558583107492E-2"/>
                <c:y val="0.28149829738948456"/>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21913566926583156"/>
          <c:y val="0.18616969361245544"/>
          <c:w val="0.78086433073416839"/>
          <c:h val="0.53840924541128476"/>
        </c:manualLayout>
      </c:layout>
      <c:lineChart>
        <c:grouping val="standard"/>
        <c:varyColors val="0"/>
        <c:ser>
          <c:idx val="0"/>
          <c:order val="0"/>
          <c:val>
            <c:numRef>
              <c:f>'Fund Cover Sheets'!$C$67:$K$67</c:f>
              <c:numCache>
                <c:formatCode>_(* #,##0_);_(* \(#,##0\);_(* "-"??_);_(@_)</c:formatCode>
                <c:ptCount val="9"/>
                <c:pt idx="0">
                  <c:v>14742</c:v>
                </c:pt>
                <c:pt idx="1">
                  <c:v>6556</c:v>
                </c:pt>
                <c:pt idx="2">
                  <c:v>9954</c:v>
                </c:pt>
                <c:pt idx="3">
                  <c:v>11102</c:v>
                </c:pt>
                <c:pt idx="4">
                  <c:v>-6494</c:v>
                </c:pt>
                <c:pt idx="5">
                  <c:v>-3439</c:v>
                </c:pt>
                <c:pt idx="6">
                  <c:v>-540</c:v>
                </c:pt>
                <c:pt idx="7">
                  <c:v>2195</c:v>
                </c:pt>
                <c:pt idx="8">
                  <c:v>3318</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xdr:col>
      <xdr:colOff>38100</xdr:colOff>
      <xdr:row>17</xdr:row>
      <xdr:rowOff>190500</xdr:rowOff>
    </xdr:from>
    <xdr:to>
      <xdr:col>10</xdr:col>
      <xdr:colOff>809625</xdr:colOff>
      <xdr:row>29</xdr:row>
      <xdr:rowOff>133350</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10</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10</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10</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180975</xdr:rowOff>
    </xdr:from>
    <xdr:to>
      <xdr:col>10</xdr:col>
      <xdr:colOff>838200</xdr:colOff>
      <xdr:row>150</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170</xdr:row>
      <xdr:rowOff>0</xdr:rowOff>
    </xdr:from>
    <xdr:to>
      <xdr:col>10</xdr:col>
      <xdr:colOff>819150</xdr:colOff>
      <xdr:row>183</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34</xdr:row>
      <xdr:rowOff>9525</xdr:rowOff>
    </xdr:from>
    <xdr:to>
      <xdr:col>10</xdr:col>
      <xdr:colOff>838200</xdr:colOff>
      <xdr:row>44</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70</xdr:row>
      <xdr:rowOff>0</xdr:rowOff>
    </xdr:from>
    <xdr:to>
      <xdr:col>2</xdr:col>
      <xdr:colOff>590550</xdr:colOff>
      <xdr:row>78</xdr:row>
      <xdr:rowOff>152400</xdr:rowOff>
    </xdr:to>
    <xdr:graphicFrame macro="">
      <xdr:nvGraphicFramePr>
        <xdr:cNvPr id="1447074" name="Chart 3">
          <a:extLst>
            <a:ext uri="{FF2B5EF4-FFF2-40B4-BE49-F238E27FC236}">
              <a16:creationId xmlns:a16="http://schemas.microsoft.com/office/drawing/2014/main" id="{00000000-0008-0000-0600-0000A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190500</xdr:rowOff>
    </xdr:from>
    <xdr:to>
      <xdr:col>10</xdr:col>
      <xdr:colOff>838200</xdr:colOff>
      <xdr:row>79</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104</xdr:row>
      <xdr:rowOff>123825</xdr:rowOff>
    </xdr:from>
    <xdr:to>
      <xdr:col>10</xdr:col>
      <xdr:colOff>838200</xdr:colOff>
      <xdr:row>114</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141</xdr:row>
      <xdr:rowOff>38100</xdr:rowOff>
    </xdr:from>
    <xdr:to>
      <xdr:col>10</xdr:col>
      <xdr:colOff>828675</xdr:colOff>
      <xdr:row>152</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28575</xdr:colOff>
      <xdr:row>383</xdr:row>
      <xdr:rowOff>66675</xdr:rowOff>
    </xdr:from>
    <xdr:to>
      <xdr:col>10</xdr:col>
      <xdr:colOff>790575</xdr:colOff>
      <xdr:row>393</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424</xdr:row>
      <xdr:rowOff>152400</xdr:rowOff>
    </xdr:from>
    <xdr:to>
      <xdr:col>10</xdr:col>
      <xdr:colOff>830580</xdr:colOff>
      <xdr:row>434</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469</xdr:row>
      <xdr:rowOff>22860</xdr:rowOff>
    </xdr:from>
    <xdr:to>
      <xdr:col>10</xdr:col>
      <xdr:colOff>853440</xdr:colOff>
      <xdr:row>478</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xdr:colOff>
      <xdr:row>515</xdr:row>
      <xdr:rowOff>85725</xdr:rowOff>
    </xdr:from>
    <xdr:to>
      <xdr:col>10</xdr:col>
      <xdr:colOff>828675</xdr:colOff>
      <xdr:row>525</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555</xdr:row>
      <xdr:rowOff>152400</xdr:rowOff>
    </xdr:from>
    <xdr:to>
      <xdr:col>10</xdr:col>
      <xdr:colOff>800100</xdr:colOff>
      <xdr:row>565</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592</xdr:row>
      <xdr:rowOff>9525</xdr:rowOff>
    </xdr:from>
    <xdr:to>
      <xdr:col>10</xdr:col>
      <xdr:colOff>830580</xdr:colOff>
      <xdr:row>601</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630</xdr:row>
      <xdr:rowOff>28575</xdr:rowOff>
    </xdr:from>
    <xdr:to>
      <xdr:col>10</xdr:col>
      <xdr:colOff>809625</xdr:colOff>
      <xdr:row>639</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247650</xdr:colOff>
      <xdr:row>291</xdr:row>
      <xdr:rowOff>95250</xdr:rowOff>
    </xdr:from>
    <xdr:to>
      <xdr:col>10</xdr:col>
      <xdr:colOff>790575</xdr:colOff>
      <xdr:row>301</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30480</xdr:colOff>
      <xdr:row>185</xdr:row>
      <xdr:rowOff>114300</xdr:rowOff>
    </xdr:from>
    <xdr:to>
      <xdr:col>10</xdr:col>
      <xdr:colOff>853440</xdr:colOff>
      <xdr:row>197</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255</xdr:row>
      <xdr:rowOff>0</xdr:rowOff>
    </xdr:from>
    <xdr:to>
      <xdr:col>10</xdr:col>
      <xdr:colOff>809625</xdr:colOff>
      <xdr:row>264</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337</xdr:row>
      <xdr:rowOff>0</xdr:rowOff>
    </xdr:from>
    <xdr:to>
      <xdr:col>10</xdr:col>
      <xdr:colOff>790575</xdr:colOff>
      <xdr:row>346</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28575</xdr:colOff>
      <xdr:row>720</xdr:row>
      <xdr:rowOff>9525</xdr:rowOff>
    </xdr:from>
    <xdr:to>
      <xdr:col>10</xdr:col>
      <xdr:colOff>838200</xdr:colOff>
      <xdr:row>730</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9525</xdr:colOff>
      <xdr:row>768</xdr:row>
      <xdr:rowOff>85725</xdr:rowOff>
    </xdr:from>
    <xdr:to>
      <xdr:col>10</xdr:col>
      <xdr:colOff>828675</xdr:colOff>
      <xdr:row>779</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815</xdr:row>
      <xdr:rowOff>95250</xdr:rowOff>
    </xdr:from>
    <xdr:to>
      <xdr:col>10</xdr:col>
      <xdr:colOff>838200</xdr:colOff>
      <xdr:row>824</xdr:row>
      <xdr:rowOff>85725</xdr:rowOff>
    </xdr:to>
    <xdr:graphicFrame macro="">
      <xdr:nvGraphicFramePr>
        <xdr:cNvPr id="1447091" name="Chart 4">
          <a:extLst>
            <a:ext uri="{FF2B5EF4-FFF2-40B4-BE49-F238E27FC236}">
              <a16:creationId xmlns:a16="http://schemas.microsoft.com/office/drawing/2014/main" id="{00000000-0008-0000-0600-0000B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9525</xdr:colOff>
      <xdr:row>666</xdr:row>
      <xdr:rowOff>28575</xdr:rowOff>
    </xdr:from>
    <xdr:to>
      <xdr:col>10</xdr:col>
      <xdr:colOff>809625</xdr:colOff>
      <xdr:row>675</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
  <sheetViews>
    <sheetView zoomScale="75" zoomScaleNormal="75" zoomScaleSheetLayoutView="85" workbookViewId="0">
      <selection activeCell="M11" sqref="M11"/>
    </sheetView>
  </sheetViews>
  <sheetFormatPr defaultColWidth="10.44140625" defaultRowHeight="13.8"/>
  <cols>
    <col min="1" max="1" width="3.6640625" style="1" customWidth="1"/>
    <col min="2" max="2" width="25.5546875" style="1" customWidth="1"/>
    <col min="3" max="11" width="12.6640625" style="1" customWidth="1"/>
    <col min="12" max="16384" width="10.44140625" style="1"/>
  </cols>
  <sheetData>
    <row r="1" spans="1:11" s="61" customFormat="1" ht="24" customHeight="1">
      <c r="B1" s="464" t="s">
        <v>693</v>
      </c>
      <c r="C1" s="464"/>
      <c r="D1" s="464"/>
      <c r="E1" s="464"/>
      <c r="F1" s="464"/>
      <c r="G1" s="464"/>
      <c r="H1" s="464"/>
      <c r="I1" s="464"/>
      <c r="J1" s="464"/>
      <c r="K1" s="464"/>
    </row>
    <row r="2" spans="1:11" s="61" customFormat="1" ht="24" customHeight="1">
      <c r="B2" s="465" t="s">
        <v>694</v>
      </c>
      <c r="C2" s="465"/>
      <c r="D2" s="465"/>
      <c r="E2" s="465"/>
      <c r="F2" s="465"/>
      <c r="G2" s="465"/>
      <c r="H2" s="465"/>
      <c r="I2" s="465"/>
      <c r="J2" s="465"/>
      <c r="K2" s="465"/>
    </row>
    <row r="3" spans="1:11" s="61" customFormat="1" ht="24" customHeight="1">
      <c r="B3" s="464" t="s">
        <v>1304</v>
      </c>
      <c r="C3" s="464"/>
      <c r="D3" s="464"/>
      <c r="E3" s="464"/>
      <c r="F3" s="464"/>
      <c r="G3" s="464"/>
      <c r="H3" s="464"/>
      <c r="I3" s="464"/>
      <c r="J3" s="464"/>
      <c r="K3" s="464"/>
    </row>
    <row r="4" spans="1:11" ht="15" customHeight="1">
      <c r="A4" s="62"/>
    </row>
    <row r="5" spans="1:11" ht="15" customHeight="1">
      <c r="A5" s="62"/>
      <c r="B5" s="62"/>
      <c r="C5" s="64"/>
      <c r="E5" s="64" t="s">
        <v>864</v>
      </c>
    </row>
    <row r="6" spans="1:11" ht="15" customHeight="1">
      <c r="C6" s="63" t="s">
        <v>234</v>
      </c>
      <c r="D6" s="64" t="s">
        <v>790</v>
      </c>
      <c r="E6" s="64" t="s">
        <v>637</v>
      </c>
      <c r="F6" s="64" t="s">
        <v>864</v>
      </c>
      <c r="G6" s="64" t="s">
        <v>895</v>
      </c>
      <c r="H6" s="64" t="s">
        <v>896</v>
      </c>
      <c r="I6" s="64" t="s">
        <v>897</v>
      </c>
      <c r="J6" s="64" t="s">
        <v>898</v>
      </c>
      <c r="K6" s="64" t="s">
        <v>899</v>
      </c>
    </row>
    <row r="7" spans="1:11" ht="15" customHeight="1" thickBot="1">
      <c r="B7" s="65" t="s">
        <v>695</v>
      </c>
      <c r="C7" s="66" t="s">
        <v>1</v>
      </c>
      <c r="D7" s="66" t="s">
        <v>1</v>
      </c>
      <c r="E7" s="66" t="s">
        <v>605</v>
      </c>
      <c r="F7" s="66" t="s">
        <v>19</v>
      </c>
      <c r="G7" s="66" t="str">
        <f>'Fund Cover Sheets'!$M$1</f>
        <v>Adopted</v>
      </c>
      <c r="H7" s="66" t="s">
        <v>19</v>
      </c>
      <c r="I7" s="66" t="s">
        <v>19</v>
      </c>
      <c r="J7" s="66" t="s">
        <v>19</v>
      </c>
      <c r="K7" s="66" t="s">
        <v>19</v>
      </c>
    </row>
    <row r="8" spans="1:11" ht="15" customHeight="1">
      <c r="B8" s="67"/>
      <c r="C8" s="68"/>
      <c r="D8" s="68"/>
      <c r="E8" s="68"/>
      <c r="F8" s="68"/>
      <c r="G8" s="68"/>
      <c r="H8" s="68"/>
      <c r="I8" s="68"/>
      <c r="J8" s="68"/>
    </row>
    <row r="9" spans="1:11" ht="24" customHeight="1">
      <c r="A9" s="69" t="s">
        <v>696</v>
      </c>
      <c r="C9" s="2">
        <f>'Budget Detail FY 2017-24'!L56</f>
        <v>15010788</v>
      </c>
      <c r="D9" s="2">
        <f>'Budget Detail FY 2017-24'!M56</f>
        <v>15502203</v>
      </c>
      <c r="E9" s="2">
        <f>'Budget Detail FY 2017-24'!N56</f>
        <v>15642962</v>
      </c>
      <c r="F9" s="2">
        <f>'Budget Detail FY 2017-24'!O56</f>
        <v>16281304</v>
      </c>
      <c r="G9" s="2">
        <f>'Budget Detail FY 2017-24'!P56</f>
        <v>16469238</v>
      </c>
      <c r="H9" s="2">
        <f>'Budget Detail FY 2017-24'!Q56</f>
        <v>16728635</v>
      </c>
      <c r="I9" s="2">
        <f>'Budget Detail FY 2017-24'!R56</f>
        <v>17015174</v>
      </c>
      <c r="J9" s="2">
        <f>'Budget Detail FY 2017-24'!S56</f>
        <v>17167228</v>
      </c>
      <c r="K9" s="2">
        <f>'Budget Detail FY 2017-24'!T56</f>
        <v>17462277</v>
      </c>
    </row>
    <row r="10" spans="1:11" ht="15" customHeight="1">
      <c r="A10" s="69"/>
      <c r="C10" s="2"/>
      <c r="D10" s="2"/>
      <c r="E10" s="2"/>
      <c r="F10" s="2"/>
      <c r="G10" s="2"/>
      <c r="H10" s="2"/>
      <c r="I10" s="2"/>
      <c r="J10" s="2"/>
      <c r="K10" s="2"/>
    </row>
    <row r="11" spans="1:11" ht="24" customHeight="1">
      <c r="A11" s="69" t="s">
        <v>697</v>
      </c>
      <c r="C11" s="2"/>
      <c r="D11" s="2"/>
      <c r="E11" s="2"/>
      <c r="F11" s="2"/>
      <c r="G11" s="2"/>
      <c r="H11" s="2"/>
      <c r="I11" s="2"/>
      <c r="J11" s="2"/>
      <c r="K11" s="2"/>
    </row>
    <row r="12" spans="1:11" ht="24" customHeight="1">
      <c r="A12" s="69"/>
      <c r="B12" s="1" t="s">
        <v>624</v>
      </c>
      <c r="C12" s="2">
        <f>'Budget Detail FY 2017-24'!L315</f>
        <v>508122</v>
      </c>
      <c r="D12" s="2">
        <f>'Budget Detail FY 2017-24'!M315</f>
        <v>504253</v>
      </c>
      <c r="E12" s="2">
        <f>'Budget Detail FY 2017-24'!N315</f>
        <v>535817</v>
      </c>
      <c r="F12" s="2">
        <f>'Budget Detail FY 2017-24'!O315</f>
        <v>552422</v>
      </c>
      <c r="G12" s="2">
        <f>'Budget Detail FY 2017-24'!P315</f>
        <v>534904</v>
      </c>
      <c r="H12" s="2">
        <f>'Budget Detail FY 2017-24'!Q315</f>
        <v>540666</v>
      </c>
      <c r="I12" s="2">
        <f>'Budget Detail FY 2017-24'!R315</f>
        <v>547318</v>
      </c>
      <c r="J12" s="2">
        <f>'Budget Detail FY 2017-24'!S315</f>
        <v>555290</v>
      </c>
      <c r="K12" s="2">
        <f>'Budget Detail FY 2017-24'!T315</f>
        <v>564988</v>
      </c>
    </row>
    <row r="13" spans="1:11" ht="24" customHeight="1">
      <c r="A13" s="70"/>
      <c r="B13" s="67" t="s">
        <v>698</v>
      </c>
      <c r="C13" s="71">
        <f>'Budget Detail FY 2017-24'!L782</f>
        <v>1787614</v>
      </c>
      <c r="D13" s="71">
        <f>'Budget Detail FY 2017-24'!M782</f>
        <v>1997807</v>
      </c>
      <c r="E13" s="71">
        <f>'Budget Detail FY 2017-24'!N782</f>
        <v>2123014</v>
      </c>
      <c r="F13" s="71">
        <f>'Budget Detail FY 2017-24'!O782</f>
        <v>2160021</v>
      </c>
      <c r="G13" s="71">
        <f>'Budget Detail FY 2017-24'!P782</f>
        <v>2244988</v>
      </c>
      <c r="H13" s="71">
        <f>'Budget Detail FY 2017-24'!Q782</f>
        <v>2394617</v>
      </c>
      <c r="I13" s="71">
        <f>'Budget Detail FY 2017-24'!R782</f>
        <v>2459977</v>
      </c>
      <c r="J13" s="71">
        <f>'Budget Detail FY 2017-24'!S782</f>
        <v>2539239</v>
      </c>
      <c r="K13" s="71">
        <f>'Budget Detail FY 2017-24'!T782</f>
        <v>2607317</v>
      </c>
    </row>
    <row r="14" spans="1:11" ht="24" customHeight="1">
      <c r="A14" s="70"/>
      <c r="B14" s="67" t="s">
        <v>525</v>
      </c>
      <c r="C14" s="71">
        <f>'Budget Detail FY 2017-24'!L741</f>
        <v>130863</v>
      </c>
      <c r="D14" s="71">
        <f>'Budget Detail FY 2017-24'!M741</f>
        <v>135200</v>
      </c>
      <c r="E14" s="71">
        <f>'Budget Detail FY 2017-24'!N741</f>
        <v>714113</v>
      </c>
      <c r="F14" s="71">
        <f>'Budget Detail FY 2017-24'!O741</f>
        <v>868659</v>
      </c>
      <c r="G14" s="71">
        <f>'Budget Detail FY 2017-24'!P741</f>
        <v>58435</v>
      </c>
      <c r="H14" s="71">
        <f>'Budget Detail FY 2017-24'!Q741</f>
        <v>19579</v>
      </c>
      <c r="I14" s="71">
        <f>'Budget Detail FY 2017-24'!R741</f>
        <v>0</v>
      </c>
      <c r="J14" s="71">
        <f>'Budget Detail FY 2017-24'!S741</f>
        <v>0</v>
      </c>
      <c r="K14" s="71">
        <f>'Budget Detail FY 2017-24'!T741</f>
        <v>28305</v>
      </c>
    </row>
    <row r="15" spans="1:11" ht="24" customHeight="1">
      <c r="A15" s="70"/>
      <c r="B15" s="67" t="s">
        <v>450</v>
      </c>
      <c r="C15" s="71">
        <f>'Budget Detail FY 2017-24'!L953</f>
        <v>215360</v>
      </c>
      <c r="D15" s="71">
        <f>'Budget Detail FY 2017-24'!M953</f>
        <v>198294</v>
      </c>
      <c r="E15" s="71">
        <f>'Budget Detail FY 2017-24'!N953</f>
        <v>246261</v>
      </c>
      <c r="F15" s="71">
        <f>'Budget Detail FY 2017-24'!O953</f>
        <v>198918</v>
      </c>
      <c r="G15" s="71">
        <f>'Budget Detail FY 2017-24'!P953</f>
        <v>232318</v>
      </c>
      <c r="H15" s="71">
        <f>'Budget Detail FY 2017-24'!Q953</f>
        <v>260762</v>
      </c>
      <c r="I15" s="71">
        <f>'Budget Detail FY 2017-24'!R953</f>
        <v>429192</v>
      </c>
      <c r="J15" s="71">
        <f>'Budget Detail FY 2017-24'!S953</f>
        <v>439922</v>
      </c>
      <c r="K15" s="71">
        <f>'Budget Detail FY 2017-24'!T953</f>
        <v>450920</v>
      </c>
    </row>
    <row r="16" spans="1:11" ht="24" customHeight="1">
      <c r="A16" s="70"/>
      <c r="B16" s="67" t="s">
        <v>452</v>
      </c>
      <c r="C16" s="71">
        <f>'Budget Detail FY 2017-24'!L978</f>
        <v>68763</v>
      </c>
      <c r="D16" s="71">
        <f>'Budget Detail FY 2017-24'!M978</f>
        <v>876186</v>
      </c>
      <c r="E16" s="71">
        <f>'Budget Detail FY 2017-24'!N978</f>
        <v>80000</v>
      </c>
      <c r="F16" s="71">
        <f>'Budget Detail FY 2017-24'!O978</f>
        <v>78417</v>
      </c>
      <c r="G16" s="71">
        <f>'Budget Detail FY 2017-24'!P978</f>
        <v>80000</v>
      </c>
      <c r="H16" s="71">
        <f>'Budget Detail FY 2017-24'!Q978</f>
        <v>80000</v>
      </c>
      <c r="I16" s="71">
        <f>'Budget Detail FY 2017-24'!R978</f>
        <v>80000</v>
      </c>
      <c r="J16" s="71">
        <f>'Budget Detail FY 2017-24'!S978</f>
        <v>80000</v>
      </c>
      <c r="K16" s="71">
        <f>'Budget Detail FY 2017-24'!T978</f>
        <v>80000</v>
      </c>
    </row>
    <row r="17" spans="1:11" ht="24" customHeight="1">
      <c r="A17" s="70"/>
      <c r="B17" s="67" t="s">
        <v>1218</v>
      </c>
      <c r="C17" s="71">
        <f>'Fund Cover Sheets'!C655</f>
        <v>0</v>
      </c>
      <c r="D17" s="71">
        <f>'Fund Cover Sheets'!D655</f>
        <v>0</v>
      </c>
      <c r="E17" s="71">
        <f>'Fund Cover Sheets'!E655</f>
        <v>0</v>
      </c>
      <c r="F17" s="71">
        <f>'Fund Cover Sheets'!F655</f>
        <v>0</v>
      </c>
      <c r="G17" s="71">
        <f>'Fund Cover Sheets'!G655</f>
        <v>0</v>
      </c>
      <c r="H17" s="71">
        <f>'Fund Cover Sheets'!H655</f>
        <v>0</v>
      </c>
      <c r="I17" s="71">
        <f>'Fund Cover Sheets'!I655</f>
        <v>0</v>
      </c>
      <c r="J17" s="71">
        <f>'Fund Cover Sheets'!J655</f>
        <v>0</v>
      </c>
      <c r="K17" s="71">
        <f>'Fund Cover Sheets'!K655</f>
        <v>0</v>
      </c>
    </row>
    <row r="18" spans="1:11" ht="24" customHeight="1">
      <c r="A18" s="70"/>
      <c r="B18" s="67" t="s">
        <v>699</v>
      </c>
      <c r="C18" s="71">
        <f>'Budget Detail FY 2017-24'!L278</f>
        <v>29263</v>
      </c>
      <c r="D18" s="71">
        <f>'Budget Detail FY 2017-24'!M278</f>
        <v>9366</v>
      </c>
      <c r="E18" s="71">
        <f>'Budget Detail FY 2017-24'!N278</f>
        <v>13381</v>
      </c>
      <c r="F18" s="71">
        <f>'Budget Detail FY 2017-24'!O278</f>
        <v>13381</v>
      </c>
      <c r="G18" s="71">
        <f>'Budget Detail FY 2017-24'!P278</f>
        <v>13381</v>
      </c>
      <c r="H18" s="71">
        <f>'Budget Detail FY 2017-24'!Q278</f>
        <v>13381</v>
      </c>
      <c r="I18" s="71">
        <f>'Budget Detail FY 2017-24'!R278</f>
        <v>13381</v>
      </c>
      <c r="J18" s="71">
        <f>'Budget Detail FY 2017-24'!S278</f>
        <v>13381</v>
      </c>
      <c r="K18" s="71">
        <f>'Budget Detail FY 2017-24'!T278</f>
        <v>13381</v>
      </c>
    </row>
    <row r="19" spans="1:11" ht="24" customHeight="1">
      <c r="A19" s="70"/>
      <c r="B19" s="67" t="s">
        <v>700</v>
      </c>
      <c r="C19" s="2">
        <f>'Budget Detail FY 2017-24'!L295</f>
        <v>20456</v>
      </c>
      <c r="D19" s="2">
        <f>'Budget Detail FY 2017-24'!M295</f>
        <v>13480</v>
      </c>
      <c r="E19" s="2">
        <f>'Budget Detail FY 2017-24'!N295</f>
        <v>15637</v>
      </c>
      <c r="F19" s="2">
        <f>'Budget Detail FY 2017-24'!O295</f>
        <v>15639</v>
      </c>
      <c r="G19" s="2">
        <f>'Budget Detail FY 2017-24'!P295</f>
        <v>18140</v>
      </c>
      <c r="H19" s="2">
        <f>'Budget Detail FY 2017-24'!Q295</f>
        <v>21304</v>
      </c>
      <c r="I19" s="2">
        <f>'Budget Detail FY 2017-24'!R295</f>
        <v>21304</v>
      </c>
      <c r="J19" s="2">
        <f>'Budget Detail FY 2017-24'!S295</f>
        <v>21304</v>
      </c>
      <c r="K19" s="2">
        <f>'Budget Detail FY 2017-24'!T295</f>
        <v>21304</v>
      </c>
    </row>
    <row r="20" spans="1:11" ht="15" customHeight="1">
      <c r="A20" s="70"/>
      <c r="B20" s="67"/>
      <c r="C20" s="2"/>
      <c r="D20" s="2"/>
      <c r="E20" s="2"/>
      <c r="F20" s="2"/>
      <c r="G20" s="2"/>
      <c r="H20" s="2"/>
      <c r="I20" s="2"/>
      <c r="J20" s="2"/>
      <c r="K20" s="2"/>
    </row>
    <row r="21" spans="1:11" ht="24" customHeight="1">
      <c r="A21" s="69" t="s">
        <v>701</v>
      </c>
      <c r="B21" s="62"/>
      <c r="C21" s="2">
        <f>'Budget Detail FY 2017-24'!L505</f>
        <v>321064</v>
      </c>
      <c r="D21" s="2">
        <f>'Budget Detail FY 2017-24'!M505</f>
        <v>321275</v>
      </c>
      <c r="E21" s="2">
        <f>'Budget Detail FY 2017-24'!N505</f>
        <v>324725</v>
      </c>
      <c r="F21" s="2">
        <f>'Budget Detail FY 2017-24'!O505</f>
        <v>324725</v>
      </c>
      <c r="G21" s="2">
        <f>'Budget Detail FY 2017-24'!P505</f>
        <v>324025</v>
      </c>
      <c r="H21" s="2">
        <f>'Budget Detail FY 2017-24'!Q505</f>
        <v>323225</v>
      </c>
      <c r="I21" s="2">
        <f>'Budget Detail FY 2017-24'!R505</f>
        <v>329375</v>
      </c>
      <c r="J21" s="2">
        <f>'Budget Detail FY 2017-24'!S505</f>
        <v>330075</v>
      </c>
      <c r="K21" s="2">
        <f>'Budget Detail FY 2017-24'!T505</f>
        <v>0</v>
      </c>
    </row>
    <row r="22" spans="1:11" ht="15" customHeight="1">
      <c r="A22" s="69"/>
      <c r="B22" s="62"/>
      <c r="C22" s="2"/>
      <c r="D22" s="2"/>
      <c r="E22" s="2"/>
      <c r="F22" s="2"/>
      <c r="G22" s="2"/>
      <c r="H22" s="2"/>
      <c r="I22" s="2"/>
      <c r="J22" s="2"/>
      <c r="K22" s="2"/>
    </row>
    <row r="23" spans="1:11" ht="24" customHeight="1">
      <c r="A23" s="69" t="s">
        <v>702</v>
      </c>
      <c r="B23" s="62"/>
      <c r="C23" s="71"/>
      <c r="D23" s="71"/>
      <c r="E23" s="71"/>
      <c r="F23" s="71"/>
      <c r="G23" s="71"/>
      <c r="H23" s="71"/>
      <c r="I23" s="71"/>
      <c r="J23" s="71"/>
      <c r="K23" s="71"/>
    </row>
    <row r="24" spans="1:11" ht="24" customHeight="1">
      <c r="A24" s="70"/>
      <c r="B24" s="67" t="s">
        <v>822</v>
      </c>
      <c r="C24" s="2">
        <f>'Budget Detail FY 2017-24'!L447</f>
        <v>637389</v>
      </c>
      <c r="D24" s="2">
        <f>'Budget Detail FY 2017-24'!M447</f>
        <v>441978</v>
      </c>
      <c r="E24" s="2">
        <f>'Budget Detail FY 2017-24'!N447</f>
        <v>370502</v>
      </c>
      <c r="F24" s="2">
        <f>'Budget Detail FY 2017-24'!O447</f>
        <v>447731</v>
      </c>
      <c r="G24" s="2">
        <f>'Budget Detail FY 2017-24'!P447</f>
        <v>161112</v>
      </c>
      <c r="H24" s="2">
        <f>'Budget Detail FY 2017-24'!Q447</f>
        <v>164254</v>
      </c>
      <c r="I24" s="2">
        <f>'Budget Detail FY 2017-24'!R447</f>
        <v>168521</v>
      </c>
      <c r="J24" s="2">
        <f>'Budget Detail FY 2017-24'!S447</f>
        <v>188850</v>
      </c>
      <c r="K24" s="2">
        <f>'Budget Detail FY 2017-24'!T447</f>
        <v>196435</v>
      </c>
    </row>
    <row r="25" spans="1:11" ht="24" customHeight="1">
      <c r="A25" s="70"/>
      <c r="B25" s="67" t="s">
        <v>704</v>
      </c>
      <c r="C25" s="71">
        <f>'Budget Detail FY 2017-24'!L362</f>
        <v>1726285</v>
      </c>
      <c r="D25" s="71">
        <f>'Budget Detail FY 2017-24'!M362</f>
        <v>2799288</v>
      </c>
      <c r="E25" s="71">
        <f>'Budget Detail FY 2017-24'!N362</f>
        <v>2503302</v>
      </c>
      <c r="F25" s="71">
        <f>'Budget Detail FY 2017-24'!O362</f>
        <v>3022486</v>
      </c>
      <c r="G25" s="71">
        <f>'Budget Detail FY 2017-24'!P362</f>
        <v>3922029</v>
      </c>
      <c r="H25" s="71">
        <f>'Budget Detail FY 2017-24'!Q362</f>
        <v>1012485</v>
      </c>
      <c r="I25" s="71">
        <f>'Budget Detail FY 2017-24'!R362</f>
        <v>914180</v>
      </c>
      <c r="J25" s="71">
        <f>'Budget Detail FY 2017-24'!S362</f>
        <v>914180</v>
      </c>
      <c r="K25" s="71">
        <f>'Budget Detail FY 2017-24'!T362</f>
        <v>1090780</v>
      </c>
    </row>
    <row r="26" spans="1:11" ht="15" customHeight="1">
      <c r="A26" s="70"/>
      <c r="B26" s="67"/>
      <c r="C26" s="71"/>
      <c r="D26" s="71"/>
      <c r="E26" s="71"/>
      <c r="F26" s="71"/>
      <c r="G26" s="71"/>
      <c r="H26" s="71"/>
      <c r="I26" s="71"/>
      <c r="J26" s="71"/>
      <c r="K26" s="71"/>
    </row>
    <row r="27" spans="1:11" ht="24" customHeight="1">
      <c r="A27" s="69" t="s">
        <v>705</v>
      </c>
      <c r="B27" s="67"/>
      <c r="C27" s="2"/>
      <c r="D27" s="2"/>
      <c r="E27" s="2"/>
      <c r="F27" s="2"/>
      <c r="G27" s="2"/>
      <c r="H27" s="2"/>
      <c r="I27" s="2"/>
      <c r="J27" s="2"/>
      <c r="K27" s="2"/>
    </row>
    <row r="28" spans="1:11" ht="24" customHeight="1">
      <c r="B28" s="67" t="s">
        <v>523</v>
      </c>
      <c r="C28" s="2">
        <f>'Budget Detail FY 2017-24'!L539</f>
        <v>10551626</v>
      </c>
      <c r="D28" s="2">
        <f>'Budget Detail FY 2017-24'!M539</f>
        <v>4868202</v>
      </c>
      <c r="E28" s="2">
        <f>'Budget Detail FY 2017-24'!N539</f>
        <v>4538518</v>
      </c>
      <c r="F28" s="2">
        <f>'Budget Detail FY 2017-24'!O539</f>
        <v>4835105</v>
      </c>
      <c r="G28" s="2">
        <f>'Budget Detail FY 2017-24'!P539</f>
        <v>4699931</v>
      </c>
      <c r="H28" s="2">
        <f>'Budget Detail FY 2017-24'!Q539</f>
        <v>4866778</v>
      </c>
      <c r="I28" s="2">
        <f>'Budget Detail FY 2017-24'!R539</f>
        <v>5050739</v>
      </c>
      <c r="J28" s="2">
        <f>'Budget Detail FY 2017-24'!S539</f>
        <v>5237501</v>
      </c>
      <c r="K28" s="2">
        <f>'Budget Detail FY 2017-24'!T539</f>
        <v>5461403</v>
      </c>
    </row>
    <row r="29" spans="1:11" ht="24" customHeight="1">
      <c r="B29" s="67" t="s">
        <v>524</v>
      </c>
      <c r="C29" s="2">
        <f>'Budget Detail FY 2017-24'!L646</f>
        <v>2538383</v>
      </c>
      <c r="D29" s="2">
        <f>'Budget Detail FY 2017-24'!M646</f>
        <v>2849832</v>
      </c>
      <c r="E29" s="2">
        <f>'Budget Detail FY 2017-24'!N646</f>
        <v>2416491</v>
      </c>
      <c r="F29" s="2">
        <f>'Budget Detail FY 2017-24'!O646</f>
        <v>2403926</v>
      </c>
      <c r="G29" s="2">
        <f>'Budget Detail FY 2017-24'!P646</f>
        <v>2149679</v>
      </c>
      <c r="H29" s="2">
        <f>'Budget Detail FY 2017-24'!Q646</f>
        <v>2188631</v>
      </c>
      <c r="I29" s="2">
        <f>'Budget Detail FY 2017-24'!R646</f>
        <v>2632981</v>
      </c>
      <c r="J29" s="2">
        <f>'Budget Detail FY 2017-24'!S646</f>
        <v>2808427</v>
      </c>
      <c r="K29" s="2">
        <f>'Budget Detail FY 2017-24'!T646</f>
        <v>2851031</v>
      </c>
    </row>
    <row r="30" spans="1:11" ht="15" customHeight="1">
      <c r="B30" s="67"/>
      <c r="C30" s="2"/>
      <c r="D30" s="2"/>
      <c r="E30" s="2"/>
      <c r="F30" s="2"/>
      <c r="G30" s="2"/>
      <c r="H30" s="2"/>
      <c r="I30" s="2"/>
      <c r="J30" s="2"/>
      <c r="K30" s="2"/>
    </row>
    <row r="31" spans="1:11" ht="24" customHeight="1">
      <c r="A31" s="69" t="s">
        <v>706</v>
      </c>
      <c r="B31" s="67"/>
      <c r="C31" s="2"/>
      <c r="D31" s="2"/>
      <c r="E31" s="2"/>
      <c r="F31" s="2"/>
      <c r="G31" s="2"/>
      <c r="H31" s="2"/>
      <c r="I31" s="2"/>
      <c r="J31" s="2"/>
      <c r="K31" s="2"/>
    </row>
    <row r="32" spans="1:11" ht="24" customHeight="1">
      <c r="A32" s="69"/>
      <c r="B32" s="67" t="s">
        <v>517</v>
      </c>
      <c r="C32" s="2">
        <f>'Budget Detail FY 2017-24'!L876</f>
        <v>1443490</v>
      </c>
      <c r="D32" s="2">
        <f>'Budget Detail FY 2017-24'!M876</f>
        <v>1479794</v>
      </c>
      <c r="E32" s="2">
        <f>'Budget Detail FY 2017-24'!N876</f>
        <v>1536635</v>
      </c>
      <c r="F32" s="2">
        <f>'Budget Detail FY 2017-24'!O876</f>
        <v>1546633</v>
      </c>
      <c r="G32" s="2">
        <f>'Budget Detail FY 2017-24'!P876</f>
        <v>1576751</v>
      </c>
      <c r="H32" s="2">
        <f>'Budget Detail FY 2017-24'!Q876</f>
        <v>1622115</v>
      </c>
      <c r="I32" s="2">
        <f>'Budget Detail FY 2017-24'!R876</f>
        <v>1648492</v>
      </c>
      <c r="J32" s="2">
        <f>'Budget Detail FY 2017-24'!S876</f>
        <v>1671728</v>
      </c>
      <c r="K32" s="2">
        <f>'Budget Detail FY 2017-24'!T876</f>
        <v>1705141</v>
      </c>
    </row>
    <row r="33" spans="1:11" ht="24" customHeight="1">
      <c r="A33" s="69"/>
      <c r="B33" s="67" t="s">
        <v>707</v>
      </c>
      <c r="C33" s="2">
        <f>'Budget Detail FY 2017-24'!L932</f>
        <v>53792</v>
      </c>
      <c r="D33" s="2">
        <f>'Budget Detail FY 2017-24'!M932</f>
        <v>100537</v>
      </c>
      <c r="E33" s="2">
        <f>'Budget Detail FY 2017-24'!N932</f>
        <v>43210</v>
      </c>
      <c r="F33" s="2">
        <f>'Budget Detail FY 2017-24'!O932</f>
        <v>110150</v>
      </c>
      <c r="G33" s="2">
        <f>'Budget Detail FY 2017-24'!P932</f>
        <v>50100</v>
      </c>
      <c r="H33" s="2">
        <f>'Budget Detail FY 2017-24'!Q932</f>
        <v>50100</v>
      </c>
      <c r="I33" s="2">
        <f>'Budget Detail FY 2017-24'!R932</f>
        <v>50100</v>
      </c>
      <c r="J33" s="2">
        <f>'Budget Detail FY 2017-24'!S932</f>
        <v>50000</v>
      </c>
      <c r="K33" s="2">
        <f>'Budget Detail FY 2017-24'!T932</f>
        <v>50000</v>
      </c>
    </row>
    <row r="34" spans="1:11" ht="15" customHeight="1">
      <c r="A34" s="72"/>
      <c r="B34" s="67"/>
      <c r="C34" s="71"/>
      <c r="D34" s="71"/>
      <c r="E34" s="71"/>
      <c r="F34" s="71"/>
      <c r="G34" s="71"/>
      <c r="H34" s="71"/>
      <c r="I34" s="71"/>
      <c r="J34" s="71"/>
      <c r="K34" s="71"/>
    </row>
    <row r="35" spans="1:11" ht="24" customHeight="1" thickBot="1">
      <c r="A35" s="7"/>
      <c r="B35" s="73" t="s">
        <v>763</v>
      </c>
      <c r="C35" s="74">
        <f t="shared" ref="C35:K35" si="0">SUM(C9:C34)</f>
        <v>35043258</v>
      </c>
      <c r="D35" s="74">
        <f t="shared" si="0"/>
        <v>32097695</v>
      </c>
      <c r="E35" s="74">
        <f t="shared" si="0"/>
        <v>31104568</v>
      </c>
      <c r="F35" s="74">
        <f t="shared" si="0"/>
        <v>32859517</v>
      </c>
      <c r="G35" s="74">
        <f t="shared" si="0"/>
        <v>32535031</v>
      </c>
      <c r="H35" s="74">
        <f t="shared" si="0"/>
        <v>30286532</v>
      </c>
      <c r="I35" s="74">
        <f t="shared" si="0"/>
        <v>31360734</v>
      </c>
      <c r="J35" s="74">
        <f t="shared" si="0"/>
        <v>32017125</v>
      </c>
      <c r="K35" s="74">
        <f t="shared" si="0"/>
        <v>32583282</v>
      </c>
    </row>
    <row r="36" spans="1:11" ht="15" customHeight="1" thickTop="1"/>
    <row r="37" spans="1:11" s="62" customFormat="1" ht="15" customHeight="1"/>
    <row r="38" spans="1:11" ht="24" customHeight="1">
      <c r="B38" s="464" t="s">
        <v>693</v>
      </c>
      <c r="C38" s="464"/>
      <c r="D38" s="464"/>
      <c r="E38" s="464"/>
      <c r="F38" s="464"/>
      <c r="G38" s="464"/>
      <c r="H38" s="464"/>
      <c r="I38" s="464"/>
      <c r="J38" s="464"/>
      <c r="K38" s="464"/>
    </row>
    <row r="39" spans="1:11" ht="24" customHeight="1">
      <c r="B39" s="465" t="s">
        <v>708</v>
      </c>
      <c r="C39" s="465"/>
      <c r="D39" s="465"/>
      <c r="E39" s="465"/>
      <c r="F39" s="465"/>
      <c r="G39" s="465"/>
      <c r="H39" s="465"/>
      <c r="I39" s="465"/>
      <c r="J39" s="465"/>
      <c r="K39" s="465"/>
    </row>
    <row r="40" spans="1:11" ht="24" customHeight="1">
      <c r="B40" s="464" t="s">
        <v>1304</v>
      </c>
      <c r="C40" s="464"/>
      <c r="D40" s="464"/>
      <c r="E40" s="464"/>
      <c r="F40" s="464"/>
      <c r="G40" s="464"/>
      <c r="H40" s="464"/>
      <c r="I40" s="464"/>
      <c r="J40" s="464"/>
      <c r="K40" s="464"/>
    </row>
    <row r="41" spans="1:11" ht="15" customHeight="1"/>
    <row r="42" spans="1:11" ht="15" customHeight="1">
      <c r="C42" s="64"/>
      <c r="E42" s="64" t="s">
        <v>864</v>
      </c>
    </row>
    <row r="43" spans="1:11" ht="15" customHeight="1">
      <c r="C43" s="63" t="s">
        <v>234</v>
      </c>
      <c r="D43" s="64" t="s">
        <v>790</v>
      </c>
      <c r="E43" s="64" t="s">
        <v>637</v>
      </c>
      <c r="F43" s="64" t="s">
        <v>864</v>
      </c>
      <c r="G43" s="64" t="s">
        <v>895</v>
      </c>
      <c r="H43" s="64" t="s">
        <v>896</v>
      </c>
      <c r="I43" s="64" t="s">
        <v>897</v>
      </c>
      <c r="J43" s="64" t="s">
        <v>898</v>
      </c>
      <c r="K43" s="64" t="s">
        <v>899</v>
      </c>
    </row>
    <row r="44" spans="1:11" ht="15" customHeight="1" thickBot="1">
      <c r="B44" s="65" t="s">
        <v>695</v>
      </c>
      <c r="C44" s="66" t="s">
        <v>1</v>
      </c>
      <c r="D44" s="66" t="s">
        <v>1</v>
      </c>
      <c r="E44" s="66" t="s">
        <v>605</v>
      </c>
      <c r="F44" s="66" t="s">
        <v>19</v>
      </c>
      <c r="G44" s="66" t="str">
        <f>'Fund Cover Sheets'!$M$1</f>
        <v>Adopted</v>
      </c>
      <c r="H44" s="66" t="s">
        <v>19</v>
      </c>
      <c r="I44" s="66" t="s">
        <v>19</v>
      </c>
      <c r="J44" s="66" t="s">
        <v>19</v>
      </c>
      <c r="K44" s="66" t="s">
        <v>19</v>
      </c>
    </row>
    <row r="45" spans="1:11" ht="15" customHeight="1">
      <c r="C45" s="68"/>
      <c r="D45" s="68"/>
      <c r="E45" s="68"/>
      <c r="F45" s="68"/>
      <c r="G45" s="68"/>
      <c r="H45" s="68"/>
      <c r="I45" s="68"/>
      <c r="J45" s="68"/>
    </row>
    <row r="46" spans="1:11" ht="24" customHeight="1">
      <c r="A46" s="69" t="s">
        <v>696</v>
      </c>
      <c r="C46" s="2">
        <f>'Budget Detail FY 2017-24'!L265</f>
        <v>14488405</v>
      </c>
      <c r="D46" s="2">
        <f>'Budget Detail FY 2017-24'!M265</f>
        <v>15219914</v>
      </c>
      <c r="E46" s="2">
        <f>'Budget Detail FY 2017-24'!N265</f>
        <v>16395796</v>
      </c>
      <c r="F46" s="2">
        <f>'Budget Detail FY 2017-24'!O265</f>
        <v>16281105</v>
      </c>
      <c r="G46" s="2">
        <f>'Budget Detail FY 2017-24'!P265</f>
        <v>16469238</v>
      </c>
      <c r="H46" s="2">
        <f>'Budget Detail FY 2017-24'!Q265</f>
        <v>17304612</v>
      </c>
      <c r="I46" s="2">
        <f>'Budget Detail FY 2017-24'!R265</f>
        <v>18058403</v>
      </c>
      <c r="J46" s="2">
        <f>'Budget Detail FY 2017-24'!S265</f>
        <v>18712351</v>
      </c>
      <c r="K46" s="2">
        <f>'Budget Detail FY 2017-24'!T265</f>
        <v>19073738</v>
      </c>
    </row>
    <row r="47" spans="1:11" ht="15" customHeight="1">
      <c r="A47" s="69"/>
      <c r="C47" s="2"/>
      <c r="D47" s="2"/>
      <c r="E47" s="2"/>
      <c r="F47" s="2"/>
      <c r="G47" s="2"/>
      <c r="H47" s="2"/>
      <c r="I47" s="2"/>
      <c r="J47" s="2"/>
      <c r="K47" s="2"/>
    </row>
    <row r="48" spans="1:11" ht="24" customHeight="1">
      <c r="A48" s="69" t="s">
        <v>697</v>
      </c>
      <c r="C48" s="71"/>
      <c r="D48" s="71"/>
      <c r="E48" s="71"/>
      <c r="F48" s="71"/>
      <c r="G48" s="71"/>
      <c r="H48" s="71"/>
      <c r="I48" s="71"/>
      <c r="J48" s="71"/>
      <c r="K48" s="71"/>
    </row>
    <row r="49" spans="1:11" ht="24" customHeight="1">
      <c r="A49" s="69"/>
      <c r="B49" s="1" t="s">
        <v>624</v>
      </c>
      <c r="C49" s="71">
        <f>'Budget Detail FY 2017-24'!L327</f>
        <v>599121</v>
      </c>
      <c r="D49" s="71">
        <f>'Budget Detail FY 2017-24'!M327</f>
        <v>597982</v>
      </c>
      <c r="E49" s="71">
        <f>'Budget Detail FY 2017-24'!N327</f>
        <v>691787</v>
      </c>
      <c r="F49" s="71">
        <f>'Budget Detail FY 2017-24'!O327</f>
        <v>620788</v>
      </c>
      <c r="G49" s="71">
        <f>'Budget Detail FY 2017-24'!P327</f>
        <v>718788</v>
      </c>
      <c r="H49" s="71">
        <f>'Budget Detail FY 2017-24'!Q327</f>
        <v>718788</v>
      </c>
      <c r="I49" s="71">
        <f>'Budget Detail FY 2017-24'!R327</f>
        <v>693788</v>
      </c>
      <c r="J49" s="71">
        <f>'Budget Detail FY 2017-24'!S327</f>
        <v>650745</v>
      </c>
      <c r="K49" s="71">
        <f>'Budget Detail FY 2017-24'!T327</f>
        <v>591184</v>
      </c>
    </row>
    <row r="50" spans="1:11" ht="24" customHeight="1">
      <c r="A50" s="70"/>
      <c r="B50" s="67" t="s">
        <v>698</v>
      </c>
      <c r="C50" s="71">
        <f>'Budget Detail FY 2017-24'!L849</f>
        <v>1842499</v>
      </c>
      <c r="D50" s="71">
        <f>'Budget Detail FY 2017-24'!M849</f>
        <v>1969832</v>
      </c>
      <c r="E50" s="71">
        <f>'Budget Detail FY 2017-24'!N849</f>
        <v>2228508</v>
      </c>
      <c r="F50" s="71">
        <f>'Budget Detail FY 2017-24'!O849</f>
        <v>2218001</v>
      </c>
      <c r="G50" s="71">
        <f>'Budget Detail FY 2017-24'!P849</f>
        <v>2343405</v>
      </c>
      <c r="H50" s="71">
        <f>'Budget Detail FY 2017-24'!Q849</f>
        <v>2387937</v>
      </c>
      <c r="I50" s="71">
        <f>'Budget Detail FY 2017-24'!R849</f>
        <v>2450581</v>
      </c>
      <c r="J50" s="71">
        <f>'Budget Detail FY 2017-24'!S849</f>
        <v>2527675</v>
      </c>
      <c r="K50" s="71">
        <f>'Budget Detail FY 2017-24'!T849</f>
        <v>2596929</v>
      </c>
    </row>
    <row r="51" spans="1:11" ht="24" customHeight="1">
      <c r="A51" s="70"/>
      <c r="B51" s="67" t="s">
        <v>525</v>
      </c>
      <c r="C51" s="71">
        <f>'Budget Detail FY 2017-24'!L760</f>
        <v>92865</v>
      </c>
      <c r="D51" s="71">
        <f>'Budget Detail FY 2017-24'!M760</f>
        <v>663720</v>
      </c>
      <c r="E51" s="71">
        <f>'Budget Detail FY 2017-24'!N760</f>
        <v>435000</v>
      </c>
      <c r="F51" s="71">
        <f>'Budget Detail FY 2017-24'!O760</f>
        <v>384295</v>
      </c>
      <c r="G51" s="71">
        <f>'Budget Detail FY 2017-24'!P760</f>
        <v>104850</v>
      </c>
      <c r="H51" s="71">
        <f>'Budget Detail FY 2017-24'!Q760</f>
        <v>104850</v>
      </c>
      <c r="I51" s="71">
        <f>'Budget Detail FY 2017-24'!R760</f>
        <v>5000</v>
      </c>
      <c r="J51" s="71">
        <f>'Budget Detail FY 2017-24'!S760</f>
        <v>80000</v>
      </c>
      <c r="K51" s="71">
        <f>'Budget Detail FY 2017-24'!T760</f>
        <v>215000</v>
      </c>
    </row>
    <row r="52" spans="1:11" ht="24" customHeight="1">
      <c r="A52" s="70"/>
      <c r="B52" s="67" t="s">
        <v>450</v>
      </c>
      <c r="C52" s="3">
        <f>'Budget Detail FY 2017-24'!L966</f>
        <v>161167</v>
      </c>
      <c r="D52" s="3">
        <f>'Budget Detail FY 2017-24'!M966</f>
        <v>162360</v>
      </c>
      <c r="E52" s="3">
        <f>'Budget Detail FY 2017-24'!N966</f>
        <v>863107</v>
      </c>
      <c r="F52" s="3">
        <f>'Budget Detail FY 2017-24'!O966</f>
        <v>163068</v>
      </c>
      <c r="G52" s="3">
        <f>'Budget Detail FY 2017-24'!P966</f>
        <v>923808</v>
      </c>
      <c r="H52" s="3">
        <f>'Budget Detail FY 2017-24'!Q966</f>
        <v>222612</v>
      </c>
      <c r="I52" s="3">
        <f>'Budget Detail FY 2017-24'!R966</f>
        <v>223965</v>
      </c>
      <c r="J52" s="3">
        <f>'Budget Detail FY 2017-24'!S966</f>
        <v>223794</v>
      </c>
      <c r="K52" s="3">
        <f>'Budget Detail FY 2017-24'!T966</f>
        <v>224798</v>
      </c>
    </row>
    <row r="53" spans="1:11" ht="24" customHeight="1">
      <c r="A53" s="70"/>
      <c r="B53" s="67" t="s">
        <v>452</v>
      </c>
      <c r="C53" s="3">
        <f>'Budget Detail FY 2017-24'!L995</f>
        <v>224910</v>
      </c>
      <c r="D53" s="3">
        <f>'Budget Detail FY 2017-24'!M995</f>
        <v>1655046</v>
      </c>
      <c r="E53" s="3">
        <f>'Budget Detail FY 2017-24'!N995</f>
        <v>514996</v>
      </c>
      <c r="F53" s="3">
        <f>'Budget Detail FY 2017-24'!O995</f>
        <v>370815</v>
      </c>
      <c r="G53" s="3">
        <f>'Budget Detail FY 2017-24'!P995</f>
        <v>426484</v>
      </c>
      <c r="H53" s="3">
        <f>'Budget Detail FY 2017-24'!Q995</f>
        <v>298901</v>
      </c>
      <c r="I53" s="3">
        <f>'Budget Detail FY 2017-24'!R995</f>
        <v>293781</v>
      </c>
      <c r="J53" s="3">
        <f>'Budget Detail FY 2017-24'!S995</f>
        <v>84355</v>
      </c>
      <c r="K53" s="3">
        <f>'Budget Detail FY 2017-24'!T995</f>
        <v>82292</v>
      </c>
    </row>
    <row r="54" spans="1:11" ht="24" customHeight="1">
      <c r="A54" s="70"/>
      <c r="B54" s="67" t="s">
        <v>1218</v>
      </c>
      <c r="C54" s="3">
        <f>'Fund Cover Sheets'!C660</f>
        <v>0</v>
      </c>
      <c r="D54" s="3">
        <f>'Fund Cover Sheets'!D660</f>
        <v>0</v>
      </c>
      <c r="E54" s="3">
        <f>'Fund Cover Sheets'!E660</f>
        <v>10000</v>
      </c>
      <c r="F54" s="3">
        <f>'Fund Cover Sheets'!F660</f>
        <v>10000</v>
      </c>
      <c r="G54" s="3">
        <f>'Fund Cover Sheets'!G660</f>
        <v>35000</v>
      </c>
      <c r="H54" s="3">
        <f>'Fund Cover Sheets'!H660</f>
        <v>10000</v>
      </c>
      <c r="I54" s="3">
        <f>'Fund Cover Sheets'!I660</f>
        <v>10000</v>
      </c>
      <c r="J54" s="3">
        <f>'Fund Cover Sheets'!J660</f>
        <v>10000</v>
      </c>
      <c r="K54" s="3">
        <f>'Fund Cover Sheets'!K660</f>
        <v>10000</v>
      </c>
    </row>
    <row r="55" spans="1:11" ht="24" customHeight="1">
      <c r="A55" s="70"/>
      <c r="B55" s="67" t="s">
        <v>699</v>
      </c>
      <c r="C55" s="71">
        <f>'Budget Detail FY 2017-24'!L283</f>
        <v>10741</v>
      </c>
      <c r="D55" s="71">
        <f>'Budget Detail FY 2017-24'!M283</f>
        <v>17552</v>
      </c>
      <c r="E55" s="71">
        <f>'Budget Detail FY 2017-24'!N283</f>
        <v>8835</v>
      </c>
      <c r="F55" s="71">
        <f>'Budget Detail FY 2017-24'!O283</f>
        <v>8835</v>
      </c>
      <c r="G55" s="71">
        <f>'Budget Detail FY 2017-24'!P283</f>
        <v>30977</v>
      </c>
      <c r="H55" s="71">
        <f>'Budget Detail FY 2017-24'!Q283</f>
        <v>10326</v>
      </c>
      <c r="I55" s="71">
        <f>'Budget Detail FY 2017-24'!R283</f>
        <v>10482</v>
      </c>
      <c r="J55" s="71">
        <f>'Budget Detail FY 2017-24'!S283</f>
        <v>10646</v>
      </c>
      <c r="K55" s="71">
        <f>'Budget Detail FY 2017-24'!T283</f>
        <v>12258</v>
      </c>
    </row>
    <row r="56" spans="1:11" ht="24" customHeight="1">
      <c r="A56" s="70"/>
      <c r="B56" s="67" t="s">
        <v>700</v>
      </c>
      <c r="C56" s="71">
        <f>'Budget Detail FY 2017-24'!L301</f>
        <v>5057</v>
      </c>
      <c r="D56" s="71">
        <f>'Budget Detail FY 2017-24'!M301</f>
        <v>18957</v>
      </c>
      <c r="E56" s="71">
        <f>'Budget Detail FY 2017-24'!N301</f>
        <v>18835</v>
      </c>
      <c r="F56" s="71">
        <f>'Budget Detail FY 2017-24'!O301</f>
        <v>18835</v>
      </c>
      <c r="G56" s="71">
        <f>'Budget Detail FY 2017-24'!P301</f>
        <v>13977</v>
      </c>
      <c r="H56" s="71">
        <f>'Budget Detail FY 2017-24'!Q301</f>
        <v>15326</v>
      </c>
      <c r="I56" s="71">
        <f>'Budget Detail FY 2017-24'!R301</f>
        <v>15482</v>
      </c>
      <c r="J56" s="71">
        <f>'Budget Detail FY 2017-24'!S301</f>
        <v>15646</v>
      </c>
      <c r="K56" s="71">
        <f>'Budget Detail FY 2017-24'!T301</f>
        <v>17258</v>
      </c>
    </row>
    <row r="57" spans="1:11">
      <c r="A57" s="70"/>
      <c r="B57" s="67"/>
      <c r="C57" s="71"/>
      <c r="D57" s="71"/>
      <c r="E57" s="71"/>
      <c r="F57" s="71"/>
      <c r="G57" s="71"/>
      <c r="H57" s="71"/>
      <c r="I57" s="71"/>
      <c r="J57" s="71"/>
      <c r="K57" s="71"/>
    </row>
    <row r="58" spans="1:11" ht="24" customHeight="1">
      <c r="A58" s="69" t="s">
        <v>701</v>
      </c>
      <c r="B58" s="62"/>
      <c r="C58" s="3">
        <f>'Budget Detail FY 2017-24'!L513</f>
        <v>321064</v>
      </c>
      <c r="D58" s="3">
        <f>'Budget Detail FY 2017-24'!M513</f>
        <v>321275</v>
      </c>
      <c r="E58" s="3">
        <f>'Budget Detail FY 2017-24'!N513</f>
        <v>324725</v>
      </c>
      <c r="F58" s="3">
        <f>'Budget Detail FY 2017-24'!O513</f>
        <v>324725</v>
      </c>
      <c r="G58" s="3">
        <f>'Budget Detail FY 2017-24'!P513</f>
        <v>324025</v>
      </c>
      <c r="H58" s="3">
        <f>'Budget Detail FY 2017-24'!Q513</f>
        <v>323225</v>
      </c>
      <c r="I58" s="3">
        <f>'Budget Detail FY 2017-24'!R513</f>
        <v>329375</v>
      </c>
      <c r="J58" s="3">
        <f>'Budget Detail FY 2017-24'!S513</f>
        <v>330075</v>
      </c>
      <c r="K58" s="3">
        <f>'Budget Detail FY 2017-24'!T513</f>
        <v>0</v>
      </c>
    </row>
    <row r="59" spans="1:11">
      <c r="A59" s="69"/>
      <c r="B59" s="62"/>
      <c r="C59" s="3"/>
      <c r="D59" s="3"/>
      <c r="E59" s="3"/>
      <c r="F59" s="3"/>
      <c r="G59" s="3"/>
      <c r="H59" s="3"/>
      <c r="I59" s="3"/>
      <c r="J59" s="3"/>
      <c r="K59" s="3"/>
    </row>
    <row r="60" spans="1:11" ht="24" customHeight="1">
      <c r="A60" s="69" t="s">
        <v>702</v>
      </c>
      <c r="B60" s="62"/>
      <c r="C60" s="3"/>
      <c r="D60" s="3"/>
      <c r="E60" s="3"/>
      <c r="F60" s="3"/>
      <c r="G60" s="3"/>
      <c r="H60" s="3"/>
      <c r="I60" s="3"/>
      <c r="J60" s="3"/>
      <c r="K60" s="3"/>
    </row>
    <row r="61" spans="1:11" ht="24" customHeight="1">
      <c r="A61" s="70"/>
      <c r="B61" s="67" t="s">
        <v>822</v>
      </c>
      <c r="C61" s="3">
        <f>'Budget Detail FY 2017-24'!L483</f>
        <v>368822</v>
      </c>
      <c r="D61" s="3">
        <f>'Budget Detail FY 2017-24'!M483</f>
        <v>355138</v>
      </c>
      <c r="E61" s="3">
        <f>'Budget Detail FY 2017-24'!N483</f>
        <v>418145</v>
      </c>
      <c r="F61" s="3">
        <f>'Budget Detail FY 2017-24'!O483</f>
        <v>422188</v>
      </c>
      <c r="G61" s="3">
        <f>'Budget Detail FY 2017-24'!P483</f>
        <v>225470</v>
      </c>
      <c r="H61" s="3">
        <f>'Budget Detail FY 2017-24'!Q483</f>
        <v>169543</v>
      </c>
      <c r="I61" s="3">
        <f>'Budget Detail FY 2017-24'!R483</f>
        <v>173811</v>
      </c>
      <c r="J61" s="3">
        <f>'Budget Detail FY 2017-24'!S483</f>
        <v>198314</v>
      </c>
      <c r="K61" s="3">
        <f>'Budget Detail FY 2017-24'!T483</f>
        <v>190090</v>
      </c>
    </row>
    <row r="62" spans="1:11" ht="24" customHeight="1">
      <c r="A62" s="70"/>
      <c r="B62" s="67" t="s">
        <v>704</v>
      </c>
      <c r="C62" s="71">
        <f>'Budget Detail FY 2017-24'!L414</f>
        <v>3374664</v>
      </c>
      <c r="D62" s="71">
        <f>'Budget Detail FY 2017-24'!M414</f>
        <v>3765921</v>
      </c>
      <c r="E62" s="71">
        <f>'Budget Detail FY 2017-24'!N414</f>
        <v>2941878</v>
      </c>
      <c r="F62" s="71">
        <f>'Budget Detail FY 2017-24'!O414</f>
        <v>2856661</v>
      </c>
      <c r="G62" s="71">
        <f>'Budget Detail FY 2017-24'!P414</f>
        <v>4548408</v>
      </c>
      <c r="H62" s="71">
        <f>'Budget Detail FY 2017-24'!Q414</f>
        <v>973485</v>
      </c>
      <c r="I62" s="71">
        <f>'Budget Detail FY 2017-24'!R414</f>
        <v>856913</v>
      </c>
      <c r="J62" s="71">
        <f>'Budget Detail FY 2017-24'!S414</f>
        <v>837162</v>
      </c>
      <c r="K62" s="71">
        <f>'Budget Detail FY 2017-24'!T414</f>
        <v>1010228</v>
      </c>
    </row>
    <row r="63" spans="1:11">
      <c r="A63" s="70"/>
      <c r="B63" s="67"/>
      <c r="C63" s="71"/>
      <c r="D63" s="71"/>
      <c r="E63" s="71"/>
      <c r="F63" s="71"/>
      <c r="G63" s="71"/>
      <c r="H63" s="71"/>
      <c r="I63" s="71"/>
      <c r="J63" s="71"/>
      <c r="K63" s="71"/>
    </row>
    <row r="64" spans="1:11" ht="24" customHeight="1">
      <c r="A64" s="69" t="s">
        <v>705</v>
      </c>
      <c r="B64" s="67"/>
      <c r="C64" s="71"/>
      <c r="D64" s="71"/>
      <c r="E64" s="71"/>
      <c r="F64" s="71"/>
      <c r="G64" s="71"/>
      <c r="H64" s="71"/>
      <c r="I64" s="71"/>
      <c r="J64" s="71"/>
      <c r="K64" s="71"/>
    </row>
    <row r="65" spans="1:11" ht="24" customHeight="1">
      <c r="B65" s="67" t="s">
        <v>523</v>
      </c>
      <c r="C65" s="71">
        <f>'Budget Detail FY 2017-24'!L623</f>
        <v>12921770</v>
      </c>
      <c r="D65" s="71">
        <f>'Budget Detail FY 2017-24'!M623</f>
        <v>5110084</v>
      </c>
      <c r="E65" s="71">
        <f>'Budget Detail FY 2017-24'!N623</f>
        <v>4883871</v>
      </c>
      <c r="F65" s="71">
        <f>'Budget Detail FY 2017-24'!O623</f>
        <v>3938638</v>
      </c>
      <c r="G65" s="71">
        <f>'Budget Detail FY 2017-24'!P623</f>
        <v>5770144</v>
      </c>
      <c r="H65" s="71">
        <f>'Budget Detail FY 2017-24'!Q623</f>
        <v>5344948</v>
      </c>
      <c r="I65" s="71">
        <f>'Budget Detail FY 2017-24'!R623</f>
        <v>5051049</v>
      </c>
      <c r="J65" s="71">
        <f>'Budget Detail FY 2017-24'!S623</f>
        <v>4979047</v>
      </c>
      <c r="K65" s="71">
        <f>'Budget Detail FY 2017-24'!T623</f>
        <v>3237833</v>
      </c>
    </row>
    <row r="66" spans="1:11" ht="24" customHeight="1">
      <c r="B66" s="67" t="s">
        <v>524</v>
      </c>
      <c r="C66" s="71">
        <f>'Budget Detail FY 2017-24'!L709</f>
        <v>2731226</v>
      </c>
      <c r="D66" s="71">
        <f>'Budget Detail FY 2017-24'!M709</f>
        <v>2816811</v>
      </c>
      <c r="E66" s="71">
        <f>'Budget Detail FY 2017-24'!N709</f>
        <v>3050254</v>
      </c>
      <c r="F66" s="71">
        <f>'Budget Detail FY 2017-24'!O709</f>
        <v>2741983</v>
      </c>
      <c r="G66" s="71">
        <f>'Budget Detail FY 2017-24'!P709</f>
        <v>2538097</v>
      </c>
      <c r="H66" s="71">
        <f>'Budget Detail FY 2017-24'!Q709</f>
        <v>2413499</v>
      </c>
      <c r="I66" s="71">
        <f>'Budget Detail FY 2017-24'!R709</f>
        <v>2503918</v>
      </c>
      <c r="J66" s="71">
        <f>'Budget Detail FY 2017-24'!S709</f>
        <v>2534903</v>
      </c>
      <c r="K66" s="71">
        <f>'Budget Detail FY 2017-24'!T709</f>
        <v>2168500</v>
      </c>
    </row>
    <row r="67" spans="1:11">
      <c r="B67" s="67"/>
      <c r="C67" s="71"/>
      <c r="D67" s="71"/>
      <c r="E67" s="71"/>
      <c r="F67" s="71"/>
      <c r="G67" s="71"/>
      <c r="H67" s="71"/>
      <c r="I67" s="71"/>
      <c r="J67" s="71"/>
      <c r="K67" s="71"/>
    </row>
    <row r="68" spans="1:11" ht="24" customHeight="1">
      <c r="A68" s="69" t="s">
        <v>709</v>
      </c>
      <c r="B68" s="67"/>
      <c r="C68" s="71"/>
      <c r="D68" s="71"/>
      <c r="E68" s="71"/>
      <c r="F68" s="71"/>
      <c r="G68" s="71"/>
      <c r="H68" s="71"/>
      <c r="I68" s="71"/>
      <c r="J68" s="71"/>
      <c r="K68" s="71"/>
    </row>
    <row r="69" spans="1:11" ht="24" customHeight="1">
      <c r="A69" s="69"/>
      <c r="B69" s="67" t="s">
        <v>517</v>
      </c>
      <c r="C69" s="71">
        <f>'Budget Detail FY 2017-24'!L916</f>
        <v>1453791</v>
      </c>
      <c r="D69" s="71">
        <f>'Budget Detail FY 2017-24'!M916</f>
        <v>1458497</v>
      </c>
      <c r="E69" s="71">
        <f>'Budget Detail FY 2017-24'!N916</f>
        <v>1547989</v>
      </c>
      <c r="F69" s="71">
        <f>'Budget Detail FY 2017-24'!O916</f>
        <v>1542269</v>
      </c>
      <c r="G69" s="71">
        <f>'Budget Detail FY 2017-24'!P916</f>
        <v>1620345</v>
      </c>
      <c r="H69" s="71">
        <f>'Budget Detail FY 2017-24'!Q916</f>
        <v>1674038</v>
      </c>
      <c r="I69" s="71">
        <f>'Budget Detail FY 2017-24'!R916</f>
        <v>1714234</v>
      </c>
      <c r="J69" s="71">
        <f>'Budget Detail FY 2017-24'!S916</f>
        <v>1749674</v>
      </c>
      <c r="K69" s="71">
        <f>'Budget Detail FY 2017-24'!T916</f>
        <v>1798828</v>
      </c>
    </row>
    <row r="70" spans="1:11" ht="24" customHeight="1">
      <c r="A70" s="69"/>
      <c r="B70" s="67" t="s">
        <v>707</v>
      </c>
      <c r="C70" s="71">
        <f>'Budget Detail FY 2017-24'!L943</f>
        <v>48695</v>
      </c>
      <c r="D70" s="71">
        <f>'Budget Detail FY 2017-24'!M943</f>
        <v>61999</v>
      </c>
      <c r="E70" s="71">
        <f>'Budget Detail FY 2017-24'!N943</f>
        <v>52100</v>
      </c>
      <c r="F70" s="71">
        <f>'Budget Detail FY 2017-24'!O943</f>
        <v>75000</v>
      </c>
      <c r="G70" s="71">
        <f>'Budget Detail FY 2017-24'!P943</f>
        <v>75500</v>
      </c>
      <c r="H70" s="71">
        <f>'Budget Detail FY 2017-24'!Q943</f>
        <v>75500</v>
      </c>
      <c r="I70" s="71">
        <f>'Budget Detail FY 2017-24'!R943</f>
        <v>75500</v>
      </c>
      <c r="J70" s="71">
        <f>'Budget Detail FY 2017-24'!S943</f>
        <v>65500</v>
      </c>
      <c r="K70" s="71">
        <f>'Budget Detail FY 2017-24'!T943</f>
        <v>51643</v>
      </c>
    </row>
    <row r="71" spans="1:11">
      <c r="C71" s="2"/>
      <c r="D71" s="2"/>
      <c r="E71" s="2"/>
      <c r="F71" s="2"/>
      <c r="G71" s="2"/>
      <c r="H71" s="2"/>
      <c r="I71" s="2"/>
      <c r="J71" s="2"/>
      <c r="K71" s="2"/>
    </row>
    <row r="72" spans="1:11" ht="24" customHeight="1" thickBot="1">
      <c r="A72" s="7"/>
      <c r="B72" s="73" t="s">
        <v>764</v>
      </c>
      <c r="C72" s="74">
        <f>SUM(C46:C71)</f>
        <v>38644797</v>
      </c>
      <c r="D72" s="74">
        <f t="shared" ref="D72:K72" si="1">SUM(D46:D71)</f>
        <v>34195088</v>
      </c>
      <c r="E72" s="74">
        <f t="shared" si="1"/>
        <v>34385826</v>
      </c>
      <c r="F72" s="74">
        <f t="shared" si="1"/>
        <v>31977206</v>
      </c>
      <c r="G72" s="74">
        <f t="shared" si="1"/>
        <v>36168516</v>
      </c>
      <c r="H72" s="74">
        <f t="shared" si="1"/>
        <v>32047590</v>
      </c>
      <c r="I72" s="74">
        <f t="shared" si="1"/>
        <v>32466282</v>
      </c>
      <c r="J72" s="74">
        <f t="shared" si="1"/>
        <v>33009887</v>
      </c>
      <c r="K72" s="74">
        <f t="shared" si="1"/>
        <v>31280579</v>
      </c>
    </row>
    <row r="73" spans="1:11" ht="14.4" thickTop="1"/>
  </sheetData>
  <mergeCells count="6">
    <mergeCell ref="B38:K38"/>
    <mergeCell ref="B39:K39"/>
    <mergeCell ref="B40:K40"/>
    <mergeCell ref="B1:K1"/>
    <mergeCell ref="B2:K2"/>
    <mergeCell ref="B3:K3"/>
  </mergeCells>
  <printOptions horizontalCentered="1"/>
  <pageMargins left="0" right="0" top="0.25" bottom="0.25" header="0" footer="0"/>
  <pageSetup scale="74" orientation="landscape" r:id="rId1"/>
  <rowBreaks count="1" manualBreakCount="1">
    <brk id="3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8"/>
  <sheetViews>
    <sheetView zoomScale="75" zoomScaleNormal="75" workbookViewId="0">
      <selection activeCell="N3" sqref="N3"/>
    </sheetView>
  </sheetViews>
  <sheetFormatPr defaultColWidth="10.44140625" defaultRowHeight="13.8"/>
  <cols>
    <col min="1" max="1" width="3.6640625" style="1" customWidth="1"/>
    <col min="2" max="2" width="25.88671875" style="1" customWidth="1"/>
    <col min="3" max="13" width="12.6640625" style="1" customWidth="1"/>
    <col min="14" max="16384" width="10.44140625" style="1"/>
  </cols>
  <sheetData>
    <row r="1" spans="1:13" ht="24" customHeight="1">
      <c r="A1" s="464" t="s">
        <v>693</v>
      </c>
      <c r="B1" s="464"/>
      <c r="C1" s="464"/>
      <c r="D1" s="464"/>
      <c r="E1" s="464"/>
      <c r="F1" s="464"/>
      <c r="G1" s="464"/>
      <c r="H1" s="464"/>
      <c r="I1" s="464"/>
      <c r="J1" s="464"/>
      <c r="K1" s="464"/>
      <c r="L1" s="464"/>
      <c r="M1" s="464"/>
    </row>
    <row r="2" spans="1:13" ht="24" customHeight="1">
      <c r="A2" s="465" t="s">
        <v>710</v>
      </c>
      <c r="B2" s="465"/>
      <c r="C2" s="465"/>
      <c r="D2" s="465"/>
      <c r="E2" s="465"/>
      <c r="F2" s="465"/>
      <c r="G2" s="465"/>
      <c r="H2" s="465"/>
      <c r="I2" s="465"/>
      <c r="J2" s="465"/>
      <c r="K2" s="465"/>
      <c r="L2" s="465"/>
      <c r="M2" s="465"/>
    </row>
    <row r="3" spans="1:13" ht="24" customHeight="1">
      <c r="A3" s="464" t="s">
        <v>1305</v>
      </c>
      <c r="B3" s="464"/>
      <c r="C3" s="464"/>
      <c r="D3" s="464"/>
      <c r="E3" s="464"/>
      <c r="F3" s="464"/>
      <c r="G3" s="464"/>
      <c r="H3" s="464"/>
      <c r="I3" s="464"/>
      <c r="J3" s="464"/>
      <c r="K3" s="464"/>
      <c r="L3" s="464"/>
      <c r="M3" s="464"/>
    </row>
    <row r="4" spans="1:13" ht="15" customHeight="1"/>
    <row r="5" spans="1:13" ht="15" customHeight="1">
      <c r="L5" s="64" t="s">
        <v>711</v>
      </c>
    </row>
    <row r="6" spans="1:13" ht="15" customHeight="1">
      <c r="D6" s="63" t="s">
        <v>712</v>
      </c>
      <c r="E6" s="63" t="s">
        <v>713</v>
      </c>
      <c r="F6" s="64" t="s">
        <v>714</v>
      </c>
      <c r="G6" s="63" t="s">
        <v>715</v>
      </c>
      <c r="H6" s="63" t="s">
        <v>716</v>
      </c>
      <c r="I6" s="63" t="s">
        <v>717</v>
      </c>
      <c r="J6" s="64" t="s">
        <v>718</v>
      </c>
      <c r="K6" s="64" t="s">
        <v>719</v>
      </c>
      <c r="L6" s="64" t="s">
        <v>720</v>
      </c>
      <c r="M6" s="64" t="s">
        <v>721</v>
      </c>
    </row>
    <row r="7" spans="1:13" ht="15" customHeight="1" thickBot="1">
      <c r="A7" s="65"/>
      <c r="B7" s="65" t="s">
        <v>695</v>
      </c>
      <c r="C7" s="76" t="s">
        <v>639</v>
      </c>
      <c r="D7" s="76" t="s">
        <v>722</v>
      </c>
      <c r="E7" s="66" t="s">
        <v>723</v>
      </c>
      <c r="F7" s="66" t="s">
        <v>724</v>
      </c>
      <c r="G7" s="66" t="s">
        <v>725</v>
      </c>
      <c r="H7" s="66" t="s">
        <v>726</v>
      </c>
      <c r="I7" s="66" t="s">
        <v>727</v>
      </c>
      <c r="J7" s="66" t="s">
        <v>728</v>
      </c>
      <c r="K7" s="66" t="s">
        <v>729</v>
      </c>
      <c r="L7" s="66" t="s">
        <v>730</v>
      </c>
      <c r="M7" s="66" t="s">
        <v>731</v>
      </c>
    </row>
    <row r="8" spans="1:13" ht="15" customHeight="1">
      <c r="A8" s="67"/>
      <c r="B8" s="67"/>
      <c r="C8" s="77"/>
      <c r="D8" s="77"/>
      <c r="E8" s="68"/>
      <c r="F8" s="68"/>
      <c r="G8" s="68"/>
      <c r="H8" s="68"/>
      <c r="I8" s="68"/>
      <c r="J8" s="68"/>
      <c r="K8" s="68"/>
      <c r="L8" s="68"/>
      <c r="M8" s="68"/>
    </row>
    <row r="9" spans="1:13" ht="15" customHeight="1"/>
    <row r="10" spans="1:13" ht="24" customHeight="1">
      <c r="A10" s="69" t="s">
        <v>696</v>
      </c>
      <c r="C10" s="2">
        <f>'Fund Cover Sheets'!G11</f>
        <v>11388715</v>
      </c>
      <c r="D10" s="2">
        <f>'Fund Cover Sheets'!G12</f>
        <v>2703232</v>
      </c>
      <c r="E10" s="2">
        <f>'Fund Cover Sheets'!G13</f>
        <v>413500</v>
      </c>
      <c r="F10" s="2">
        <f>'Fund Cover Sheets'!G14</f>
        <v>125400</v>
      </c>
      <c r="G10" s="2">
        <f>'Fund Cover Sheets'!G15</f>
        <v>1616211</v>
      </c>
      <c r="H10" s="2">
        <f>'Fund Cover Sheets'!G16</f>
        <v>80000</v>
      </c>
      <c r="I10" s="2">
        <f>'Fund Cover Sheets'!G17</f>
        <v>75000</v>
      </c>
      <c r="J10" s="2">
        <f>'Fund Cover Sheets'!G18</f>
        <v>20000</v>
      </c>
      <c r="K10" s="2">
        <v>0</v>
      </c>
      <c r="L10" s="2">
        <f>'Fund Cover Sheets'!G19</f>
        <v>47180</v>
      </c>
      <c r="M10" s="2">
        <f>SUM(C10:L10)</f>
        <v>16469238</v>
      </c>
    </row>
    <row r="11" spans="1:13" ht="15" customHeight="1">
      <c r="A11" s="69"/>
      <c r="C11" s="2"/>
      <c r="D11" s="2"/>
      <c r="E11" s="2"/>
      <c r="F11" s="2"/>
      <c r="G11" s="2"/>
      <c r="H11" s="2"/>
      <c r="I11" s="2"/>
      <c r="J11" s="2"/>
      <c r="K11" s="2"/>
      <c r="L11" s="2"/>
      <c r="M11" s="2"/>
    </row>
    <row r="12" spans="1:13" ht="24" customHeight="1">
      <c r="A12" s="69" t="s">
        <v>697</v>
      </c>
      <c r="C12" s="71"/>
      <c r="D12" s="71"/>
      <c r="E12" s="71"/>
      <c r="F12" s="71"/>
      <c r="G12" s="71"/>
      <c r="H12" s="71"/>
      <c r="I12" s="71"/>
      <c r="J12" s="71"/>
      <c r="K12" s="71"/>
      <c r="L12" s="3"/>
      <c r="M12" s="3"/>
    </row>
    <row r="13" spans="1:13" ht="24" customHeight="1">
      <c r="A13" s="69"/>
      <c r="B13" s="1" t="s">
        <v>624</v>
      </c>
      <c r="C13" s="71">
        <v>0</v>
      </c>
      <c r="D13" s="71">
        <f>'Fund Cover Sheets'!G127</f>
        <v>525084</v>
      </c>
      <c r="E13" s="71">
        <v>0</v>
      </c>
      <c r="F13" s="71">
        <v>0</v>
      </c>
      <c r="G13" s="71">
        <v>0</v>
      </c>
      <c r="H13" s="71">
        <f>'Fund Cover Sheets'!G128</f>
        <v>9820</v>
      </c>
      <c r="I13" s="71">
        <v>0</v>
      </c>
      <c r="J13" s="71">
        <v>0</v>
      </c>
      <c r="K13" s="71">
        <v>0</v>
      </c>
      <c r="L13" s="3">
        <f>'Fund Cover Sheets'!G129</f>
        <v>0</v>
      </c>
      <c r="M13" s="2">
        <f>SUM(C13:L13)</f>
        <v>534904</v>
      </c>
    </row>
    <row r="14" spans="1:13" ht="24" customHeight="1">
      <c r="A14" s="70"/>
      <c r="B14" s="67" t="s">
        <v>698</v>
      </c>
      <c r="C14" s="71">
        <v>0</v>
      </c>
      <c r="D14" s="2">
        <f>'Fund Cover Sheets'!G450</f>
        <v>0</v>
      </c>
      <c r="E14" s="71">
        <v>0</v>
      </c>
      <c r="F14" s="71">
        <v>0</v>
      </c>
      <c r="G14" s="2">
        <f>'Fund Cover Sheets'!G451</f>
        <v>632000</v>
      </c>
      <c r="H14" s="2">
        <f>'Fund Cover Sheets'!G452</f>
        <v>1500</v>
      </c>
      <c r="I14" s="2">
        <f>'Fund Cover Sheets'!G453</f>
        <v>0</v>
      </c>
      <c r="J14" s="2">
        <f>'Fund Cover Sheets'!G454</f>
        <v>200500</v>
      </c>
      <c r="K14" s="2">
        <v>0</v>
      </c>
      <c r="L14" s="2">
        <f>'Fund Cover Sheets'!G455</f>
        <v>1410988</v>
      </c>
      <c r="M14" s="2">
        <f t="shared" ref="M14:M20" si="0">SUM(C14:L14)</f>
        <v>2244988</v>
      </c>
    </row>
    <row r="15" spans="1:13" ht="24" customHeight="1">
      <c r="A15" s="70"/>
      <c r="B15" s="67" t="s">
        <v>525</v>
      </c>
      <c r="C15" s="71">
        <v>0</v>
      </c>
      <c r="D15" s="71">
        <f>'Fund Cover Sheets'!G408</f>
        <v>0</v>
      </c>
      <c r="E15" s="71">
        <v>0</v>
      </c>
      <c r="F15" s="71">
        <v>0</v>
      </c>
      <c r="G15" s="71">
        <v>0</v>
      </c>
      <c r="H15" s="71">
        <v>0</v>
      </c>
      <c r="I15" s="71">
        <f>'Fund Cover Sheets'!G411</f>
        <v>0</v>
      </c>
      <c r="J15" s="71">
        <v>0</v>
      </c>
      <c r="K15" s="71">
        <f>'Fund Cover Sheets'!G410</f>
        <v>58435</v>
      </c>
      <c r="L15" s="3">
        <f>'Fund Cover Sheets'!G413</f>
        <v>0</v>
      </c>
      <c r="M15" s="2">
        <f>SUM(C15:L15)</f>
        <v>58435</v>
      </c>
    </row>
    <row r="16" spans="1:13" ht="24" customHeight="1">
      <c r="A16" s="70"/>
      <c r="B16" s="67" t="s">
        <v>450</v>
      </c>
      <c r="C16" s="71">
        <f>'Fund Cover Sheets'!G580</f>
        <v>232318</v>
      </c>
      <c r="D16" s="71">
        <v>0</v>
      </c>
      <c r="E16" s="71">
        <v>0</v>
      </c>
      <c r="F16" s="71">
        <v>0</v>
      </c>
      <c r="G16" s="71">
        <v>0</v>
      </c>
      <c r="H16" s="71">
        <v>0</v>
      </c>
      <c r="I16" s="71">
        <v>0</v>
      </c>
      <c r="J16" s="3">
        <v>0</v>
      </c>
      <c r="K16" s="3">
        <v>0</v>
      </c>
      <c r="L16" s="3">
        <v>0</v>
      </c>
      <c r="M16" s="2">
        <f>SUM(C16:L16)</f>
        <v>232318</v>
      </c>
    </row>
    <row r="17" spans="1:13" ht="24" customHeight="1">
      <c r="A17" s="70"/>
      <c r="B17" s="67" t="s">
        <v>452</v>
      </c>
      <c r="C17" s="2">
        <f>'Fund Cover Sheets'!G615</f>
        <v>80000</v>
      </c>
      <c r="D17" s="3">
        <v>0</v>
      </c>
      <c r="E17" s="3">
        <v>0</v>
      </c>
      <c r="F17" s="3">
        <v>0</v>
      </c>
      <c r="G17" s="3">
        <v>0</v>
      </c>
      <c r="H17" s="3">
        <v>0</v>
      </c>
      <c r="I17" s="3">
        <v>0</v>
      </c>
      <c r="J17" s="3">
        <v>0</v>
      </c>
      <c r="K17" s="3">
        <v>0</v>
      </c>
      <c r="L17" s="3">
        <v>0</v>
      </c>
      <c r="M17" s="2">
        <f t="shared" si="0"/>
        <v>80000</v>
      </c>
    </row>
    <row r="18" spans="1:13" ht="24" customHeight="1">
      <c r="A18" s="70"/>
      <c r="B18" s="67" t="s">
        <v>1218</v>
      </c>
      <c r="C18" s="2">
        <f>'Fund Cover Sheets'!G653</f>
        <v>0</v>
      </c>
      <c r="D18" s="3">
        <v>0</v>
      </c>
      <c r="E18" s="3">
        <v>0</v>
      </c>
      <c r="F18" s="3">
        <v>0</v>
      </c>
      <c r="G18" s="3">
        <v>0</v>
      </c>
      <c r="H18" s="3">
        <f>'Fund Cover Sheets'!G654</f>
        <v>0</v>
      </c>
      <c r="I18" s="3">
        <v>0</v>
      </c>
      <c r="J18" s="3">
        <v>0</v>
      </c>
      <c r="K18" s="3">
        <v>0</v>
      </c>
      <c r="L18" s="3">
        <v>0</v>
      </c>
      <c r="M18" s="2">
        <f t="shared" si="0"/>
        <v>0</v>
      </c>
    </row>
    <row r="19" spans="1:13" ht="24" customHeight="1">
      <c r="A19" s="70"/>
      <c r="B19" s="67" t="s">
        <v>699</v>
      </c>
      <c r="C19" s="2">
        <f>'Fund Cover Sheets'!G57</f>
        <v>13381</v>
      </c>
      <c r="D19" s="2">
        <v>0</v>
      </c>
      <c r="E19" s="2">
        <v>0</v>
      </c>
      <c r="F19" s="2">
        <v>0</v>
      </c>
      <c r="G19" s="2">
        <v>0</v>
      </c>
      <c r="H19" s="2">
        <v>0</v>
      </c>
      <c r="I19" s="3">
        <v>0</v>
      </c>
      <c r="J19" s="3">
        <v>0</v>
      </c>
      <c r="K19" s="3">
        <v>0</v>
      </c>
      <c r="L19" s="3">
        <v>0</v>
      </c>
      <c r="M19" s="2">
        <f>SUM(C19:L19)</f>
        <v>13381</v>
      </c>
    </row>
    <row r="20" spans="1:13" ht="24" customHeight="1">
      <c r="A20" s="70"/>
      <c r="B20" s="67" t="s">
        <v>700</v>
      </c>
      <c r="C20" s="3">
        <f>'Fund Cover Sheets'!G93</f>
        <v>18140</v>
      </c>
      <c r="D20" s="3">
        <v>0</v>
      </c>
      <c r="E20" s="3">
        <v>0</v>
      </c>
      <c r="F20" s="3">
        <v>0</v>
      </c>
      <c r="G20" s="3">
        <v>0</v>
      </c>
      <c r="H20" s="3">
        <v>0</v>
      </c>
      <c r="I20" s="3">
        <v>0</v>
      </c>
      <c r="J20" s="71">
        <v>0</v>
      </c>
      <c r="K20" s="71">
        <v>0</v>
      </c>
      <c r="L20" s="3">
        <v>0</v>
      </c>
      <c r="M20" s="2">
        <f t="shared" si="0"/>
        <v>18140</v>
      </c>
    </row>
    <row r="21" spans="1:13">
      <c r="A21" s="70"/>
      <c r="B21" s="67"/>
      <c r="C21" s="3"/>
      <c r="D21" s="3"/>
      <c r="E21" s="3"/>
      <c r="F21" s="3"/>
      <c r="G21" s="3"/>
      <c r="H21" s="3"/>
      <c r="I21" s="3"/>
      <c r="J21" s="71"/>
      <c r="K21" s="71"/>
      <c r="L21" s="3"/>
      <c r="M21" s="2"/>
    </row>
    <row r="22" spans="1:13" ht="24" customHeight="1">
      <c r="A22" s="69" t="s">
        <v>701</v>
      </c>
      <c r="B22" s="62"/>
      <c r="C22" s="2">
        <f>'Fund Cover Sheets'!G278</f>
        <v>0</v>
      </c>
      <c r="D22" s="3">
        <v>0</v>
      </c>
      <c r="E22" s="3">
        <f>'Fund Cover Sheets'!G279</f>
        <v>4646</v>
      </c>
      <c r="F22" s="3">
        <v>0</v>
      </c>
      <c r="G22" s="3">
        <v>0</v>
      </c>
      <c r="H22" s="3">
        <v>0</v>
      </c>
      <c r="I22" s="3">
        <v>0</v>
      </c>
      <c r="J22" s="3">
        <v>0</v>
      </c>
      <c r="K22" s="3">
        <v>0</v>
      </c>
      <c r="L22" s="3">
        <f>'Fund Cover Sheets'!G280</f>
        <v>319379</v>
      </c>
      <c r="M22" s="2">
        <f>SUM(C22:L22)</f>
        <v>324025</v>
      </c>
    </row>
    <row r="23" spans="1:13" ht="15" customHeight="1">
      <c r="A23" s="69"/>
      <c r="B23" s="62"/>
      <c r="C23" s="2"/>
      <c r="D23" s="3"/>
      <c r="E23" s="3"/>
      <c r="F23" s="3"/>
      <c r="G23" s="3"/>
      <c r="H23" s="3"/>
      <c r="I23" s="3"/>
      <c r="J23" s="3"/>
      <c r="K23" s="3"/>
      <c r="L23" s="3"/>
      <c r="M23" s="2"/>
    </row>
    <row r="24" spans="1:13" ht="24" customHeight="1">
      <c r="A24" s="69" t="s">
        <v>702</v>
      </c>
      <c r="B24" s="62"/>
      <c r="C24" s="71"/>
      <c r="D24" s="71"/>
      <c r="E24" s="71"/>
      <c r="F24" s="71"/>
      <c r="G24" s="71"/>
      <c r="H24" s="71"/>
      <c r="I24" s="71"/>
      <c r="J24" s="71"/>
      <c r="K24" s="71"/>
      <c r="L24" s="71"/>
      <c r="M24" s="2"/>
    </row>
    <row r="25" spans="1:13" ht="24" customHeight="1">
      <c r="A25" s="70"/>
      <c r="B25" s="67" t="s">
        <v>822</v>
      </c>
      <c r="C25" s="71">
        <v>0</v>
      </c>
      <c r="D25" s="3">
        <v>0</v>
      </c>
      <c r="E25" s="3">
        <f>'Fund Cover Sheets'!G212</f>
        <v>109500</v>
      </c>
      <c r="F25" s="3">
        <f>'Fund Cover Sheets'!G213</f>
        <v>8650</v>
      </c>
      <c r="G25" s="3">
        <f>'Fund Cover Sheets'!G214</f>
        <v>40112</v>
      </c>
      <c r="H25" s="3">
        <f>'Fund Cover Sheets'!G215</f>
        <v>850</v>
      </c>
      <c r="I25" s="2">
        <v>0</v>
      </c>
      <c r="J25" s="3">
        <f>'Fund Cover Sheets'!G216</f>
        <v>2000</v>
      </c>
      <c r="K25" s="3">
        <v>0</v>
      </c>
      <c r="L25" s="3">
        <f>'Fund Cover Sheets'!G217</f>
        <v>0</v>
      </c>
      <c r="M25" s="2">
        <f>SUM(C25:L25)</f>
        <v>161112</v>
      </c>
    </row>
    <row r="26" spans="1:13" ht="24" customHeight="1">
      <c r="A26" s="70"/>
      <c r="B26" s="67" t="s">
        <v>704</v>
      </c>
      <c r="C26" s="3">
        <v>0</v>
      </c>
      <c r="D26" s="3">
        <f>'Fund Cover Sheets'!G165</f>
        <v>0</v>
      </c>
      <c r="E26" s="6">
        <f>'Fund Cover Sheets'!G166</f>
        <v>152180</v>
      </c>
      <c r="F26" s="3">
        <v>0</v>
      </c>
      <c r="G26" s="71">
        <f>'Fund Cover Sheets'!G167</f>
        <v>746500</v>
      </c>
      <c r="H26" s="71">
        <f>'Fund Cover Sheets'!G168</f>
        <v>7500</v>
      </c>
      <c r="I26" s="71">
        <f>'Fund Cover Sheets'!G169</f>
        <v>3013849</v>
      </c>
      <c r="J26" s="3">
        <f>'Fund Cover Sheets'!G170</f>
        <v>2000</v>
      </c>
      <c r="K26" s="3">
        <v>0</v>
      </c>
      <c r="L26" s="3">
        <f>'Fund Cover Sheets'!G171</f>
        <v>0</v>
      </c>
      <c r="M26" s="2">
        <f>SUM(C26:L26)</f>
        <v>3922029</v>
      </c>
    </row>
    <row r="27" spans="1:13">
      <c r="A27" s="70"/>
      <c r="B27" s="67"/>
      <c r="C27" s="3"/>
      <c r="D27" s="3"/>
      <c r="E27" s="6"/>
      <c r="F27" s="3"/>
      <c r="G27" s="71"/>
      <c r="H27" s="71"/>
      <c r="I27" s="71"/>
      <c r="J27" s="3"/>
      <c r="K27" s="3"/>
      <c r="L27" s="3"/>
      <c r="M27" s="2"/>
    </row>
    <row r="28" spans="1:13" ht="24" customHeight="1">
      <c r="A28" s="69" t="s">
        <v>705</v>
      </c>
      <c r="B28" s="67"/>
      <c r="C28" s="2"/>
      <c r="D28" s="71"/>
      <c r="E28" s="71"/>
      <c r="F28" s="71"/>
      <c r="G28" s="71"/>
      <c r="H28" s="71"/>
      <c r="I28" s="71"/>
      <c r="J28" s="71"/>
      <c r="K28" s="71"/>
      <c r="L28" s="3"/>
      <c r="M28" s="3"/>
    </row>
    <row r="29" spans="1:13" ht="24" customHeight="1">
      <c r="B29" s="67" t="s">
        <v>523</v>
      </c>
      <c r="C29" s="71">
        <v>0</v>
      </c>
      <c r="D29" s="71">
        <v>0</v>
      </c>
      <c r="E29" s="71">
        <v>0</v>
      </c>
      <c r="F29" s="71">
        <v>0</v>
      </c>
      <c r="G29" s="2">
        <f>'Fund Cover Sheets'!G315</f>
        <v>4401300</v>
      </c>
      <c r="H29" s="2">
        <f>'Fund Cover Sheets'!G316</f>
        <v>23851</v>
      </c>
      <c r="I29" s="2">
        <f>'Fund Cover Sheets'!G317</f>
        <v>0</v>
      </c>
      <c r="J29" s="71">
        <f>'Fund Cover Sheets'!G318</f>
        <v>95999</v>
      </c>
      <c r="K29" s="71">
        <v>0</v>
      </c>
      <c r="L29" s="3">
        <f>'Fund Cover Sheets'!G319</f>
        <v>178781</v>
      </c>
      <c r="M29" s="2">
        <f>SUM(C29:L29)</f>
        <v>4699931</v>
      </c>
    </row>
    <row r="30" spans="1:13" ht="24" customHeight="1">
      <c r="B30" s="67" t="s">
        <v>524</v>
      </c>
      <c r="C30" s="71">
        <v>0</v>
      </c>
      <c r="D30" s="71">
        <v>0</v>
      </c>
      <c r="E30" s="71">
        <v>0</v>
      </c>
      <c r="F30" s="71">
        <v>0</v>
      </c>
      <c r="G30" s="71">
        <f>'Fund Cover Sheets'!G361</f>
        <v>1567500</v>
      </c>
      <c r="H30" s="71">
        <f>'Fund Cover Sheets'!G362</f>
        <v>7149</v>
      </c>
      <c r="I30" s="71">
        <f>'Fund Cover Sheets'!G363</f>
        <v>0</v>
      </c>
      <c r="J30" s="71">
        <v>0</v>
      </c>
      <c r="K30" s="71">
        <v>0</v>
      </c>
      <c r="L30" s="3">
        <f>'Fund Cover Sheets'!G364</f>
        <v>575030</v>
      </c>
      <c r="M30" s="2">
        <f>SUM(C30:L30)</f>
        <v>2149679</v>
      </c>
    </row>
    <row r="31" spans="1:13" ht="15" customHeight="1">
      <c r="B31" s="67"/>
      <c r="C31" s="71"/>
      <c r="D31" s="71"/>
      <c r="E31" s="71"/>
      <c r="F31" s="71"/>
      <c r="G31" s="71"/>
      <c r="H31" s="71"/>
      <c r="I31" s="71"/>
      <c r="J31" s="71"/>
      <c r="K31" s="71"/>
      <c r="L31" s="3"/>
      <c r="M31" s="2"/>
    </row>
    <row r="32" spans="1:13" ht="24" customHeight="1">
      <c r="A32" s="69" t="s">
        <v>706</v>
      </c>
      <c r="B32" s="67"/>
      <c r="C32" s="71"/>
      <c r="D32" s="71"/>
      <c r="E32" s="71"/>
      <c r="F32" s="71"/>
      <c r="G32" s="71"/>
      <c r="H32" s="71"/>
      <c r="I32" s="71"/>
      <c r="J32" s="71"/>
      <c r="K32" s="71"/>
      <c r="L32" s="71"/>
      <c r="M32" s="2"/>
    </row>
    <row r="33" spans="1:13" ht="24" customHeight="1">
      <c r="A33" s="69"/>
      <c r="B33" s="67" t="s">
        <v>517</v>
      </c>
      <c r="C33" s="71">
        <f>'Fund Cover Sheets'!G492</f>
        <v>1492248</v>
      </c>
      <c r="D33" s="71">
        <f>'Fund Cover Sheets'!G493</f>
        <v>25250</v>
      </c>
      <c r="E33" s="71">
        <v>0</v>
      </c>
      <c r="F33" s="71">
        <f>'Fund Cover Sheets'!G494</f>
        <v>8500</v>
      </c>
      <c r="G33" s="71">
        <f>'Fund Cover Sheets'!G495</f>
        <v>11750</v>
      </c>
      <c r="H33" s="71">
        <f>'Fund Cover Sheets'!G496</f>
        <v>10000</v>
      </c>
      <c r="I33" s="71">
        <f>'Fund Cover Sheets'!G497</f>
        <v>0</v>
      </c>
      <c r="J33" s="71">
        <f>'Fund Cover Sheets'!G498</f>
        <v>4000</v>
      </c>
      <c r="K33" s="71">
        <v>0</v>
      </c>
      <c r="L33" s="71">
        <f>'Fund Cover Sheets'!G499</f>
        <v>25003</v>
      </c>
      <c r="M33" s="2">
        <f>SUM(C33:L33)</f>
        <v>1576751</v>
      </c>
    </row>
    <row r="34" spans="1:13" ht="24" customHeight="1">
      <c r="A34" s="69"/>
      <c r="B34" s="67" t="s">
        <v>707</v>
      </c>
      <c r="C34" s="71">
        <v>0</v>
      </c>
      <c r="D34" s="71">
        <v>0</v>
      </c>
      <c r="E34" s="71">
        <f>'Fund Cover Sheets'!G540</f>
        <v>50000</v>
      </c>
      <c r="F34" s="71">
        <v>0</v>
      </c>
      <c r="G34" s="71">
        <v>0</v>
      </c>
      <c r="H34" s="71">
        <f>'Fund Cover Sheets'!G541</f>
        <v>100</v>
      </c>
      <c r="I34" s="71">
        <v>0</v>
      </c>
      <c r="J34" s="71">
        <v>0</v>
      </c>
      <c r="K34" s="71">
        <v>0</v>
      </c>
      <c r="L34" s="71">
        <v>0</v>
      </c>
      <c r="M34" s="2">
        <f>SUM(C34:L34)</f>
        <v>50100</v>
      </c>
    </row>
    <row r="35" spans="1:13" ht="15" customHeight="1">
      <c r="A35" s="69"/>
      <c r="B35" s="67"/>
      <c r="C35" s="71"/>
      <c r="D35" s="71"/>
      <c r="E35" s="71"/>
      <c r="F35" s="71"/>
      <c r="G35" s="71"/>
      <c r="H35" s="71"/>
      <c r="I35" s="71"/>
      <c r="J35" s="71"/>
      <c r="K35" s="71"/>
      <c r="L35" s="71"/>
      <c r="M35" s="2"/>
    </row>
    <row r="36" spans="1:13" ht="24" customHeight="1" thickBot="1">
      <c r="A36" s="7"/>
      <c r="B36" s="73" t="s">
        <v>763</v>
      </c>
      <c r="C36" s="79">
        <f t="shared" ref="C36:M36" si="1">SUM(C10:C35)</f>
        <v>13224802</v>
      </c>
      <c r="D36" s="79">
        <f t="shared" si="1"/>
        <v>3253566</v>
      </c>
      <c r="E36" s="79">
        <f t="shared" si="1"/>
        <v>729826</v>
      </c>
      <c r="F36" s="79">
        <f t="shared" si="1"/>
        <v>142550</v>
      </c>
      <c r="G36" s="79">
        <f t="shared" si="1"/>
        <v>9015373</v>
      </c>
      <c r="H36" s="79">
        <f t="shared" si="1"/>
        <v>140770</v>
      </c>
      <c r="I36" s="79">
        <f t="shared" si="1"/>
        <v>3088849</v>
      </c>
      <c r="J36" s="79">
        <f t="shared" si="1"/>
        <v>324499</v>
      </c>
      <c r="K36" s="79">
        <f t="shared" si="1"/>
        <v>58435</v>
      </c>
      <c r="L36" s="79">
        <f t="shared" si="1"/>
        <v>2556361</v>
      </c>
      <c r="M36" s="79">
        <f t="shared" si="1"/>
        <v>32535031</v>
      </c>
    </row>
    <row r="37" spans="1:13" ht="15" customHeight="1" thickTop="1">
      <c r="C37" s="2"/>
      <c r="D37" s="2"/>
      <c r="E37" s="2"/>
      <c r="F37" s="2"/>
      <c r="G37" s="2"/>
      <c r="H37" s="2"/>
      <c r="I37" s="2"/>
      <c r="J37" s="2"/>
      <c r="K37" s="2"/>
      <c r="L37" s="2"/>
    </row>
    <row r="38" spans="1:13" ht="15" customHeight="1">
      <c r="C38" s="80"/>
      <c r="D38" s="80"/>
      <c r="E38" s="80"/>
      <c r="F38" s="80"/>
      <c r="G38" s="80"/>
      <c r="H38" s="80"/>
      <c r="I38" s="80"/>
      <c r="J38" s="80"/>
      <c r="K38" s="80"/>
      <c r="L38" s="80"/>
      <c r="M38" s="80"/>
    </row>
    <row r="39" spans="1:13" ht="24" customHeight="1">
      <c r="A39" s="464" t="s">
        <v>693</v>
      </c>
      <c r="B39" s="464"/>
      <c r="C39" s="464"/>
      <c r="D39" s="464"/>
      <c r="E39" s="464"/>
      <c r="F39" s="464"/>
      <c r="G39" s="464"/>
      <c r="H39" s="464"/>
      <c r="I39" s="464"/>
      <c r="J39" s="464"/>
      <c r="K39" s="321"/>
      <c r="L39" s="321"/>
      <c r="M39" s="2"/>
    </row>
    <row r="40" spans="1:13" ht="24" customHeight="1">
      <c r="A40" s="465" t="s">
        <v>732</v>
      </c>
      <c r="B40" s="465"/>
      <c r="C40" s="465"/>
      <c r="D40" s="465"/>
      <c r="E40" s="465"/>
      <c r="F40" s="465"/>
      <c r="G40" s="465"/>
      <c r="H40" s="465"/>
      <c r="I40" s="465"/>
      <c r="J40" s="465"/>
      <c r="K40" s="322"/>
      <c r="L40" s="322"/>
    </row>
    <row r="41" spans="1:13" ht="24" customHeight="1">
      <c r="A41" s="464" t="s">
        <v>1305</v>
      </c>
      <c r="B41" s="464"/>
      <c r="C41" s="464"/>
      <c r="D41" s="464"/>
      <c r="E41" s="464"/>
      <c r="F41" s="464"/>
      <c r="G41" s="464"/>
      <c r="H41" s="464"/>
      <c r="I41" s="464"/>
      <c r="J41" s="464"/>
      <c r="K41" s="321"/>
      <c r="L41" s="321"/>
      <c r="M41" s="2"/>
    </row>
    <row r="42" spans="1:13" ht="15" customHeight="1">
      <c r="M42" s="2"/>
    </row>
    <row r="43" spans="1:13" ht="15" customHeight="1">
      <c r="J43" s="63" t="s">
        <v>711</v>
      </c>
      <c r="M43" s="2"/>
    </row>
    <row r="44" spans="1:13" ht="15" customHeight="1">
      <c r="C44" s="63"/>
      <c r="D44" s="63"/>
      <c r="E44" s="63" t="s">
        <v>733</v>
      </c>
      <c r="F44" s="64"/>
      <c r="G44" s="63" t="s">
        <v>734</v>
      </c>
      <c r="H44" s="63" t="s">
        <v>1088</v>
      </c>
      <c r="I44" s="63" t="s">
        <v>735</v>
      </c>
      <c r="J44" s="64" t="s">
        <v>736</v>
      </c>
      <c r="K44" s="64" t="s">
        <v>721</v>
      </c>
      <c r="M44" s="2"/>
    </row>
    <row r="45" spans="1:13" ht="15" customHeight="1" thickBot="1">
      <c r="A45" s="65"/>
      <c r="B45" s="65" t="s">
        <v>695</v>
      </c>
      <c r="C45" s="76" t="s">
        <v>649</v>
      </c>
      <c r="D45" s="76" t="s">
        <v>650</v>
      </c>
      <c r="E45" s="66" t="s">
        <v>737</v>
      </c>
      <c r="F45" s="66" t="s">
        <v>652</v>
      </c>
      <c r="G45" s="66" t="s">
        <v>738</v>
      </c>
      <c r="H45" s="66" t="s">
        <v>1089</v>
      </c>
      <c r="I45" s="66" t="s">
        <v>739</v>
      </c>
      <c r="J45" s="66" t="s">
        <v>740</v>
      </c>
      <c r="K45" s="66" t="s">
        <v>731</v>
      </c>
      <c r="M45" s="2"/>
    </row>
    <row r="46" spans="1:13" s="62" customFormat="1" ht="15" customHeight="1">
      <c r="A46" s="67"/>
      <c r="B46" s="67"/>
      <c r="C46" s="77"/>
      <c r="D46" s="77"/>
      <c r="E46" s="68"/>
      <c r="F46" s="68"/>
      <c r="G46" s="68"/>
      <c r="I46" s="68"/>
      <c r="J46" s="68"/>
      <c r="K46" s="68"/>
      <c r="M46" s="3"/>
    </row>
    <row r="47" spans="1:13" ht="15" customHeight="1">
      <c r="M47" s="2"/>
    </row>
    <row r="48" spans="1:13" ht="24" customHeight="1">
      <c r="A48" s="69" t="s">
        <v>696</v>
      </c>
      <c r="C48" s="3">
        <f>'Fund Cover Sheets'!G23</f>
        <v>5206755</v>
      </c>
      <c r="D48" s="3">
        <f>'Fund Cover Sheets'!G24</f>
        <v>3273617</v>
      </c>
      <c r="E48" s="3">
        <f>'Fund Cover Sheets'!G25</f>
        <v>5193468</v>
      </c>
      <c r="F48" s="3">
        <f>'Fund Cover Sheets'!G26</f>
        <v>464998</v>
      </c>
      <c r="G48" s="3">
        <v>0</v>
      </c>
      <c r="H48" s="2">
        <v>0</v>
      </c>
      <c r="I48" s="3">
        <v>0</v>
      </c>
      <c r="J48" s="3">
        <f>'Fund Cover Sheets'!G27</f>
        <v>2330400</v>
      </c>
      <c r="K48" s="3">
        <f>SUM(C48:J48)</f>
        <v>16469238</v>
      </c>
      <c r="M48" s="2"/>
    </row>
    <row r="49" spans="1:13" ht="15" customHeight="1">
      <c r="A49" s="69"/>
      <c r="C49" s="3"/>
      <c r="D49" s="3"/>
      <c r="E49" s="3"/>
      <c r="F49" s="3"/>
      <c r="G49" s="3"/>
      <c r="H49" s="2"/>
      <c r="I49" s="3"/>
      <c r="J49" s="3"/>
      <c r="K49" s="3"/>
      <c r="M49" s="2"/>
    </row>
    <row r="50" spans="1:13" ht="24" customHeight="1">
      <c r="A50" s="69" t="s">
        <v>697</v>
      </c>
      <c r="C50" s="71"/>
      <c r="D50" s="71"/>
      <c r="E50" s="71"/>
      <c r="F50" s="71"/>
      <c r="G50" s="71"/>
      <c r="H50" s="2"/>
      <c r="I50" s="71"/>
      <c r="J50" s="3"/>
      <c r="K50" s="3"/>
      <c r="M50" s="6"/>
    </row>
    <row r="51" spans="1:13" ht="24" customHeight="1">
      <c r="A51" s="69"/>
      <c r="B51" s="1" t="s">
        <v>624</v>
      </c>
      <c r="C51" s="71">
        <v>0</v>
      </c>
      <c r="D51" s="71">
        <v>0</v>
      </c>
      <c r="E51" s="71">
        <f>'Fund Cover Sheets'!G133</f>
        <v>0</v>
      </c>
      <c r="F51" s="71">
        <f>'Fund Cover Sheets'!G134</f>
        <v>0</v>
      </c>
      <c r="G51" s="71">
        <f>'Fund Cover Sheets'!G135</f>
        <v>718788</v>
      </c>
      <c r="H51" s="2">
        <v>0</v>
      </c>
      <c r="I51" s="71">
        <v>0</v>
      </c>
      <c r="J51" s="3">
        <v>0</v>
      </c>
      <c r="K51" s="3">
        <f t="shared" ref="K51:K58" si="2">SUM(C51:J51)</f>
        <v>718788</v>
      </c>
      <c r="M51" s="6"/>
    </row>
    <row r="52" spans="1:13" ht="24" customHeight="1">
      <c r="A52" s="70"/>
      <c r="B52" s="67" t="s">
        <v>698</v>
      </c>
      <c r="C52" s="71">
        <f>'Fund Cover Sheets'!G459</f>
        <v>1103861</v>
      </c>
      <c r="D52" s="71">
        <f>'Fund Cover Sheets'!G460</f>
        <v>448232</v>
      </c>
      <c r="E52" s="2">
        <f>'Fund Cover Sheets'!G461</f>
        <v>301682</v>
      </c>
      <c r="F52" s="71">
        <f>'Fund Cover Sheets'!G462</f>
        <v>489630</v>
      </c>
      <c r="G52" s="71">
        <v>0</v>
      </c>
      <c r="H52" s="2">
        <v>0</v>
      </c>
      <c r="I52" s="71">
        <v>0</v>
      </c>
      <c r="J52" s="3">
        <v>0</v>
      </c>
      <c r="K52" s="3">
        <f t="shared" si="2"/>
        <v>2343405</v>
      </c>
      <c r="M52" s="6"/>
    </row>
    <row r="53" spans="1:13" ht="24" customHeight="1">
      <c r="A53" s="70"/>
      <c r="B53" s="67" t="s">
        <v>525</v>
      </c>
      <c r="C53" s="71">
        <v>0</v>
      </c>
      <c r="D53" s="71">
        <v>0</v>
      </c>
      <c r="E53" s="71">
        <f>'Fund Cover Sheets'!G417</f>
        <v>4850</v>
      </c>
      <c r="F53" s="71">
        <v>0</v>
      </c>
      <c r="G53" s="71">
        <f>'Fund Cover Sheets'!G418</f>
        <v>100000</v>
      </c>
      <c r="H53" s="2">
        <v>0</v>
      </c>
      <c r="I53" s="71">
        <v>0</v>
      </c>
      <c r="J53" s="3">
        <v>0</v>
      </c>
      <c r="K53" s="3">
        <f t="shared" si="2"/>
        <v>104850</v>
      </c>
      <c r="M53" s="6"/>
    </row>
    <row r="54" spans="1:13" ht="24" customHeight="1">
      <c r="A54" s="70"/>
      <c r="B54" s="67" t="s">
        <v>450</v>
      </c>
      <c r="C54" s="71">
        <v>0</v>
      </c>
      <c r="D54" s="71">
        <v>0</v>
      </c>
      <c r="E54" s="71">
        <f>'Fund Cover Sheets'!G584</f>
        <v>713963</v>
      </c>
      <c r="F54" s="71">
        <v>0</v>
      </c>
      <c r="G54" s="71">
        <v>0</v>
      </c>
      <c r="H54" s="2">
        <v>0</v>
      </c>
      <c r="I54" s="71">
        <f>'Fund Cover Sheets'!G585</f>
        <v>209845</v>
      </c>
      <c r="J54" s="3">
        <v>0</v>
      </c>
      <c r="K54" s="3">
        <f t="shared" si="2"/>
        <v>923808</v>
      </c>
      <c r="M54" s="6"/>
    </row>
    <row r="55" spans="1:13" ht="24" customHeight="1">
      <c r="A55" s="70"/>
      <c r="B55" s="67" t="s">
        <v>452</v>
      </c>
      <c r="C55" s="2">
        <v>0</v>
      </c>
      <c r="D55" s="71">
        <v>0</v>
      </c>
      <c r="E55" s="2">
        <f>'Fund Cover Sheets'!G621</f>
        <v>93246</v>
      </c>
      <c r="F55" s="71">
        <v>0</v>
      </c>
      <c r="G55" s="71">
        <f>'Fund Cover Sheets'!G622</f>
        <v>114988</v>
      </c>
      <c r="H55" s="2">
        <v>0</v>
      </c>
      <c r="I55" s="71">
        <f>'Fund Cover Sheets'!G623</f>
        <v>218250</v>
      </c>
      <c r="J55" s="3">
        <v>0</v>
      </c>
      <c r="K55" s="3">
        <f t="shared" si="2"/>
        <v>426484</v>
      </c>
      <c r="M55" s="6"/>
    </row>
    <row r="56" spans="1:13" ht="24" customHeight="1">
      <c r="A56" s="70"/>
      <c r="B56" s="67" t="s">
        <v>1218</v>
      </c>
      <c r="C56" s="2">
        <v>0</v>
      </c>
      <c r="D56" s="71">
        <v>0</v>
      </c>
      <c r="E56" s="2">
        <f>'Fund Cover Sheets'!G658</f>
        <v>35000</v>
      </c>
      <c r="F56" s="71">
        <v>0</v>
      </c>
      <c r="G56" s="71">
        <f>'Fund Cover Sheets'!G659</f>
        <v>0</v>
      </c>
      <c r="H56" s="2">
        <v>0</v>
      </c>
      <c r="I56" s="71">
        <v>0</v>
      </c>
      <c r="J56" s="3">
        <v>0</v>
      </c>
      <c r="K56" s="3">
        <f t="shared" si="2"/>
        <v>35000</v>
      </c>
      <c r="M56" s="6"/>
    </row>
    <row r="57" spans="1:13" ht="24" customHeight="1">
      <c r="A57" s="70"/>
      <c r="B57" s="67" t="s">
        <v>699</v>
      </c>
      <c r="C57" s="3">
        <v>0</v>
      </c>
      <c r="D57" s="3">
        <v>0</v>
      </c>
      <c r="E57" s="3">
        <f>'Fund Cover Sheets'!G62</f>
        <v>30977</v>
      </c>
      <c r="F57" s="3">
        <v>0</v>
      </c>
      <c r="G57" s="3">
        <v>0</v>
      </c>
      <c r="H57" s="2">
        <v>0</v>
      </c>
      <c r="I57" s="3">
        <v>0</v>
      </c>
      <c r="J57" s="3">
        <v>0</v>
      </c>
      <c r="K57" s="3">
        <f t="shared" si="2"/>
        <v>30977</v>
      </c>
      <c r="M57" s="6"/>
    </row>
    <row r="58" spans="1:13" ht="24" customHeight="1">
      <c r="A58" s="70"/>
      <c r="B58" s="67" t="s">
        <v>700</v>
      </c>
      <c r="C58" s="3">
        <v>0</v>
      </c>
      <c r="D58" s="3">
        <v>0</v>
      </c>
      <c r="E58" s="3">
        <f>'Fund Cover Sheets'!G97</f>
        <v>13977</v>
      </c>
      <c r="F58" s="3">
        <v>0</v>
      </c>
      <c r="G58" s="3">
        <v>0</v>
      </c>
      <c r="H58" s="2">
        <v>0</v>
      </c>
      <c r="I58" s="71">
        <v>0</v>
      </c>
      <c r="J58" s="2">
        <v>0</v>
      </c>
      <c r="K58" s="3">
        <f t="shared" si="2"/>
        <v>13977</v>
      </c>
      <c r="M58" s="6"/>
    </row>
    <row r="59" spans="1:13">
      <c r="A59" s="70"/>
      <c r="B59" s="67"/>
      <c r="C59" s="3"/>
      <c r="D59" s="3"/>
      <c r="E59" s="3"/>
      <c r="F59" s="3"/>
      <c r="G59" s="3"/>
      <c r="H59" s="2"/>
      <c r="I59" s="71"/>
      <c r="J59" s="2"/>
      <c r="K59" s="3"/>
      <c r="M59" s="6"/>
    </row>
    <row r="60" spans="1:13" ht="24" customHeight="1">
      <c r="A60" s="69" t="s">
        <v>701</v>
      </c>
      <c r="B60" s="62"/>
      <c r="C60" s="71">
        <v>0</v>
      </c>
      <c r="D60" s="71">
        <v>0</v>
      </c>
      <c r="E60" s="71">
        <f>'Fund Cover Sheets'!G284</f>
        <v>475</v>
      </c>
      <c r="F60" s="71">
        <v>0</v>
      </c>
      <c r="G60" s="71">
        <v>0</v>
      </c>
      <c r="H60" s="2">
        <v>0</v>
      </c>
      <c r="I60" s="3">
        <f>'Fund Cover Sheets'!G285</f>
        <v>323550</v>
      </c>
      <c r="J60" s="2">
        <v>0</v>
      </c>
      <c r="K60" s="3">
        <f>SUM(C60:J60)</f>
        <v>324025</v>
      </c>
      <c r="M60" s="6"/>
    </row>
    <row r="61" spans="1:13">
      <c r="A61" s="70"/>
      <c r="B61" s="62"/>
      <c r="C61" s="3"/>
      <c r="D61" s="3"/>
      <c r="E61" s="2"/>
      <c r="F61" s="3"/>
      <c r="G61" s="71"/>
      <c r="H61" s="2"/>
      <c r="I61" s="3"/>
      <c r="J61" s="2"/>
      <c r="K61" s="3"/>
    </row>
    <row r="62" spans="1:13" ht="24" customHeight="1">
      <c r="A62" s="69" t="s">
        <v>702</v>
      </c>
      <c r="B62" s="62"/>
      <c r="C62" s="71"/>
      <c r="D62" s="71"/>
      <c r="E62" s="2"/>
      <c r="F62" s="71"/>
      <c r="G62" s="71"/>
      <c r="H62" s="2"/>
      <c r="I62" s="71"/>
      <c r="J62" s="2"/>
      <c r="K62" s="3"/>
    </row>
    <row r="63" spans="1:13" ht="24" customHeight="1">
      <c r="A63" s="70"/>
      <c r="B63" s="67" t="s">
        <v>822</v>
      </c>
      <c r="C63" s="3">
        <v>0</v>
      </c>
      <c r="D63" s="3">
        <v>0</v>
      </c>
      <c r="E63" s="2">
        <f>'Fund Cover Sheets'!G221+'Fund Cover Sheets'!G231+'Fund Cover Sheets'!G238</f>
        <v>14500</v>
      </c>
      <c r="F63" s="3">
        <f>'Fund Cover Sheets'!G232+'Fund Cover Sheets'!G226</f>
        <v>16080</v>
      </c>
      <c r="G63" s="3">
        <f>'Fund Cover Sheets'!G222+'Fund Cover Sheets'!G233+'Fund Cover Sheets'!G239+'Fund Cover Sheets'!G227</f>
        <v>117000</v>
      </c>
      <c r="H63" s="2">
        <v>0</v>
      </c>
      <c r="I63" s="3">
        <f>'Fund Cover Sheets'!G234+'Fund Cover Sheets'!G240</f>
        <v>77890</v>
      </c>
      <c r="J63" s="3">
        <v>0</v>
      </c>
      <c r="K63" s="3">
        <f>SUM(C63:J63)</f>
        <v>225470</v>
      </c>
    </row>
    <row r="64" spans="1:13" ht="24" customHeight="1">
      <c r="A64" s="70"/>
      <c r="B64" s="67" t="s">
        <v>704</v>
      </c>
      <c r="C64" s="3">
        <v>0</v>
      </c>
      <c r="D64" s="71">
        <v>0</v>
      </c>
      <c r="E64" s="71">
        <f>'Fund Cover Sheets'!G175</f>
        <v>334795</v>
      </c>
      <c r="F64" s="71">
        <f>'Fund Cover Sheets'!G176</f>
        <v>82000</v>
      </c>
      <c r="G64" s="71">
        <f>'Fund Cover Sheets'!G177</f>
        <v>3657339</v>
      </c>
      <c r="H64" s="2">
        <v>0</v>
      </c>
      <c r="I64" s="71">
        <f>'Fund Cover Sheets'!G178</f>
        <v>322188</v>
      </c>
      <c r="J64" s="71">
        <f>'Fund Cover Sheets'!G179</f>
        <v>152086</v>
      </c>
      <c r="K64" s="3">
        <f>SUM(C64:J64)</f>
        <v>4548408</v>
      </c>
    </row>
    <row r="65" spans="1:11">
      <c r="A65" s="70"/>
      <c r="B65" s="67"/>
      <c r="C65" s="3"/>
      <c r="D65" s="71"/>
      <c r="E65" s="71"/>
      <c r="F65" s="71"/>
      <c r="G65" s="71"/>
      <c r="H65" s="2"/>
      <c r="I65" s="71"/>
      <c r="J65" s="71"/>
      <c r="K65" s="3"/>
    </row>
    <row r="66" spans="1:11" ht="24" customHeight="1">
      <c r="A66" s="69" t="s">
        <v>705</v>
      </c>
      <c r="B66" s="67"/>
      <c r="C66" s="2"/>
      <c r="D66" s="71"/>
      <c r="E66" s="71"/>
      <c r="F66" s="71"/>
      <c r="G66" s="71"/>
      <c r="H66" s="2"/>
      <c r="I66" s="71"/>
      <c r="J66" s="3"/>
      <c r="K66" s="3"/>
    </row>
    <row r="67" spans="1:11" ht="24" customHeight="1">
      <c r="B67" s="67" t="s">
        <v>523</v>
      </c>
      <c r="C67" s="2">
        <f>'Fund Cover Sheets'!G323</f>
        <v>519935</v>
      </c>
      <c r="D67" s="71">
        <f>'Fund Cover Sheets'!G324</f>
        <v>263064</v>
      </c>
      <c r="E67" s="71">
        <f>'Fund Cover Sheets'!G325</f>
        <v>804218</v>
      </c>
      <c r="F67" s="71">
        <f>'Fund Cover Sheets'!G326</f>
        <v>393281</v>
      </c>
      <c r="G67" s="71">
        <f>'Fund Cover Sheets'!G327</f>
        <v>1428146</v>
      </c>
      <c r="H67" s="2">
        <v>0</v>
      </c>
      <c r="I67" s="71">
        <f>'Fund Cover Sheets'!G328</f>
        <v>2361500</v>
      </c>
      <c r="J67" s="3">
        <f>'Fund Cover Sheets'!G329</f>
        <v>0</v>
      </c>
      <c r="K67" s="3">
        <f>SUM(C67:J67)</f>
        <v>5770144</v>
      </c>
    </row>
    <row r="68" spans="1:11" ht="24" customHeight="1">
      <c r="B68" s="67" t="s">
        <v>524</v>
      </c>
      <c r="C68" s="2">
        <f>'Fund Cover Sheets'!G368</f>
        <v>270946</v>
      </c>
      <c r="D68" s="2">
        <f>'Fund Cover Sheets'!G369</f>
        <v>164060</v>
      </c>
      <c r="E68" s="2">
        <f>'Fund Cover Sheets'!G370</f>
        <v>232677</v>
      </c>
      <c r="F68" s="71">
        <f>'Fund Cover Sheets'!G371</f>
        <v>62650</v>
      </c>
      <c r="G68" s="71">
        <f>'Fund Cover Sheets'!G372</f>
        <v>350861</v>
      </c>
      <c r="H68" s="2">
        <f>'Fund Cover Sheets'!G373</f>
        <v>30721</v>
      </c>
      <c r="I68" s="71">
        <f>'Fund Cover Sheets'!G374</f>
        <v>1352307</v>
      </c>
      <c r="J68" s="3">
        <f>'Fund Cover Sheets'!G375</f>
        <v>73875</v>
      </c>
      <c r="K68" s="3">
        <f>SUM(C68:J68)</f>
        <v>2538097</v>
      </c>
    </row>
    <row r="69" spans="1:11">
      <c r="B69" s="67"/>
      <c r="C69" s="71"/>
      <c r="D69" s="71"/>
      <c r="E69" s="71"/>
      <c r="F69" s="71"/>
      <c r="G69" s="71"/>
      <c r="H69" s="2"/>
      <c r="I69" s="71"/>
      <c r="J69" s="71"/>
      <c r="K69" s="3"/>
    </row>
    <row r="70" spans="1:11" ht="24" customHeight="1">
      <c r="A70" s="69" t="s">
        <v>706</v>
      </c>
      <c r="B70" s="67"/>
      <c r="C70" s="71"/>
      <c r="D70" s="71"/>
      <c r="E70" s="71"/>
      <c r="F70" s="71"/>
      <c r="G70" s="71"/>
      <c r="H70" s="2"/>
      <c r="I70" s="71"/>
      <c r="J70" s="71"/>
      <c r="K70" s="3"/>
    </row>
    <row r="71" spans="1:11" ht="24" customHeight="1">
      <c r="A71" s="69"/>
      <c r="B71" s="67" t="s">
        <v>517</v>
      </c>
      <c r="C71" s="71">
        <f>'Fund Cover Sheets'!G503</f>
        <v>474394</v>
      </c>
      <c r="D71" s="71">
        <f>'Fund Cover Sheets'!G504</f>
        <v>175658</v>
      </c>
      <c r="E71" s="71">
        <f>'Fund Cover Sheets'!G505</f>
        <v>149080</v>
      </c>
      <c r="F71" s="71">
        <f>'Fund Cover Sheets'!G506</f>
        <v>24200</v>
      </c>
      <c r="G71" s="71">
        <v>0</v>
      </c>
      <c r="H71" s="2">
        <v>0</v>
      </c>
      <c r="I71" s="71">
        <f>'Fund Cover Sheets'!G507</f>
        <v>797013</v>
      </c>
      <c r="J71" s="71">
        <v>0</v>
      </c>
      <c r="K71" s="3">
        <f>SUM(C71:J71)</f>
        <v>1620345</v>
      </c>
    </row>
    <row r="72" spans="1:11" ht="24" customHeight="1">
      <c r="A72" s="69"/>
      <c r="B72" s="67" t="s">
        <v>707</v>
      </c>
      <c r="C72" s="71">
        <v>0</v>
      </c>
      <c r="D72" s="71">
        <v>0</v>
      </c>
      <c r="E72" s="71">
        <f>'Fund Cover Sheets'!G546</f>
        <v>3500</v>
      </c>
      <c r="F72" s="71">
        <f>'Fund Cover Sheets'!G547</f>
        <v>72000</v>
      </c>
      <c r="G72" s="71">
        <v>0</v>
      </c>
      <c r="H72" s="2">
        <v>0</v>
      </c>
      <c r="I72" s="71">
        <v>0</v>
      </c>
      <c r="J72" s="71">
        <v>0</v>
      </c>
      <c r="K72" s="3">
        <f>SUM(C72:J72)</f>
        <v>75500</v>
      </c>
    </row>
    <row r="73" spans="1:11">
      <c r="A73" s="72"/>
      <c r="B73" s="67"/>
      <c r="C73" s="71"/>
      <c r="D73" s="71"/>
      <c r="E73" s="71"/>
      <c r="F73" s="71"/>
      <c r="G73" s="71"/>
      <c r="H73" s="2"/>
      <c r="I73" s="71"/>
      <c r="J73" s="3"/>
      <c r="K73" s="3"/>
    </row>
    <row r="74" spans="1:11" ht="24" customHeight="1" thickBot="1">
      <c r="A74" s="7"/>
      <c r="B74" s="73" t="s">
        <v>764</v>
      </c>
      <c r="C74" s="79">
        <f t="shared" ref="C74:K74" si="3">SUM(C48:C73)</f>
        <v>7575891</v>
      </c>
      <c r="D74" s="79">
        <f t="shared" si="3"/>
        <v>4324631</v>
      </c>
      <c r="E74" s="79">
        <f t="shared" si="3"/>
        <v>7926408</v>
      </c>
      <c r="F74" s="79">
        <f t="shared" si="3"/>
        <v>1604839</v>
      </c>
      <c r="G74" s="79">
        <f t="shared" si="3"/>
        <v>6487122</v>
      </c>
      <c r="H74" s="79">
        <f t="shared" si="3"/>
        <v>30721</v>
      </c>
      <c r="I74" s="79">
        <f t="shared" si="3"/>
        <v>5662543</v>
      </c>
      <c r="J74" s="79">
        <f t="shared" si="3"/>
        <v>2556361</v>
      </c>
      <c r="K74" s="79">
        <f t="shared" si="3"/>
        <v>36168516</v>
      </c>
    </row>
    <row r="75" spans="1:11" ht="14.4" thickTop="1">
      <c r="C75" s="75"/>
      <c r="D75" s="75"/>
      <c r="E75" s="75"/>
      <c r="F75" s="75"/>
      <c r="G75" s="75"/>
      <c r="H75" s="87"/>
      <c r="I75" s="75"/>
    </row>
    <row r="76" spans="1:11">
      <c r="C76" s="75"/>
      <c r="D76" s="75"/>
      <c r="E76" s="75"/>
      <c r="F76" s="75"/>
      <c r="G76" s="75"/>
      <c r="H76" s="87"/>
      <c r="I76" s="75"/>
    </row>
    <row r="77" spans="1:11">
      <c r="C77" s="75"/>
      <c r="D77" s="75"/>
      <c r="E77" s="75"/>
      <c r="F77" s="75"/>
      <c r="G77" s="75"/>
      <c r="H77" s="87"/>
      <c r="I77" s="75"/>
    </row>
    <row r="78" spans="1:11">
      <c r="C78" s="75"/>
      <c r="D78" s="75"/>
      <c r="E78" s="75"/>
      <c r="F78" s="75"/>
      <c r="G78" s="75"/>
      <c r="H78" s="87"/>
      <c r="I78" s="75"/>
    </row>
    <row r="79" spans="1:11">
      <c r="C79" s="75"/>
      <c r="D79" s="75"/>
      <c r="E79" s="75"/>
      <c r="F79" s="75"/>
      <c r="G79" s="75"/>
      <c r="H79" s="87"/>
      <c r="I79" s="75"/>
    </row>
    <row r="80" spans="1:11">
      <c r="C80" s="75"/>
      <c r="D80" s="75"/>
      <c r="E80" s="75"/>
      <c r="F80" s="75"/>
      <c r="G80" s="75"/>
      <c r="H80" s="87"/>
      <c r="I80" s="75"/>
    </row>
    <row r="81" spans="3:9">
      <c r="C81" s="75"/>
      <c r="D81" s="75"/>
      <c r="E81" s="75"/>
      <c r="F81" s="75"/>
      <c r="G81" s="75"/>
      <c r="H81" s="87"/>
      <c r="I81" s="75"/>
    </row>
    <row r="82" spans="3:9">
      <c r="C82" s="75"/>
      <c r="D82" s="75"/>
      <c r="E82" s="75"/>
      <c r="F82" s="75"/>
      <c r="G82" s="75"/>
      <c r="H82" s="87"/>
      <c r="I82" s="75"/>
    </row>
    <row r="83" spans="3:9">
      <c r="C83" s="75"/>
      <c r="D83" s="75"/>
      <c r="E83" s="75"/>
      <c r="F83" s="75"/>
      <c r="G83" s="75"/>
      <c r="H83" s="87"/>
      <c r="I83" s="75"/>
    </row>
    <row r="84" spans="3:9">
      <c r="C84" s="75"/>
      <c r="D84" s="75"/>
      <c r="E84" s="75"/>
      <c r="F84" s="75"/>
      <c r="G84" s="75"/>
      <c r="H84" s="87"/>
      <c r="I84" s="75"/>
    </row>
    <row r="85" spans="3:9">
      <c r="C85" s="75"/>
      <c r="D85" s="75"/>
      <c r="E85" s="75"/>
      <c r="F85" s="75"/>
      <c r="G85" s="75"/>
      <c r="H85" s="87"/>
      <c r="I85" s="75"/>
    </row>
    <row r="86" spans="3:9">
      <c r="C86" s="75"/>
      <c r="D86" s="75"/>
      <c r="E86" s="75"/>
      <c r="F86" s="75"/>
      <c r="G86" s="75"/>
      <c r="H86" s="75"/>
      <c r="I86" s="75"/>
    </row>
    <row r="87" spans="3:9">
      <c r="C87" s="75"/>
      <c r="D87" s="75"/>
      <c r="E87" s="75"/>
      <c r="F87" s="75"/>
      <c r="G87" s="75"/>
      <c r="H87" s="75"/>
      <c r="I87" s="75"/>
    </row>
    <row r="88" spans="3:9">
      <c r="C88" s="75"/>
      <c r="D88" s="75"/>
      <c r="E88" s="75"/>
      <c r="F88" s="75"/>
      <c r="G88" s="75"/>
      <c r="H88" s="75"/>
      <c r="I88" s="75"/>
    </row>
    <row r="89" spans="3:9">
      <c r="C89" s="75"/>
      <c r="D89" s="75"/>
      <c r="E89" s="75"/>
      <c r="F89" s="75"/>
      <c r="G89" s="75"/>
      <c r="H89" s="75"/>
      <c r="I89" s="75"/>
    </row>
    <row r="90" spans="3:9">
      <c r="C90" s="75"/>
      <c r="D90" s="75"/>
      <c r="E90" s="75"/>
      <c r="F90" s="75"/>
      <c r="G90" s="75"/>
      <c r="H90" s="75"/>
      <c r="I90" s="75"/>
    </row>
    <row r="91" spans="3:9">
      <c r="C91" s="75"/>
      <c r="D91" s="75"/>
      <c r="E91" s="75"/>
      <c r="F91" s="75"/>
      <c r="G91" s="75"/>
      <c r="H91" s="75"/>
      <c r="I91" s="75"/>
    </row>
    <row r="92" spans="3:9">
      <c r="C92" s="75"/>
      <c r="D92" s="75"/>
      <c r="E92" s="75"/>
      <c r="F92" s="75"/>
      <c r="G92" s="75"/>
      <c r="H92" s="75"/>
      <c r="I92" s="75"/>
    </row>
    <row r="93" spans="3:9">
      <c r="C93" s="75"/>
      <c r="D93" s="75"/>
      <c r="E93" s="75"/>
      <c r="F93" s="75"/>
      <c r="G93" s="75"/>
      <c r="H93" s="75"/>
      <c r="I93" s="75"/>
    </row>
    <row r="94" spans="3:9">
      <c r="C94" s="75"/>
      <c r="D94" s="75"/>
      <c r="E94" s="75"/>
      <c r="F94" s="75"/>
      <c r="G94" s="75"/>
      <c r="H94" s="75"/>
      <c r="I94" s="75"/>
    </row>
    <row r="95" spans="3:9">
      <c r="C95" s="75"/>
      <c r="D95" s="75"/>
      <c r="E95" s="75"/>
      <c r="F95" s="75"/>
      <c r="G95" s="75"/>
      <c r="H95" s="75"/>
      <c r="I95" s="75"/>
    </row>
    <row r="96" spans="3:9">
      <c r="C96" s="75"/>
      <c r="D96" s="75"/>
      <c r="E96" s="75"/>
      <c r="F96" s="75"/>
      <c r="G96" s="75"/>
      <c r="H96" s="75"/>
      <c r="I96" s="75"/>
    </row>
    <row r="97" spans="3:9">
      <c r="C97" s="75"/>
      <c r="D97" s="75"/>
      <c r="E97" s="75"/>
      <c r="F97" s="75"/>
      <c r="G97" s="75"/>
      <c r="H97" s="75"/>
      <c r="I97" s="75"/>
    </row>
    <row r="98" spans="3:9">
      <c r="C98" s="75"/>
      <c r="D98" s="75"/>
      <c r="E98" s="75"/>
      <c r="F98" s="75"/>
      <c r="G98" s="75"/>
      <c r="H98" s="75"/>
      <c r="I98" s="75"/>
    </row>
    <row r="99" spans="3:9">
      <c r="C99" s="75"/>
      <c r="D99" s="75"/>
      <c r="E99" s="75"/>
      <c r="F99" s="75"/>
      <c r="G99" s="75"/>
      <c r="H99" s="75"/>
      <c r="I99" s="75"/>
    </row>
    <row r="100" spans="3:9">
      <c r="C100" s="75"/>
      <c r="D100" s="75"/>
      <c r="E100" s="75"/>
      <c r="F100" s="75"/>
      <c r="G100" s="75"/>
      <c r="H100" s="75"/>
      <c r="I100" s="75"/>
    </row>
    <row r="101" spans="3:9">
      <c r="C101" s="75"/>
      <c r="D101" s="75"/>
      <c r="E101" s="75"/>
      <c r="F101" s="75"/>
      <c r="G101" s="75"/>
      <c r="H101" s="75"/>
      <c r="I101" s="75"/>
    </row>
    <row r="102" spans="3:9">
      <c r="C102" s="75"/>
      <c r="D102" s="75"/>
      <c r="E102" s="75"/>
      <c r="F102" s="75"/>
      <c r="G102" s="75"/>
      <c r="H102" s="75"/>
      <c r="I102" s="75"/>
    </row>
    <row r="103" spans="3:9">
      <c r="C103" s="75"/>
      <c r="D103" s="75"/>
      <c r="E103" s="75"/>
      <c r="F103" s="75"/>
      <c r="G103" s="75"/>
      <c r="H103" s="75"/>
      <c r="I103" s="75"/>
    </row>
    <row r="104" spans="3:9">
      <c r="C104" s="75"/>
      <c r="D104" s="75"/>
      <c r="E104" s="75"/>
      <c r="F104" s="75"/>
      <c r="G104" s="75"/>
      <c r="H104" s="75"/>
      <c r="I104" s="75"/>
    </row>
    <row r="105" spans="3:9">
      <c r="C105" s="75"/>
      <c r="D105" s="75"/>
      <c r="E105" s="75"/>
      <c r="F105" s="75"/>
      <c r="G105" s="75"/>
      <c r="H105" s="75"/>
      <c r="I105" s="75"/>
    </row>
    <row r="106" spans="3:9">
      <c r="C106" s="75"/>
      <c r="D106" s="75"/>
      <c r="E106" s="75"/>
      <c r="F106" s="75"/>
      <c r="G106" s="75"/>
      <c r="H106" s="75"/>
      <c r="I106" s="75"/>
    </row>
    <row r="107" spans="3:9">
      <c r="C107" s="75"/>
      <c r="D107" s="75"/>
      <c r="E107" s="75"/>
      <c r="F107" s="75"/>
      <c r="G107" s="75"/>
      <c r="H107" s="75"/>
      <c r="I107" s="75"/>
    </row>
    <row r="108" spans="3:9">
      <c r="C108" s="75"/>
      <c r="D108" s="75"/>
      <c r="E108" s="75"/>
      <c r="F108" s="75"/>
      <c r="G108" s="75"/>
      <c r="H108" s="75"/>
      <c r="I108" s="75"/>
    </row>
  </sheetData>
  <mergeCells count="6">
    <mergeCell ref="A41:J41"/>
    <mergeCell ref="A1:M1"/>
    <mergeCell ref="A2:M2"/>
    <mergeCell ref="A3:M3"/>
    <mergeCell ref="A39:J39"/>
    <mergeCell ref="A40:J40"/>
  </mergeCells>
  <printOptions horizontalCentered="1"/>
  <pageMargins left="0" right="0" top="0.25" bottom="0.25" header="0" footer="0"/>
  <pageSetup scale="77" orientation="landscape" r:id="rId1"/>
  <rowBreaks count="1" manualBreakCount="1">
    <brk id="3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9"/>
  <sheetViews>
    <sheetView zoomScale="75" zoomScaleNormal="75" workbookViewId="0">
      <selection activeCell="G7" sqref="G7"/>
    </sheetView>
  </sheetViews>
  <sheetFormatPr defaultColWidth="10.44140625" defaultRowHeight="13.8"/>
  <cols>
    <col min="1" max="1" width="2.6640625" style="37" customWidth="1"/>
    <col min="2" max="2" width="25.6640625" style="10" customWidth="1"/>
    <col min="3" max="3" width="12.6640625" style="10" customWidth="1"/>
    <col min="4" max="4" width="12.6640625" style="37" customWidth="1"/>
    <col min="5" max="11" width="12.6640625" style="98" customWidth="1"/>
    <col min="12" max="13" width="10.44140625" style="98"/>
    <col min="14" max="14" width="29" style="98" customWidth="1"/>
    <col min="15" max="16384" width="10.44140625" style="98"/>
  </cols>
  <sheetData>
    <row r="1" spans="1:19" ht="24" customHeight="1">
      <c r="A1" s="464" t="s">
        <v>693</v>
      </c>
      <c r="B1" s="464"/>
      <c r="C1" s="464"/>
      <c r="D1" s="464"/>
      <c r="E1" s="464"/>
      <c r="F1" s="464"/>
      <c r="G1" s="464"/>
      <c r="H1" s="464"/>
      <c r="I1" s="464"/>
      <c r="J1" s="464"/>
      <c r="K1" s="464"/>
      <c r="M1" s="116"/>
      <c r="N1" s="115"/>
      <c r="O1" s="115"/>
    </row>
    <row r="2" spans="1:19" ht="24" customHeight="1">
      <c r="A2" s="465" t="s">
        <v>750</v>
      </c>
      <c r="B2" s="465"/>
      <c r="C2" s="465"/>
      <c r="D2" s="465"/>
      <c r="E2" s="465"/>
      <c r="F2" s="465"/>
      <c r="G2" s="465"/>
      <c r="H2" s="465"/>
      <c r="I2" s="465"/>
      <c r="J2" s="465"/>
      <c r="K2" s="465"/>
      <c r="L2" s="99"/>
      <c r="M2" s="99"/>
      <c r="N2" s="99"/>
      <c r="O2" s="99"/>
      <c r="P2" s="99"/>
      <c r="Q2" s="100"/>
      <c r="R2" s="100"/>
      <c r="S2" s="100"/>
    </row>
    <row r="3" spans="1:19" ht="24" customHeight="1">
      <c r="A3" s="464" t="s">
        <v>1304</v>
      </c>
      <c r="B3" s="464"/>
      <c r="C3" s="464"/>
      <c r="D3" s="464"/>
      <c r="E3" s="464"/>
      <c r="F3" s="464"/>
      <c r="G3" s="464"/>
      <c r="H3" s="464"/>
      <c r="I3" s="464"/>
      <c r="J3" s="464"/>
      <c r="K3" s="464"/>
      <c r="L3" s="100"/>
      <c r="M3" s="100"/>
      <c r="N3" s="100"/>
      <c r="O3" s="100"/>
      <c r="P3" s="100"/>
      <c r="Q3" s="100"/>
      <c r="R3" s="100"/>
      <c r="S3" s="100"/>
    </row>
    <row r="4" spans="1:19" ht="15" customHeight="1">
      <c r="A4" s="101"/>
      <c r="B4" s="101"/>
      <c r="C4" s="101"/>
      <c r="D4" s="101"/>
      <c r="E4" s="101"/>
      <c r="F4" s="101"/>
      <c r="G4" s="101"/>
      <c r="H4" s="101"/>
      <c r="L4" s="100"/>
      <c r="M4" s="100"/>
      <c r="N4" s="100"/>
      <c r="O4" s="100"/>
      <c r="P4" s="100"/>
      <c r="Q4" s="100"/>
      <c r="R4" s="100"/>
      <c r="S4" s="100"/>
    </row>
    <row r="5" spans="1:19" ht="15" customHeight="1">
      <c r="B5" s="11"/>
      <c r="C5" s="64"/>
      <c r="D5" s="1"/>
      <c r="E5" s="64" t="s">
        <v>864</v>
      </c>
      <c r="F5" s="1"/>
      <c r="G5" s="1"/>
      <c r="H5" s="1"/>
      <c r="I5" s="1"/>
      <c r="J5" s="1"/>
      <c r="K5" s="1"/>
    </row>
    <row r="6" spans="1:19" ht="15" customHeight="1">
      <c r="C6" s="63" t="s">
        <v>234</v>
      </c>
      <c r="D6" s="64" t="s">
        <v>790</v>
      </c>
      <c r="E6" s="64" t="s">
        <v>637</v>
      </c>
      <c r="F6" s="64" t="s">
        <v>864</v>
      </c>
      <c r="G6" s="64" t="s">
        <v>895</v>
      </c>
      <c r="H6" s="64" t="s">
        <v>896</v>
      </c>
      <c r="I6" s="64" t="s">
        <v>897</v>
      </c>
      <c r="J6" s="64" t="s">
        <v>898</v>
      </c>
      <c r="K6" s="64" t="s">
        <v>899</v>
      </c>
    </row>
    <row r="7" spans="1:19" ht="15" customHeight="1" thickBot="1">
      <c r="B7" s="84" t="s">
        <v>695</v>
      </c>
      <c r="C7" s="66" t="s">
        <v>1</v>
      </c>
      <c r="D7" s="66" t="s">
        <v>1</v>
      </c>
      <c r="E7" s="66" t="s">
        <v>605</v>
      </c>
      <c r="F7" s="66" t="s">
        <v>19</v>
      </c>
      <c r="G7" s="66" t="str">
        <f>'Fund Cover Sheets'!M1</f>
        <v>Adopted</v>
      </c>
      <c r="H7" s="66" t="s">
        <v>19</v>
      </c>
      <c r="I7" s="66" t="s">
        <v>19</v>
      </c>
      <c r="J7" s="66" t="s">
        <v>19</v>
      </c>
      <c r="K7" s="66" t="s">
        <v>19</v>
      </c>
    </row>
    <row r="8" spans="1:19" ht="15" customHeight="1">
      <c r="B8" s="20"/>
      <c r="C8" s="68"/>
      <c r="D8" s="68"/>
      <c r="E8" s="68"/>
      <c r="F8" s="68"/>
      <c r="G8" s="68"/>
      <c r="H8" s="68"/>
      <c r="I8" s="68"/>
      <c r="J8" s="68"/>
      <c r="K8" s="68"/>
    </row>
    <row r="9" spans="1:19" ht="24" customHeight="1">
      <c r="A9" s="318" t="s">
        <v>696</v>
      </c>
      <c r="C9" s="2">
        <f>'Fund Cover Sheets'!C32</f>
        <v>6214089</v>
      </c>
      <c r="D9" s="2">
        <f>'Fund Cover Sheets'!D32</f>
        <v>6496373</v>
      </c>
      <c r="E9" s="2">
        <f>'Fund Cover Sheets'!E32</f>
        <v>5468778</v>
      </c>
      <c r="F9" s="2">
        <f>'Fund Cover Sheets'!F32</f>
        <v>6496572</v>
      </c>
      <c r="G9" s="2">
        <f>'Fund Cover Sheets'!G32</f>
        <v>6496572</v>
      </c>
      <c r="H9" s="2">
        <f>'Fund Cover Sheets'!H32</f>
        <v>5920595</v>
      </c>
      <c r="I9" s="2">
        <f>'Fund Cover Sheets'!I32</f>
        <v>4877366</v>
      </c>
      <c r="J9" s="2">
        <f>'Fund Cover Sheets'!J32</f>
        <v>3332243</v>
      </c>
      <c r="K9" s="2">
        <f>'Fund Cover Sheets'!K32</f>
        <v>1720782</v>
      </c>
    </row>
    <row r="10" spans="1:19" ht="15" customHeight="1">
      <c r="A10" s="102"/>
      <c r="C10" s="3"/>
      <c r="D10" s="3"/>
      <c r="E10" s="88"/>
      <c r="F10" s="88"/>
      <c r="G10" s="88"/>
      <c r="H10" s="88"/>
      <c r="I10" s="103"/>
      <c r="J10" s="103"/>
      <c r="K10" s="103"/>
    </row>
    <row r="11" spans="1:19" ht="15" customHeight="1">
      <c r="A11" s="102"/>
      <c r="C11" s="3"/>
      <c r="D11" s="3"/>
      <c r="E11" s="88"/>
      <c r="F11" s="88"/>
      <c r="G11" s="88"/>
      <c r="H11" s="88"/>
      <c r="I11" s="103"/>
      <c r="J11" s="103"/>
      <c r="K11" s="103"/>
    </row>
    <row r="12" spans="1:19" ht="15" customHeight="1">
      <c r="A12" s="102"/>
      <c r="C12" s="71"/>
      <c r="D12" s="71"/>
      <c r="E12" s="88"/>
      <c r="F12" s="88"/>
      <c r="G12" s="88"/>
      <c r="H12" s="88"/>
      <c r="I12" s="103"/>
      <c r="J12" s="103"/>
      <c r="K12" s="103"/>
    </row>
    <row r="13" spans="1:19" ht="24" customHeight="1">
      <c r="A13" s="69" t="s">
        <v>697</v>
      </c>
      <c r="B13" s="1"/>
      <c r="C13" s="71"/>
      <c r="D13" s="71"/>
      <c r="E13" s="88"/>
      <c r="F13" s="88"/>
      <c r="G13" s="88"/>
      <c r="H13" s="88"/>
      <c r="I13" s="103"/>
      <c r="J13" s="103"/>
      <c r="K13" s="103"/>
    </row>
    <row r="14" spans="1:19" ht="24" customHeight="1">
      <c r="A14" s="69"/>
      <c r="B14" s="1" t="s">
        <v>624</v>
      </c>
      <c r="C14" s="2">
        <f>'Fund Cover Sheets'!C140</f>
        <v>792224</v>
      </c>
      <c r="D14" s="2">
        <f>'Fund Cover Sheets'!D140</f>
        <v>698493</v>
      </c>
      <c r="E14" s="2">
        <f>'Fund Cover Sheets'!E140</f>
        <v>428536</v>
      </c>
      <c r="F14" s="2">
        <f>'Fund Cover Sheets'!F140</f>
        <v>630127</v>
      </c>
      <c r="G14" s="2">
        <f>'Fund Cover Sheets'!G140</f>
        <v>446243</v>
      </c>
      <c r="H14" s="2">
        <f>'Fund Cover Sheets'!H140</f>
        <v>268121</v>
      </c>
      <c r="I14" s="2">
        <f>'Fund Cover Sheets'!I140</f>
        <v>121651</v>
      </c>
      <c r="J14" s="2">
        <f>'Fund Cover Sheets'!J140</f>
        <v>26196</v>
      </c>
      <c r="K14" s="2">
        <f>'Fund Cover Sheets'!K140</f>
        <v>0</v>
      </c>
    </row>
    <row r="15" spans="1:19" s="105" customFormat="1" ht="24" customHeight="1">
      <c r="A15" s="70"/>
      <c r="B15" s="67" t="s">
        <v>698</v>
      </c>
      <c r="C15" s="104">
        <f>'Fund Cover Sheets'!C467</f>
        <v>445875</v>
      </c>
      <c r="D15" s="104">
        <f>'Fund Cover Sheets'!D467</f>
        <v>473852</v>
      </c>
      <c r="E15" s="104">
        <f>'Fund Cover Sheets'!E467</f>
        <v>312946</v>
      </c>
      <c r="F15" s="104">
        <f>'Fund Cover Sheets'!F467</f>
        <v>415872</v>
      </c>
      <c r="G15" s="104">
        <f>'Fund Cover Sheets'!G467</f>
        <v>317455</v>
      </c>
      <c r="H15" s="104">
        <f>'Fund Cover Sheets'!H467</f>
        <v>324135</v>
      </c>
      <c r="I15" s="104">
        <f>'Fund Cover Sheets'!I467</f>
        <v>333531</v>
      </c>
      <c r="J15" s="104">
        <f>'Fund Cover Sheets'!J467</f>
        <v>345095</v>
      </c>
      <c r="K15" s="104">
        <f>'Fund Cover Sheets'!K467</f>
        <v>355483</v>
      </c>
    </row>
    <row r="16" spans="1:19" s="105" customFormat="1" ht="24" customHeight="1">
      <c r="A16" s="70"/>
      <c r="B16" s="67" t="s">
        <v>525</v>
      </c>
      <c r="C16" s="2">
        <f>'Fund Cover Sheets'!C423</f>
        <v>250318</v>
      </c>
      <c r="D16" s="2">
        <f>'Fund Cover Sheets'!D423</f>
        <v>-278204</v>
      </c>
      <c r="E16" s="2">
        <f>'Fund Cover Sheets'!E423</f>
        <v>62362</v>
      </c>
      <c r="F16" s="2">
        <f>'Fund Cover Sheets'!F423</f>
        <v>206160</v>
      </c>
      <c r="G16" s="2">
        <f>'Fund Cover Sheets'!G423</f>
        <v>159745</v>
      </c>
      <c r="H16" s="2">
        <f>'Fund Cover Sheets'!H423</f>
        <v>74474</v>
      </c>
      <c r="I16" s="2">
        <f>'Fund Cover Sheets'!I423</f>
        <v>69474</v>
      </c>
      <c r="J16" s="2">
        <f>'Fund Cover Sheets'!J423</f>
        <v>-10526</v>
      </c>
      <c r="K16" s="2">
        <f>'Fund Cover Sheets'!K423</f>
        <v>-197221</v>
      </c>
    </row>
    <row r="17" spans="1:11" ht="24" customHeight="1">
      <c r="A17" s="70"/>
      <c r="B17" s="67" t="s">
        <v>450</v>
      </c>
      <c r="C17" s="2">
        <f>'Fund Cover Sheets'!C590</f>
        <v>-495754</v>
      </c>
      <c r="D17" s="2">
        <f>'Fund Cover Sheets'!D590</f>
        <v>-459819</v>
      </c>
      <c r="E17" s="2">
        <f>'Fund Cover Sheets'!E590</f>
        <v>-1077343</v>
      </c>
      <c r="F17" s="2">
        <f>'Fund Cover Sheets'!F590</f>
        <v>-423969</v>
      </c>
      <c r="G17" s="2">
        <f>'Fund Cover Sheets'!G590</f>
        <v>-1115459</v>
      </c>
      <c r="H17" s="2">
        <f>'Fund Cover Sheets'!H590</f>
        <v>-1077309</v>
      </c>
      <c r="I17" s="2">
        <f>'Fund Cover Sheets'!I590</f>
        <v>-872082</v>
      </c>
      <c r="J17" s="2">
        <f>'Fund Cover Sheets'!J590</f>
        <v>-655954</v>
      </c>
      <c r="K17" s="2">
        <f>'Fund Cover Sheets'!K590</f>
        <v>-429832</v>
      </c>
    </row>
    <row r="18" spans="1:11" ht="24" customHeight="1">
      <c r="A18" s="70"/>
      <c r="B18" s="67" t="s">
        <v>452</v>
      </c>
      <c r="C18" s="2">
        <f>'Fund Cover Sheets'!C628</f>
        <v>97556</v>
      </c>
      <c r="D18" s="2">
        <f>'Fund Cover Sheets'!D628</f>
        <v>-681305</v>
      </c>
      <c r="E18" s="2">
        <f>'Fund Cover Sheets'!E628</f>
        <v>-1194280</v>
      </c>
      <c r="F18" s="2">
        <f>'Fund Cover Sheets'!F628</f>
        <v>-973703</v>
      </c>
      <c r="G18" s="2">
        <f>'Fund Cover Sheets'!G628</f>
        <v>-1320187</v>
      </c>
      <c r="H18" s="2">
        <f>'Fund Cover Sheets'!H628</f>
        <v>-1539088</v>
      </c>
      <c r="I18" s="2">
        <f>'Fund Cover Sheets'!I628</f>
        <v>-1752869</v>
      </c>
      <c r="J18" s="2">
        <f>'Fund Cover Sheets'!J628</f>
        <v>-1757224</v>
      </c>
      <c r="K18" s="2">
        <f>'Fund Cover Sheets'!K628</f>
        <v>-1759516</v>
      </c>
    </row>
    <row r="19" spans="1:11" ht="24" customHeight="1">
      <c r="A19" s="70"/>
      <c r="B19" s="67" t="s">
        <v>1218</v>
      </c>
      <c r="C19" s="2">
        <f>'Fund Cover Sheets'!C664</f>
        <v>0</v>
      </c>
      <c r="D19" s="2">
        <f>'Fund Cover Sheets'!D664</f>
        <v>0</v>
      </c>
      <c r="E19" s="2">
        <f>'Fund Cover Sheets'!E664</f>
        <v>-10000</v>
      </c>
      <c r="F19" s="2">
        <f>'Fund Cover Sheets'!F664</f>
        <v>-10000</v>
      </c>
      <c r="G19" s="2">
        <f>'Fund Cover Sheets'!G664</f>
        <v>-45000</v>
      </c>
      <c r="H19" s="2">
        <f>'Fund Cover Sheets'!H664</f>
        <v>-55000</v>
      </c>
      <c r="I19" s="2">
        <f>'Fund Cover Sheets'!I664</f>
        <v>-65000</v>
      </c>
      <c r="J19" s="2">
        <f>'Fund Cover Sheets'!J664</f>
        <v>-75000</v>
      </c>
      <c r="K19" s="2">
        <f>'Fund Cover Sheets'!K664</f>
        <v>-85000</v>
      </c>
    </row>
    <row r="20" spans="1:11" ht="24" customHeight="1">
      <c r="A20" s="70"/>
      <c r="B20" s="67" t="s">
        <v>699</v>
      </c>
      <c r="C20" s="2">
        <f>'Fund Cover Sheets'!C67</f>
        <v>14742</v>
      </c>
      <c r="D20" s="2">
        <f>'Fund Cover Sheets'!D67</f>
        <v>6556</v>
      </c>
      <c r="E20" s="2">
        <f>'Fund Cover Sheets'!E67</f>
        <v>9954</v>
      </c>
      <c r="F20" s="2">
        <f>'Fund Cover Sheets'!F67</f>
        <v>11102</v>
      </c>
      <c r="G20" s="2">
        <f>'Fund Cover Sheets'!G67</f>
        <v>-6494</v>
      </c>
      <c r="H20" s="2">
        <f>'Fund Cover Sheets'!H67</f>
        <v>-3439</v>
      </c>
      <c r="I20" s="2">
        <f>'Fund Cover Sheets'!I67</f>
        <v>-540</v>
      </c>
      <c r="J20" s="2">
        <f>'Fund Cover Sheets'!J67</f>
        <v>2195</v>
      </c>
      <c r="K20" s="2">
        <f>'Fund Cover Sheets'!K67</f>
        <v>3318</v>
      </c>
    </row>
    <row r="21" spans="1:11" ht="24" customHeight="1">
      <c r="A21" s="70"/>
      <c r="B21" s="67" t="s">
        <v>700</v>
      </c>
      <c r="C21" s="87">
        <f>'Fund Cover Sheets'!C102</f>
        <v>-15774</v>
      </c>
      <c r="D21" s="87">
        <f>'Fund Cover Sheets'!D102</f>
        <v>-21251</v>
      </c>
      <c r="E21" s="87">
        <f>'Fund Cover Sheets'!E102</f>
        <v>-28236</v>
      </c>
      <c r="F21" s="87">
        <f>'Fund Cover Sheets'!F102</f>
        <v>-24447</v>
      </c>
      <c r="G21" s="87">
        <f>'Fund Cover Sheets'!G102</f>
        <v>-20284</v>
      </c>
      <c r="H21" s="87">
        <f>'Fund Cover Sheets'!H102</f>
        <v>-14306</v>
      </c>
      <c r="I21" s="87">
        <f>'Fund Cover Sheets'!I102</f>
        <v>-8484</v>
      </c>
      <c r="J21" s="87">
        <f>'Fund Cover Sheets'!J102</f>
        <v>-2826</v>
      </c>
      <c r="K21" s="87">
        <f>'Fund Cover Sheets'!K102</f>
        <v>1220</v>
      </c>
    </row>
    <row r="22" spans="1:11">
      <c r="A22" s="70"/>
      <c r="B22" s="67"/>
      <c r="C22" s="71"/>
      <c r="D22" s="71"/>
      <c r="E22" s="71"/>
      <c r="F22" s="71"/>
      <c r="G22" s="71"/>
      <c r="H22" s="71"/>
      <c r="I22" s="71"/>
      <c r="J22" s="71"/>
      <c r="K22" s="71"/>
    </row>
    <row r="23" spans="1:11">
      <c r="A23" s="70"/>
      <c r="B23" s="67"/>
      <c r="C23" s="71"/>
      <c r="D23" s="71"/>
      <c r="E23" s="71"/>
      <c r="F23" s="71"/>
      <c r="G23" s="71"/>
      <c r="H23" s="71"/>
      <c r="I23" s="71"/>
      <c r="J23" s="71"/>
      <c r="K23" s="71"/>
    </row>
    <row r="24" spans="1:11">
      <c r="A24" s="70"/>
      <c r="B24" s="67"/>
      <c r="C24" s="87"/>
      <c r="D24" s="87"/>
      <c r="E24" s="87"/>
      <c r="F24" s="87"/>
      <c r="G24" s="87"/>
      <c r="H24" s="87"/>
      <c r="I24" s="87"/>
      <c r="J24" s="87"/>
      <c r="K24" s="87"/>
    </row>
    <row r="25" spans="1:11" ht="24" customHeight="1">
      <c r="A25" s="69" t="s">
        <v>701</v>
      </c>
      <c r="B25" s="62"/>
      <c r="C25" s="87">
        <f>'Fund Cover Sheets'!C290</f>
        <v>0</v>
      </c>
      <c r="D25" s="87">
        <f>'Fund Cover Sheets'!D290</f>
        <v>0</v>
      </c>
      <c r="E25" s="87">
        <f>'Fund Cover Sheets'!E290</f>
        <v>0</v>
      </c>
      <c r="F25" s="87">
        <f>'Fund Cover Sheets'!F290</f>
        <v>0</v>
      </c>
      <c r="G25" s="87">
        <f>'Fund Cover Sheets'!G290</f>
        <v>0</v>
      </c>
      <c r="H25" s="87">
        <f>'Fund Cover Sheets'!H290</f>
        <v>0</v>
      </c>
      <c r="I25" s="87">
        <f>'Fund Cover Sheets'!I290</f>
        <v>0</v>
      </c>
      <c r="J25" s="87">
        <f>'Fund Cover Sheets'!J290</f>
        <v>0</v>
      </c>
      <c r="K25" s="87">
        <f>'Fund Cover Sheets'!K290</f>
        <v>0</v>
      </c>
    </row>
    <row r="26" spans="1:11">
      <c r="A26" s="69"/>
      <c r="B26" s="62"/>
      <c r="C26" s="87"/>
      <c r="D26" s="87"/>
      <c r="E26" s="87"/>
      <c r="F26" s="87"/>
      <c r="G26" s="87"/>
      <c r="H26" s="87"/>
      <c r="I26" s="87"/>
      <c r="J26" s="87"/>
      <c r="K26" s="87"/>
    </row>
    <row r="27" spans="1:11">
      <c r="A27" s="69"/>
      <c r="B27" s="62"/>
      <c r="C27" s="87"/>
      <c r="D27" s="87"/>
      <c r="E27" s="87"/>
      <c r="F27" s="87"/>
      <c r="G27" s="87"/>
      <c r="H27" s="87"/>
      <c r="I27" s="87"/>
      <c r="J27" s="87"/>
      <c r="K27" s="87"/>
    </row>
    <row r="28" spans="1:11">
      <c r="A28" s="70"/>
      <c r="B28" s="62"/>
      <c r="C28" s="87"/>
      <c r="D28" s="87"/>
      <c r="E28" s="87"/>
      <c r="F28" s="87"/>
      <c r="G28" s="87"/>
      <c r="H28" s="87"/>
      <c r="I28" s="87"/>
      <c r="J28" s="87"/>
      <c r="K28" s="87"/>
    </row>
    <row r="29" spans="1:11" ht="24" customHeight="1">
      <c r="A29" s="69" t="s">
        <v>702</v>
      </c>
      <c r="B29" s="62"/>
      <c r="C29" s="87"/>
      <c r="D29" s="87"/>
      <c r="E29" s="87"/>
      <c r="F29" s="87"/>
      <c r="G29" s="87"/>
      <c r="H29" s="87"/>
      <c r="I29" s="87"/>
      <c r="J29" s="87"/>
      <c r="K29" s="87"/>
    </row>
    <row r="30" spans="1:11" ht="24" customHeight="1">
      <c r="A30" s="70"/>
      <c r="B30" s="67" t="s">
        <v>822</v>
      </c>
      <c r="C30" s="87">
        <f>'Fund Cover Sheets'!C254</f>
        <v>270407</v>
      </c>
      <c r="D30" s="87">
        <f>'Fund Cover Sheets'!D254</f>
        <v>357246</v>
      </c>
      <c r="E30" s="87">
        <f>'Fund Cover Sheets'!E254</f>
        <v>263801</v>
      </c>
      <c r="F30" s="87">
        <f>'Fund Cover Sheets'!F254</f>
        <v>382789</v>
      </c>
      <c r="G30" s="87">
        <f>'Fund Cover Sheets'!G254</f>
        <v>318431</v>
      </c>
      <c r="H30" s="87">
        <f>'Fund Cover Sheets'!H254</f>
        <v>313142</v>
      </c>
      <c r="I30" s="87">
        <f>'Fund Cover Sheets'!I254</f>
        <v>307852</v>
      </c>
      <c r="J30" s="87">
        <f>'Fund Cover Sheets'!J254</f>
        <v>298388</v>
      </c>
      <c r="K30" s="87">
        <f>'Fund Cover Sheets'!K254</f>
        <v>304733</v>
      </c>
    </row>
    <row r="31" spans="1:11" ht="24" customHeight="1">
      <c r="A31" s="70"/>
      <c r="B31" s="67" t="s">
        <v>704</v>
      </c>
      <c r="C31" s="87">
        <f>'Fund Cover Sheets'!C184</f>
        <v>1355530</v>
      </c>
      <c r="D31" s="87">
        <f>'Fund Cover Sheets'!D184</f>
        <v>388897</v>
      </c>
      <c r="E31" s="87">
        <f>'Fund Cover Sheets'!E184</f>
        <v>-30817</v>
      </c>
      <c r="F31" s="87">
        <f>'Fund Cover Sheets'!F184</f>
        <v>554722</v>
      </c>
      <c r="G31" s="87">
        <f>'Fund Cover Sheets'!G184</f>
        <v>-71657</v>
      </c>
      <c r="H31" s="87">
        <f>'Fund Cover Sheets'!H184</f>
        <v>-32657</v>
      </c>
      <c r="I31" s="87">
        <f>'Fund Cover Sheets'!I184</f>
        <v>24610</v>
      </c>
      <c r="J31" s="87">
        <f>'Fund Cover Sheets'!J184</f>
        <v>101628</v>
      </c>
      <c r="K31" s="87">
        <f>'Fund Cover Sheets'!K184</f>
        <v>182180</v>
      </c>
    </row>
    <row r="32" spans="1:11">
      <c r="A32" s="70"/>
      <c r="B32" s="67"/>
      <c r="C32" s="87"/>
      <c r="D32" s="87"/>
      <c r="E32" s="87"/>
      <c r="F32" s="87"/>
      <c r="G32" s="87"/>
      <c r="H32" s="87"/>
      <c r="I32" s="87"/>
      <c r="J32" s="87"/>
      <c r="K32" s="87"/>
    </row>
    <row r="33" spans="1:11">
      <c r="A33" s="70"/>
      <c r="B33" s="67"/>
      <c r="C33" s="87"/>
      <c r="D33" s="87"/>
      <c r="E33" s="87"/>
      <c r="F33" s="87"/>
      <c r="G33" s="87"/>
      <c r="H33" s="87"/>
      <c r="I33" s="87"/>
      <c r="J33" s="87"/>
      <c r="K33" s="87"/>
    </row>
    <row r="34" spans="1:11">
      <c r="A34" s="1"/>
      <c r="B34" s="67"/>
      <c r="C34" s="87"/>
      <c r="D34" s="87"/>
      <c r="E34" s="87"/>
      <c r="F34" s="87"/>
      <c r="G34" s="87"/>
      <c r="H34" s="87"/>
      <c r="I34" s="87"/>
      <c r="J34" s="87"/>
      <c r="K34" s="87"/>
    </row>
    <row r="35" spans="1:11" ht="24" customHeight="1">
      <c r="A35" s="69" t="s">
        <v>751</v>
      </c>
      <c r="B35" s="67"/>
      <c r="C35" s="87"/>
      <c r="D35" s="87"/>
      <c r="E35" s="87"/>
      <c r="F35" s="87"/>
      <c r="G35" s="87"/>
      <c r="H35" s="87"/>
      <c r="I35" s="87"/>
      <c r="J35" s="87"/>
      <c r="K35" s="87"/>
    </row>
    <row r="36" spans="1:11" ht="24" customHeight="1">
      <c r="A36" s="1"/>
      <c r="B36" s="67" t="s">
        <v>523</v>
      </c>
      <c r="C36" s="87">
        <f>'Fund Cover Sheets'!C334</f>
        <v>2826144</v>
      </c>
      <c r="D36" s="87">
        <f>'Fund Cover Sheets'!D334</f>
        <v>2584259</v>
      </c>
      <c r="E36" s="87">
        <f>'Fund Cover Sheets'!E334</f>
        <v>1952155</v>
      </c>
      <c r="F36" s="87">
        <f>'Fund Cover Sheets'!F334</f>
        <v>3480726</v>
      </c>
      <c r="G36" s="87">
        <f>'Fund Cover Sheets'!G334</f>
        <v>2410513</v>
      </c>
      <c r="H36" s="87">
        <f>'Fund Cover Sheets'!H334</f>
        <v>1932343</v>
      </c>
      <c r="I36" s="87">
        <f>'Fund Cover Sheets'!I334</f>
        <v>1932033</v>
      </c>
      <c r="J36" s="87">
        <f>'Fund Cover Sheets'!J334</f>
        <v>2190487</v>
      </c>
      <c r="K36" s="87">
        <f>'Fund Cover Sheets'!K334</f>
        <v>4414057</v>
      </c>
    </row>
    <row r="37" spans="1:11" ht="24" customHeight="1">
      <c r="A37" s="1"/>
      <c r="B37" s="67" t="s">
        <v>524</v>
      </c>
      <c r="C37" s="87">
        <f>'Fund Cover Sheets'!C380</f>
        <v>1378030</v>
      </c>
      <c r="D37" s="87">
        <f>'Fund Cover Sheets'!D380</f>
        <v>1411053</v>
      </c>
      <c r="E37" s="87">
        <f>'Fund Cover Sheets'!E380</f>
        <v>705765</v>
      </c>
      <c r="F37" s="87">
        <f>'Fund Cover Sheets'!F380</f>
        <v>1072996</v>
      </c>
      <c r="G37" s="87">
        <f>'Fund Cover Sheets'!G380</f>
        <v>684578</v>
      </c>
      <c r="H37" s="87">
        <f>'Fund Cover Sheets'!H380</f>
        <v>459710</v>
      </c>
      <c r="I37" s="87">
        <f>'Fund Cover Sheets'!I380</f>
        <v>588773</v>
      </c>
      <c r="J37" s="87">
        <f>'Fund Cover Sheets'!J380</f>
        <v>862297</v>
      </c>
      <c r="K37" s="87">
        <f>'Fund Cover Sheets'!K380</f>
        <v>1544828</v>
      </c>
    </row>
    <row r="38" spans="1:11">
      <c r="A38" s="1"/>
      <c r="B38" s="67"/>
      <c r="C38" s="87"/>
      <c r="D38" s="87"/>
      <c r="E38" s="87"/>
      <c r="F38" s="87"/>
      <c r="G38" s="87"/>
      <c r="H38" s="87"/>
      <c r="I38" s="87"/>
      <c r="J38" s="87"/>
      <c r="K38" s="87"/>
    </row>
    <row r="39" spans="1:11">
      <c r="A39" s="1"/>
      <c r="B39" s="67"/>
      <c r="C39" s="87"/>
      <c r="D39" s="87"/>
      <c r="E39" s="87"/>
      <c r="F39" s="87"/>
      <c r="G39" s="87"/>
      <c r="H39" s="87"/>
      <c r="I39" s="87"/>
      <c r="J39" s="87"/>
      <c r="K39" s="87"/>
    </row>
    <row r="40" spans="1:11">
      <c r="A40" s="1"/>
      <c r="B40" s="67"/>
      <c r="C40" s="87"/>
      <c r="D40" s="87"/>
      <c r="E40" s="87"/>
      <c r="F40" s="87"/>
      <c r="G40" s="87"/>
      <c r="H40" s="87"/>
      <c r="I40" s="87"/>
      <c r="J40" s="87"/>
      <c r="K40" s="87"/>
    </row>
    <row r="41" spans="1:11" ht="24" customHeight="1">
      <c r="A41" s="69" t="s">
        <v>706</v>
      </c>
      <c r="B41" s="67"/>
      <c r="C41" s="87"/>
      <c r="D41" s="87"/>
      <c r="E41" s="87"/>
      <c r="F41" s="87"/>
      <c r="G41" s="87"/>
      <c r="H41" s="87"/>
      <c r="I41" s="87"/>
      <c r="J41" s="87"/>
      <c r="K41" s="87"/>
    </row>
    <row r="42" spans="1:11" ht="24" customHeight="1">
      <c r="A42" s="69"/>
      <c r="B42" s="67" t="s">
        <v>517</v>
      </c>
      <c r="C42" s="87">
        <f>'Fund Cover Sheets'!C512</f>
        <v>489057</v>
      </c>
      <c r="D42" s="87">
        <f>'Fund Cover Sheets'!D512</f>
        <v>510355</v>
      </c>
      <c r="E42" s="87">
        <f>'Fund Cover Sheets'!E512</f>
        <v>474039</v>
      </c>
      <c r="F42" s="87">
        <f>'Fund Cover Sheets'!F512</f>
        <v>514719</v>
      </c>
      <c r="G42" s="87">
        <f>'Fund Cover Sheets'!G512</f>
        <v>471125</v>
      </c>
      <c r="H42" s="87">
        <f>'Fund Cover Sheets'!H512</f>
        <v>419202</v>
      </c>
      <c r="I42" s="87">
        <f>'Fund Cover Sheets'!I512</f>
        <v>353460</v>
      </c>
      <c r="J42" s="87">
        <f>'Fund Cover Sheets'!J512</f>
        <v>275514</v>
      </c>
      <c r="K42" s="87">
        <f>'Fund Cover Sheets'!K512</f>
        <v>181827</v>
      </c>
    </row>
    <row r="43" spans="1:11" ht="24" customHeight="1">
      <c r="A43" s="69"/>
      <c r="B43" s="67" t="s">
        <v>707</v>
      </c>
      <c r="C43" s="87">
        <f>'Fund Cover Sheets'!C553</f>
        <v>19904</v>
      </c>
      <c r="D43" s="87">
        <f>'Fund Cover Sheets'!D553</f>
        <v>58443</v>
      </c>
      <c r="E43" s="87">
        <f>'Fund Cover Sheets'!E553</f>
        <v>31274</v>
      </c>
      <c r="F43" s="87">
        <f>'Fund Cover Sheets'!F553</f>
        <v>93593</v>
      </c>
      <c r="G43" s="87">
        <f>'Fund Cover Sheets'!G553</f>
        <v>68193</v>
      </c>
      <c r="H43" s="87">
        <f>'Fund Cover Sheets'!H553</f>
        <v>42793</v>
      </c>
      <c r="I43" s="87">
        <f>'Fund Cover Sheets'!I553</f>
        <v>17393</v>
      </c>
      <c r="J43" s="87">
        <f>'Fund Cover Sheets'!J553</f>
        <v>1893</v>
      </c>
      <c r="K43" s="87">
        <f>'Fund Cover Sheets'!K553</f>
        <v>250</v>
      </c>
    </row>
    <row r="44" spans="1:11">
      <c r="A44" s="69"/>
      <c r="B44" s="67"/>
      <c r="C44" s="87"/>
      <c r="D44" s="87"/>
      <c r="E44" s="87"/>
      <c r="F44" s="87"/>
      <c r="G44" s="87"/>
      <c r="H44" s="87"/>
      <c r="I44" s="87"/>
      <c r="J44" s="87"/>
      <c r="K44" s="87"/>
    </row>
    <row r="45" spans="1:11">
      <c r="B45" s="72"/>
      <c r="C45" s="106"/>
      <c r="D45" s="107"/>
      <c r="E45" s="107"/>
      <c r="F45" s="107"/>
      <c r="G45" s="104"/>
      <c r="H45" s="104"/>
      <c r="I45" s="103"/>
      <c r="J45" s="103"/>
      <c r="K45" s="103"/>
    </row>
    <row r="46" spans="1:11" ht="24" customHeight="1" thickBot="1">
      <c r="B46" s="94" t="s">
        <v>749</v>
      </c>
      <c r="C46" s="96">
        <f t="shared" ref="C46:K46" si="0">SUM(C9:C45)</f>
        <v>13642348</v>
      </c>
      <c r="D46" s="96">
        <f t="shared" si="0"/>
        <v>11544948</v>
      </c>
      <c r="E46" s="96">
        <f t="shared" si="0"/>
        <v>7368934</v>
      </c>
      <c r="F46" s="96">
        <f t="shared" si="0"/>
        <v>12427259</v>
      </c>
      <c r="G46" s="96">
        <f t="shared" si="0"/>
        <v>8793774</v>
      </c>
      <c r="H46" s="96">
        <f t="shared" si="0"/>
        <v>7032716</v>
      </c>
      <c r="I46" s="96">
        <f t="shared" si="0"/>
        <v>5927168</v>
      </c>
      <c r="J46" s="96">
        <f t="shared" si="0"/>
        <v>4934406</v>
      </c>
      <c r="K46" s="96">
        <f t="shared" si="0"/>
        <v>6237109</v>
      </c>
    </row>
    <row r="47" spans="1:11" ht="14.4" thickTop="1">
      <c r="B47" s="1"/>
      <c r="C47" s="43"/>
      <c r="D47" s="103"/>
      <c r="E47" s="103"/>
      <c r="F47" s="103"/>
      <c r="G47" s="103"/>
      <c r="H47" s="103"/>
      <c r="I47" s="103"/>
      <c r="J47" s="103"/>
      <c r="K47" s="103"/>
    </row>
    <row r="48" spans="1:11">
      <c r="A48" s="108" t="s">
        <v>752</v>
      </c>
      <c r="B48" s="109" t="s">
        <v>834</v>
      </c>
      <c r="C48" s="43"/>
      <c r="D48" s="103"/>
      <c r="E48" s="103"/>
      <c r="F48" s="103"/>
      <c r="G48" s="103"/>
      <c r="H48" s="103"/>
      <c r="I48" s="103"/>
      <c r="J48" s="103"/>
      <c r="K48" s="103"/>
    </row>
    <row r="49" spans="1:11">
      <c r="B49" s="1"/>
      <c r="C49" s="43"/>
      <c r="D49" s="103"/>
      <c r="E49" s="103"/>
      <c r="F49" s="103"/>
      <c r="G49" s="103"/>
      <c r="H49" s="103"/>
      <c r="I49" s="103"/>
      <c r="J49" s="103"/>
      <c r="K49" s="103"/>
    </row>
    <row r="50" spans="1:11">
      <c r="B50" s="1"/>
      <c r="C50" s="43"/>
      <c r="D50" s="103"/>
      <c r="E50" s="103"/>
      <c r="F50" s="103"/>
      <c r="G50" s="103"/>
      <c r="H50" s="103"/>
      <c r="I50" s="103"/>
      <c r="J50" s="103"/>
      <c r="K50" s="103"/>
    </row>
    <row r="51" spans="1:11">
      <c r="B51" s="1"/>
      <c r="C51" s="43"/>
      <c r="D51" s="103"/>
      <c r="E51" s="103"/>
      <c r="F51" s="103"/>
      <c r="G51" s="103"/>
      <c r="H51" s="103"/>
      <c r="I51" s="103"/>
      <c r="J51" s="103"/>
      <c r="K51" s="103"/>
    </row>
    <row r="52" spans="1:11">
      <c r="B52" s="1"/>
      <c r="C52" s="43"/>
      <c r="D52" s="103"/>
      <c r="E52" s="103"/>
      <c r="F52" s="103"/>
      <c r="G52" s="103"/>
      <c r="H52" s="103"/>
      <c r="I52" s="103"/>
      <c r="J52" s="103"/>
      <c r="K52" s="103"/>
    </row>
    <row r="53" spans="1:11">
      <c r="C53" s="43"/>
      <c r="D53" s="103"/>
      <c r="E53" s="103"/>
      <c r="F53" s="103"/>
      <c r="G53" s="103"/>
      <c r="H53" s="103"/>
      <c r="I53" s="103"/>
      <c r="J53" s="103"/>
      <c r="K53" s="103"/>
    </row>
    <row r="54" spans="1:11">
      <c r="C54" s="43"/>
      <c r="D54" s="103"/>
      <c r="E54" s="103"/>
      <c r="F54" s="103"/>
      <c r="G54" s="103"/>
      <c r="H54" s="103"/>
      <c r="I54" s="103"/>
      <c r="J54" s="103"/>
      <c r="K54" s="103"/>
    </row>
    <row r="55" spans="1:11">
      <c r="C55" s="43"/>
      <c r="D55" s="103"/>
      <c r="E55" s="103"/>
      <c r="F55" s="103"/>
      <c r="G55" s="103"/>
      <c r="H55" s="103"/>
      <c r="I55" s="103"/>
      <c r="J55" s="103"/>
      <c r="K55" s="103"/>
    </row>
    <row r="56" spans="1:11">
      <c r="C56" s="43"/>
      <c r="D56" s="103"/>
      <c r="E56" s="103"/>
      <c r="F56" s="103"/>
      <c r="G56" s="103"/>
      <c r="H56" s="103"/>
      <c r="I56" s="103"/>
      <c r="J56" s="103"/>
      <c r="K56" s="103"/>
    </row>
    <row r="57" spans="1:11">
      <c r="C57" s="43"/>
      <c r="D57" s="103"/>
      <c r="E57" s="103"/>
      <c r="F57" s="103"/>
      <c r="G57" s="103"/>
      <c r="H57" s="103"/>
      <c r="I57" s="103"/>
      <c r="J57" s="103"/>
      <c r="K57" s="103"/>
    </row>
    <row r="58" spans="1:11">
      <c r="C58" s="43"/>
      <c r="D58" s="103"/>
      <c r="E58" s="103"/>
      <c r="F58" s="103"/>
      <c r="G58" s="103"/>
      <c r="H58" s="103"/>
      <c r="I58" s="103"/>
      <c r="J58" s="103"/>
      <c r="K58" s="103"/>
    </row>
    <row r="59" spans="1:11">
      <c r="C59" s="43"/>
      <c r="D59" s="103"/>
      <c r="E59" s="103"/>
      <c r="F59" s="103"/>
      <c r="G59" s="103"/>
      <c r="H59" s="103"/>
      <c r="I59" s="103"/>
      <c r="J59" s="103"/>
      <c r="K59" s="103"/>
    </row>
    <row r="60" spans="1:11">
      <c r="C60" s="43"/>
      <c r="D60" s="103"/>
      <c r="E60" s="103"/>
      <c r="F60" s="103"/>
      <c r="G60" s="103"/>
      <c r="H60" s="103"/>
      <c r="I60" s="103"/>
      <c r="J60" s="103"/>
      <c r="K60" s="103"/>
    </row>
    <row r="61" spans="1:11">
      <c r="A61" s="98"/>
      <c r="B61" s="98"/>
      <c r="C61" s="43"/>
      <c r="D61" s="103"/>
      <c r="E61" s="103"/>
      <c r="F61" s="103"/>
      <c r="G61" s="103"/>
      <c r="H61" s="103"/>
      <c r="I61" s="103"/>
      <c r="J61" s="103"/>
      <c r="K61" s="103"/>
    </row>
    <row r="62" spans="1:11">
      <c r="A62" s="98"/>
      <c r="B62" s="98"/>
      <c r="C62" s="43"/>
      <c r="D62" s="103"/>
      <c r="E62" s="103"/>
      <c r="F62" s="103"/>
      <c r="G62" s="103"/>
      <c r="H62" s="103"/>
      <c r="I62" s="103"/>
      <c r="J62" s="103"/>
      <c r="K62" s="103"/>
    </row>
    <row r="63" spans="1:11">
      <c r="A63" s="98"/>
      <c r="B63" s="98"/>
      <c r="C63" s="43"/>
      <c r="D63" s="103"/>
      <c r="E63" s="103"/>
      <c r="F63" s="103"/>
      <c r="G63" s="103"/>
      <c r="H63" s="103"/>
      <c r="I63" s="103"/>
      <c r="J63" s="103"/>
      <c r="K63" s="103"/>
    </row>
    <row r="64" spans="1:11">
      <c r="A64" s="98"/>
      <c r="B64" s="98"/>
      <c r="C64" s="43"/>
      <c r="D64" s="103"/>
      <c r="E64" s="103"/>
      <c r="F64" s="103"/>
      <c r="G64" s="103"/>
      <c r="H64" s="103"/>
      <c r="I64" s="103"/>
      <c r="J64" s="103"/>
      <c r="K64" s="103"/>
    </row>
    <row r="65" spans="1:11">
      <c r="A65" s="98"/>
      <c r="B65" s="98"/>
      <c r="C65" s="43"/>
      <c r="D65" s="103"/>
      <c r="E65" s="103"/>
      <c r="F65" s="103"/>
      <c r="G65" s="103"/>
      <c r="H65" s="103"/>
      <c r="I65" s="103"/>
      <c r="J65" s="103"/>
      <c r="K65" s="103"/>
    </row>
    <row r="66" spans="1:11">
      <c r="A66" s="98"/>
      <c r="B66" s="98"/>
      <c r="C66" s="43"/>
      <c r="D66" s="103"/>
      <c r="E66" s="103"/>
      <c r="F66" s="103"/>
      <c r="G66" s="103"/>
      <c r="H66" s="103"/>
      <c r="I66" s="103"/>
      <c r="J66" s="103"/>
      <c r="K66" s="103"/>
    </row>
    <row r="67" spans="1:11">
      <c r="A67" s="98"/>
      <c r="B67" s="98"/>
      <c r="C67" s="43"/>
      <c r="D67" s="103"/>
      <c r="E67" s="103"/>
      <c r="F67" s="103"/>
      <c r="G67" s="103"/>
      <c r="H67" s="103"/>
      <c r="I67" s="103"/>
      <c r="J67" s="103"/>
      <c r="K67" s="103"/>
    </row>
    <row r="68" spans="1:11">
      <c r="A68" s="98"/>
      <c r="B68" s="98"/>
      <c r="C68" s="43"/>
      <c r="D68" s="103"/>
      <c r="E68" s="103"/>
      <c r="F68" s="103"/>
      <c r="G68" s="103"/>
      <c r="H68" s="103"/>
      <c r="I68" s="103"/>
      <c r="J68" s="103"/>
      <c r="K68" s="103"/>
    </row>
    <row r="69" spans="1:11">
      <c r="A69" s="98"/>
      <c r="B69" s="98"/>
      <c r="C69" s="43"/>
      <c r="D69" s="103"/>
      <c r="E69" s="103"/>
      <c r="F69" s="103"/>
      <c r="G69" s="103"/>
      <c r="H69" s="103"/>
      <c r="I69" s="103"/>
      <c r="J69" s="103"/>
      <c r="K69" s="103"/>
    </row>
    <row r="70" spans="1:11">
      <c r="A70" s="98"/>
      <c r="B70" s="98"/>
      <c r="C70" s="43"/>
      <c r="D70" s="103"/>
      <c r="E70" s="103"/>
      <c r="F70" s="103"/>
      <c r="G70" s="103"/>
      <c r="H70" s="103"/>
      <c r="I70" s="103"/>
      <c r="J70" s="103"/>
      <c r="K70" s="103"/>
    </row>
    <row r="71" spans="1:11">
      <c r="A71" s="98"/>
      <c r="B71" s="98"/>
      <c r="C71" s="43"/>
      <c r="D71" s="103"/>
      <c r="E71" s="103"/>
      <c r="F71" s="103"/>
      <c r="G71" s="103"/>
      <c r="H71" s="103"/>
      <c r="I71" s="103"/>
      <c r="J71" s="103"/>
      <c r="K71" s="103"/>
    </row>
    <row r="72" spans="1:11">
      <c r="A72" s="98"/>
      <c r="B72" s="98"/>
      <c r="C72" s="43"/>
      <c r="D72" s="103"/>
      <c r="E72" s="103"/>
      <c r="F72" s="103"/>
      <c r="G72" s="103"/>
      <c r="H72" s="103"/>
      <c r="I72" s="103"/>
      <c r="J72" s="103"/>
      <c r="K72" s="103"/>
    </row>
    <row r="73" spans="1:11">
      <c r="A73" s="98"/>
      <c r="B73" s="98"/>
      <c r="E73" s="37"/>
      <c r="F73" s="37"/>
      <c r="G73" s="37"/>
      <c r="H73" s="37"/>
      <c r="I73" s="37"/>
      <c r="J73" s="37"/>
      <c r="K73" s="37"/>
    </row>
    <row r="74" spans="1:11">
      <c r="A74" s="98"/>
      <c r="B74" s="98"/>
      <c r="E74" s="37"/>
      <c r="F74" s="37"/>
      <c r="G74" s="37"/>
      <c r="H74" s="37"/>
      <c r="I74" s="37"/>
      <c r="J74" s="37"/>
      <c r="K74" s="37"/>
    </row>
    <row r="75" spans="1:11">
      <c r="A75" s="98"/>
      <c r="B75" s="98"/>
      <c r="E75" s="37"/>
      <c r="F75" s="37"/>
      <c r="G75" s="37"/>
      <c r="H75" s="37"/>
      <c r="I75" s="37"/>
      <c r="J75" s="37"/>
      <c r="K75" s="37"/>
    </row>
    <row r="76" spans="1:11">
      <c r="A76" s="98"/>
      <c r="B76" s="98"/>
      <c r="E76" s="37"/>
      <c r="F76" s="37"/>
      <c r="G76" s="37"/>
      <c r="H76" s="37"/>
      <c r="I76" s="37"/>
      <c r="J76" s="37"/>
      <c r="K76" s="37"/>
    </row>
    <row r="77" spans="1:11">
      <c r="A77" s="98"/>
      <c r="B77" s="98"/>
      <c r="C77" s="98"/>
      <c r="D77" s="98"/>
      <c r="E77" s="37"/>
      <c r="F77" s="37"/>
      <c r="G77" s="37"/>
      <c r="H77" s="37"/>
      <c r="I77" s="37"/>
      <c r="J77" s="37"/>
      <c r="K77" s="37"/>
    </row>
    <row r="78" spans="1:11">
      <c r="A78" s="98"/>
      <c r="B78" s="98"/>
      <c r="C78" s="98"/>
      <c r="D78" s="98"/>
      <c r="E78" s="37"/>
      <c r="F78" s="37"/>
      <c r="G78" s="37"/>
      <c r="H78" s="37"/>
      <c r="I78" s="37"/>
      <c r="J78" s="37"/>
      <c r="K78" s="37"/>
    </row>
    <row r="79" spans="1:11">
      <c r="A79" s="98"/>
      <c r="B79" s="98"/>
      <c r="C79" s="98"/>
      <c r="D79" s="98"/>
      <c r="E79" s="37"/>
      <c r="F79" s="37"/>
      <c r="G79" s="37"/>
      <c r="H79" s="37"/>
      <c r="I79" s="37"/>
      <c r="J79" s="37"/>
      <c r="K79" s="37"/>
    </row>
    <row r="80" spans="1:11">
      <c r="A80" s="98"/>
      <c r="B80" s="98"/>
      <c r="C80" s="98"/>
      <c r="D80" s="98"/>
      <c r="E80" s="37"/>
      <c r="F80" s="37"/>
      <c r="G80" s="37"/>
      <c r="H80" s="37"/>
      <c r="I80" s="37"/>
      <c r="J80" s="37"/>
      <c r="K80" s="37"/>
    </row>
    <row r="81" spans="1:11">
      <c r="A81" s="98"/>
      <c r="B81" s="98"/>
      <c r="C81" s="98"/>
      <c r="D81" s="98"/>
      <c r="E81" s="37"/>
      <c r="F81" s="37"/>
      <c r="G81" s="37"/>
      <c r="H81" s="37"/>
      <c r="I81" s="37"/>
      <c r="J81" s="37"/>
      <c r="K81" s="37"/>
    </row>
    <row r="82" spans="1:11">
      <c r="A82" s="98"/>
      <c r="B82" s="98"/>
      <c r="C82" s="98"/>
      <c r="D82" s="98"/>
      <c r="E82" s="37"/>
      <c r="F82" s="37"/>
      <c r="G82" s="37"/>
      <c r="H82" s="37"/>
      <c r="I82" s="37"/>
      <c r="J82" s="37"/>
      <c r="K82" s="37"/>
    </row>
    <row r="83" spans="1:11">
      <c r="A83" s="98"/>
      <c r="B83" s="98"/>
      <c r="C83" s="98"/>
      <c r="D83" s="98"/>
      <c r="E83" s="37"/>
      <c r="F83" s="37"/>
      <c r="G83" s="37"/>
      <c r="H83" s="37"/>
      <c r="I83" s="37"/>
      <c r="J83" s="37"/>
      <c r="K83" s="37"/>
    </row>
    <row r="84" spans="1:11">
      <c r="A84" s="98"/>
      <c r="B84" s="98"/>
      <c r="C84" s="98"/>
      <c r="D84" s="98"/>
      <c r="E84" s="37"/>
      <c r="F84" s="37"/>
      <c r="G84" s="37"/>
      <c r="H84" s="37"/>
      <c r="I84" s="37"/>
      <c r="J84" s="37"/>
      <c r="K84" s="37"/>
    </row>
    <row r="85" spans="1:11">
      <c r="A85" s="98"/>
      <c r="B85" s="98"/>
      <c r="C85" s="98"/>
      <c r="D85" s="98"/>
      <c r="E85" s="37"/>
      <c r="F85" s="37"/>
      <c r="G85" s="37"/>
      <c r="H85" s="37"/>
      <c r="I85" s="37"/>
      <c r="J85" s="37"/>
      <c r="K85" s="37"/>
    </row>
    <row r="86" spans="1:11">
      <c r="A86" s="98"/>
      <c r="B86" s="98"/>
      <c r="C86" s="98"/>
      <c r="D86" s="98"/>
      <c r="E86" s="37"/>
      <c r="F86" s="37"/>
      <c r="G86" s="37"/>
      <c r="H86" s="37"/>
      <c r="I86" s="37"/>
      <c r="J86" s="37"/>
      <c r="K86" s="37"/>
    </row>
    <row r="87" spans="1:11">
      <c r="A87" s="98"/>
      <c r="B87" s="98"/>
      <c r="C87" s="98"/>
      <c r="D87" s="98"/>
      <c r="E87" s="37"/>
      <c r="F87" s="37"/>
      <c r="G87" s="37"/>
      <c r="H87" s="37"/>
      <c r="I87" s="37"/>
      <c r="J87" s="37"/>
      <c r="K87" s="37"/>
    </row>
    <row r="88" spans="1:11">
      <c r="A88" s="98"/>
      <c r="B88" s="98"/>
      <c r="C88" s="98"/>
      <c r="D88" s="98"/>
      <c r="E88" s="37"/>
      <c r="F88" s="37"/>
      <c r="G88" s="37"/>
      <c r="H88" s="37"/>
      <c r="I88" s="37"/>
      <c r="J88" s="37"/>
      <c r="K88" s="37"/>
    </row>
    <row r="89" spans="1:11">
      <c r="A89" s="98"/>
      <c r="B89" s="98"/>
      <c r="C89" s="98"/>
      <c r="D89" s="98"/>
      <c r="E89" s="37"/>
      <c r="F89" s="37"/>
      <c r="G89" s="37"/>
      <c r="H89" s="37"/>
      <c r="I89" s="37"/>
      <c r="J89" s="37"/>
      <c r="K89" s="37"/>
    </row>
    <row r="90" spans="1:11">
      <c r="A90" s="98"/>
      <c r="B90" s="98"/>
      <c r="C90" s="98"/>
      <c r="D90" s="98"/>
      <c r="E90" s="37"/>
      <c r="F90" s="37"/>
      <c r="G90" s="37"/>
      <c r="H90" s="37"/>
      <c r="I90" s="37"/>
      <c r="J90" s="37"/>
      <c r="K90" s="37"/>
    </row>
    <row r="91" spans="1:11">
      <c r="A91" s="98"/>
      <c r="B91" s="98"/>
      <c r="C91" s="98"/>
      <c r="D91" s="98"/>
      <c r="E91" s="37"/>
      <c r="F91" s="37"/>
      <c r="G91" s="37"/>
      <c r="H91" s="37"/>
      <c r="I91" s="37"/>
      <c r="J91" s="37"/>
      <c r="K91" s="37"/>
    </row>
    <row r="92" spans="1:11">
      <c r="A92" s="98"/>
      <c r="B92" s="98"/>
      <c r="C92" s="98"/>
      <c r="D92" s="98"/>
      <c r="E92" s="37"/>
      <c r="F92" s="37"/>
      <c r="G92" s="37"/>
      <c r="H92" s="37"/>
      <c r="I92" s="37"/>
      <c r="J92" s="37"/>
      <c r="K92" s="37"/>
    </row>
    <row r="93" spans="1:11">
      <c r="A93" s="98"/>
      <c r="B93" s="98"/>
      <c r="C93" s="98"/>
      <c r="D93" s="98"/>
      <c r="E93" s="37"/>
      <c r="F93" s="37"/>
      <c r="G93" s="37"/>
      <c r="H93" s="37"/>
      <c r="I93" s="37"/>
      <c r="J93" s="37"/>
      <c r="K93" s="37"/>
    </row>
    <row r="94" spans="1:11">
      <c r="A94" s="98"/>
      <c r="B94" s="98"/>
      <c r="C94" s="98"/>
      <c r="D94" s="98"/>
      <c r="E94" s="37"/>
      <c r="F94" s="37"/>
      <c r="G94" s="37"/>
      <c r="H94" s="37"/>
      <c r="I94" s="37"/>
      <c r="J94" s="37"/>
      <c r="K94" s="37"/>
    </row>
    <row r="95" spans="1:11">
      <c r="A95" s="98"/>
      <c r="B95" s="98"/>
      <c r="C95" s="98"/>
      <c r="D95" s="98"/>
      <c r="E95" s="37"/>
      <c r="F95" s="37"/>
      <c r="G95" s="37"/>
      <c r="H95" s="37"/>
      <c r="I95" s="37"/>
      <c r="J95" s="37"/>
      <c r="K95" s="37"/>
    </row>
    <row r="96" spans="1:11">
      <c r="A96" s="98"/>
      <c r="B96" s="98"/>
      <c r="C96" s="98"/>
      <c r="D96" s="98"/>
      <c r="E96" s="37"/>
      <c r="F96" s="37"/>
      <c r="G96" s="37"/>
      <c r="H96" s="37"/>
      <c r="I96" s="37"/>
      <c r="J96" s="37"/>
      <c r="K96" s="37"/>
    </row>
    <row r="97" spans="1:11">
      <c r="A97" s="98"/>
      <c r="B97" s="98"/>
      <c r="C97" s="98"/>
      <c r="D97" s="98"/>
      <c r="E97" s="37"/>
      <c r="F97" s="37"/>
      <c r="G97" s="37"/>
      <c r="H97" s="37"/>
      <c r="I97" s="37"/>
      <c r="J97" s="37"/>
      <c r="K97" s="37"/>
    </row>
    <row r="98" spans="1:11">
      <c r="A98" s="98"/>
      <c r="B98" s="98"/>
      <c r="C98" s="98"/>
      <c r="D98" s="98"/>
      <c r="E98" s="37"/>
      <c r="F98" s="37"/>
      <c r="G98" s="37"/>
      <c r="H98" s="37"/>
      <c r="I98" s="37"/>
      <c r="J98" s="37"/>
      <c r="K98" s="37"/>
    </row>
    <row r="99" spans="1:11">
      <c r="A99" s="98"/>
      <c r="B99" s="98"/>
      <c r="C99" s="98"/>
      <c r="D99" s="98"/>
      <c r="E99" s="37"/>
      <c r="F99" s="37"/>
      <c r="G99" s="37"/>
      <c r="H99" s="37"/>
      <c r="I99" s="37"/>
      <c r="J99" s="37"/>
      <c r="K99" s="37"/>
    </row>
  </sheetData>
  <mergeCells count="3">
    <mergeCell ref="A1:K1"/>
    <mergeCell ref="A2:K2"/>
    <mergeCell ref="A3:K3"/>
  </mergeCells>
  <printOptions horizontalCentered="1"/>
  <pageMargins left="0.5" right="0.1" top="0.5" bottom="0"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3"/>
  <sheetViews>
    <sheetView zoomScale="75" zoomScaleNormal="75" workbookViewId="0">
      <selection activeCell="H47" sqref="H47"/>
    </sheetView>
  </sheetViews>
  <sheetFormatPr defaultColWidth="10.44140625" defaultRowHeight="13.8"/>
  <cols>
    <col min="1" max="1" width="2.6640625" style="37" customWidth="1"/>
    <col min="2" max="2" width="26.6640625" style="10" customWidth="1"/>
    <col min="3" max="3" width="2.6640625" style="10" customWidth="1"/>
    <col min="4" max="4" width="12.6640625" style="10" customWidth="1"/>
    <col min="5" max="5" width="2.6640625" style="10" customWidth="1"/>
    <col min="6" max="6" width="12.6640625" style="10" customWidth="1"/>
    <col min="7" max="7" width="2.6640625" style="10" customWidth="1"/>
    <col min="8" max="8" width="12.6640625" style="10" customWidth="1"/>
    <col min="9" max="9" width="2.6640625" style="10" customWidth="1"/>
    <col min="10" max="10" width="12.6640625" style="10" customWidth="1"/>
    <col min="11" max="11" width="2.6640625" style="10" customWidth="1"/>
    <col min="12" max="12" width="12.6640625" style="37" customWidth="1"/>
    <col min="13" max="13" width="6.88671875" style="82" customWidth="1"/>
    <col min="14" max="16384" width="10.44140625" style="37"/>
  </cols>
  <sheetData>
    <row r="1" spans="1:13" ht="17.399999999999999">
      <c r="B1" s="464" t="s">
        <v>693</v>
      </c>
      <c r="C1" s="464"/>
      <c r="D1" s="464"/>
      <c r="E1" s="464"/>
      <c r="F1" s="464"/>
      <c r="G1" s="464"/>
      <c r="H1" s="464"/>
      <c r="I1" s="464"/>
      <c r="J1" s="464"/>
      <c r="K1" s="464"/>
      <c r="L1" s="464"/>
    </row>
    <row r="2" spans="1:13" ht="22.8">
      <c r="B2" s="465" t="s">
        <v>1306</v>
      </c>
      <c r="C2" s="465"/>
      <c r="D2" s="465"/>
      <c r="E2" s="465"/>
      <c r="F2" s="465"/>
      <c r="G2" s="465"/>
      <c r="H2" s="465"/>
      <c r="I2" s="465"/>
      <c r="J2" s="465"/>
      <c r="K2" s="465"/>
      <c r="L2" s="465"/>
    </row>
    <row r="3" spans="1:13" ht="17.399999999999999">
      <c r="B3" s="464" t="s">
        <v>741</v>
      </c>
      <c r="C3" s="464"/>
      <c r="D3" s="464"/>
      <c r="E3" s="464"/>
      <c r="F3" s="464"/>
      <c r="G3" s="464"/>
      <c r="H3" s="464"/>
      <c r="I3" s="464"/>
      <c r="J3" s="464"/>
      <c r="K3" s="464"/>
      <c r="L3" s="464"/>
    </row>
    <row r="4" spans="1:13">
      <c r="B4" s="11"/>
      <c r="C4" s="11"/>
      <c r="D4" s="11"/>
      <c r="E4" s="11"/>
      <c r="F4" s="11"/>
      <c r="G4" s="11"/>
      <c r="H4" s="11"/>
      <c r="I4" s="11"/>
      <c r="J4" s="11"/>
      <c r="K4" s="11"/>
      <c r="L4" s="83"/>
    </row>
    <row r="5" spans="1:13">
      <c r="C5" s="11"/>
      <c r="D5" s="11" t="s">
        <v>742</v>
      </c>
      <c r="E5" s="11"/>
      <c r="F5" s="12" t="s">
        <v>743</v>
      </c>
      <c r="G5" s="11"/>
      <c r="H5" s="11" t="s">
        <v>744</v>
      </c>
      <c r="I5" s="12"/>
      <c r="J5" s="12" t="s">
        <v>745</v>
      </c>
      <c r="K5" s="12"/>
      <c r="L5" s="12" t="s">
        <v>746</v>
      </c>
    </row>
    <row r="6" spans="1:13" ht="14.4" thickBot="1">
      <c r="B6" s="84" t="s">
        <v>695</v>
      </c>
      <c r="C6" s="85"/>
      <c r="D6" s="85" t="s">
        <v>460</v>
      </c>
      <c r="E6" s="84"/>
      <c r="F6" s="84" t="s">
        <v>747</v>
      </c>
      <c r="G6" s="84"/>
      <c r="H6" s="84" t="s">
        <v>457</v>
      </c>
      <c r="I6" s="84"/>
      <c r="J6" s="84" t="s">
        <v>748</v>
      </c>
      <c r="K6" s="84"/>
      <c r="L6" s="84" t="s">
        <v>460</v>
      </c>
    </row>
    <row r="7" spans="1:13">
      <c r="B7" s="20"/>
      <c r="C7" s="86"/>
      <c r="D7" s="86"/>
      <c r="E7" s="20"/>
      <c r="F7" s="20"/>
      <c r="G7" s="20"/>
      <c r="H7" s="20"/>
      <c r="I7" s="20"/>
      <c r="J7" s="20"/>
      <c r="K7" s="20"/>
      <c r="L7" s="20"/>
    </row>
    <row r="8" spans="1:13" ht="24" customHeight="1">
      <c r="A8" s="69" t="s">
        <v>696</v>
      </c>
      <c r="B8" s="1"/>
      <c r="C8" s="75"/>
      <c r="D8" s="87">
        <f>'Fund Cover Sheets'!F32</f>
        <v>6496572</v>
      </c>
      <c r="E8" s="87"/>
      <c r="F8" s="87">
        <f>'Fund Cover Sheets'!G20</f>
        <v>16469238</v>
      </c>
      <c r="G8" s="87"/>
      <c r="H8" s="87">
        <f>'Fund Cover Sheets'!G28</f>
        <v>16469238</v>
      </c>
      <c r="I8" s="87"/>
      <c r="J8" s="87">
        <f>F8-H8</f>
        <v>0</v>
      </c>
      <c r="K8" s="87"/>
      <c r="L8" s="88">
        <f>D8+J8</f>
        <v>6496572</v>
      </c>
      <c r="M8" s="89"/>
    </row>
    <row r="9" spans="1:13">
      <c r="A9" s="69"/>
      <c r="B9" s="1"/>
      <c r="C9" s="90"/>
      <c r="D9" s="71"/>
      <c r="E9" s="71"/>
      <c r="F9" s="71"/>
      <c r="G9" s="71"/>
      <c r="H9" s="71"/>
      <c r="I9" s="71"/>
      <c r="J9" s="71"/>
      <c r="K9" s="71"/>
      <c r="L9" s="88"/>
      <c r="M9" s="89"/>
    </row>
    <row r="10" spans="1:13" ht="24" customHeight="1">
      <c r="A10" s="69" t="s">
        <v>697</v>
      </c>
      <c r="B10" s="1"/>
      <c r="C10" s="90"/>
      <c r="D10" s="71"/>
      <c r="E10" s="71"/>
      <c r="F10" s="71"/>
      <c r="G10" s="71"/>
      <c r="H10" s="71"/>
      <c r="I10" s="71"/>
      <c r="J10" s="71"/>
      <c r="K10" s="71"/>
      <c r="L10" s="88"/>
      <c r="M10" s="89"/>
    </row>
    <row r="11" spans="1:13" ht="24" customHeight="1">
      <c r="A11" s="69"/>
      <c r="B11" s="1" t="s">
        <v>624</v>
      </c>
      <c r="C11" s="90"/>
      <c r="D11" s="71">
        <f>'Fund Cover Sheets'!F140</f>
        <v>630127</v>
      </c>
      <c r="E11" s="71"/>
      <c r="F11" s="71">
        <f>'Fund Cover Sheets'!G130</f>
        <v>534904</v>
      </c>
      <c r="G11" s="71"/>
      <c r="H11" s="87">
        <f>'Fund Cover Sheets'!G136</f>
        <v>718788</v>
      </c>
      <c r="I11" s="71"/>
      <c r="J11" s="87">
        <f t="shared" ref="J11:J18" si="0">F11-H11</f>
        <v>-183884</v>
      </c>
      <c r="K11" s="71"/>
      <c r="L11" s="88">
        <f t="shared" ref="L11:L20" si="1">D11+J11</f>
        <v>446243</v>
      </c>
      <c r="M11" s="89"/>
    </row>
    <row r="12" spans="1:13" ht="24" customHeight="1">
      <c r="A12" s="70"/>
      <c r="B12" s="67" t="s">
        <v>698</v>
      </c>
      <c r="C12" s="90"/>
      <c r="D12" s="71">
        <f>'Fund Cover Sheets'!F467</f>
        <v>415872</v>
      </c>
      <c r="E12" s="71"/>
      <c r="F12" s="71">
        <f>'Fund Cover Sheets'!G456</f>
        <v>2244988</v>
      </c>
      <c r="G12" s="71"/>
      <c r="H12" s="87">
        <f>'Fund Cover Sheets'!G463</f>
        <v>2343405</v>
      </c>
      <c r="I12" s="71"/>
      <c r="J12" s="87">
        <f t="shared" si="0"/>
        <v>-98417</v>
      </c>
      <c r="K12" s="71"/>
      <c r="L12" s="88">
        <f t="shared" si="1"/>
        <v>317455</v>
      </c>
      <c r="M12" s="89"/>
    </row>
    <row r="13" spans="1:13" ht="24" customHeight="1">
      <c r="A13" s="70"/>
      <c r="B13" s="67" t="s">
        <v>525</v>
      </c>
      <c r="C13" s="90"/>
      <c r="D13" s="71">
        <f>'Fund Cover Sheets'!F423</f>
        <v>206160</v>
      </c>
      <c r="E13" s="71"/>
      <c r="F13" s="71">
        <f>'Fund Cover Sheets'!G414</f>
        <v>58435</v>
      </c>
      <c r="G13" s="71"/>
      <c r="H13" s="71">
        <f>'Fund Cover Sheets'!G419</f>
        <v>104850</v>
      </c>
      <c r="I13" s="71"/>
      <c r="J13" s="87">
        <f t="shared" si="0"/>
        <v>-46415</v>
      </c>
      <c r="K13" s="71"/>
      <c r="L13" s="88">
        <f t="shared" si="1"/>
        <v>159745</v>
      </c>
      <c r="M13" s="89"/>
    </row>
    <row r="14" spans="1:13" ht="24" customHeight="1">
      <c r="A14" s="70"/>
      <c r="B14" s="67" t="s">
        <v>450</v>
      </c>
      <c r="C14" s="90"/>
      <c r="D14" s="71">
        <f>'Fund Cover Sheets'!F590</f>
        <v>-423969</v>
      </c>
      <c r="E14" s="91"/>
      <c r="F14" s="71">
        <f>'Fund Cover Sheets'!G581</f>
        <v>232318</v>
      </c>
      <c r="G14" s="91"/>
      <c r="H14" s="71">
        <f>'Fund Cover Sheets'!G586</f>
        <v>923808</v>
      </c>
      <c r="I14" s="91"/>
      <c r="J14" s="87">
        <f t="shared" si="0"/>
        <v>-691490</v>
      </c>
      <c r="K14" s="91"/>
      <c r="L14" s="88">
        <f t="shared" si="1"/>
        <v>-1115459</v>
      </c>
      <c r="M14" s="89"/>
    </row>
    <row r="15" spans="1:13" ht="24" customHeight="1">
      <c r="A15" s="70"/>
      <c r="B15" s="67" t="s">
        <v>452</v>
      </c>
      <c r="C15" s="90"/>
      <c r="D15" s="71">
        <f>'Fund Cover Sheets'!F628</f>
        <v>-973703</v>
      </c>
      <c r="E15" s="92"/>
      <c r="F15" s="71">
        <f>'Fund Cover Sheets'!G618</f>
        <v>80000</v>
      </c>
      <c r="G15" s="92"/>
      <c r="H15" s="71">
        <f>'Fund Cover Sheets'!G624</f>
        <v>426484</v>
      </c>
      <c r="I15" s="92"/>
      <c r="J15" s="87">
        <f t="shared" si="0"/>
        <v>-346484</v>
      </c>
      <c r="K15" s="92"/>
      <c r="L15" s="88">
        <f t="shared" si="1"/>
        <v>-1320187</v>
      </c>
      <c r="M15" s="89"/>
    </row>
    <row r="16" spans="1:13" ht="24" customHeight="1">
      <c r="A16" s="70"/>
      <c r="B16" s="67" t="s">
        <v>1218</v>
      </c>
      <c r="C16" s="90"/>
      <c r="D16" s="71">
        <f>'Fund Cover Sheets'!F664</f>
        <v>-10000</v>
      </c>
      <c r="E16" s="92"/>
      <c r="F16" s="71">
        <f>'Fund Cover Sheets'!G655</f>
        <v>0</v>
      </c>
      <c r="G16" s="92"/>
      <c r="H16" s="71">
        <f>'Fund Cover Sheets'!G660</f>
        <v>35000</v>
      </c>
      <c r="I16" s="92"/>
      <c r="J16" s="87">
        <f t="shared" si="0"/>
        <v>-35000</v>
      </c>
      <c r="K16" s="92"/>
      <c r="L16" s="88">
        <f t="shared" si="1"/>
        <v>-45000</v>
      </c>
      <c r="M16" s="89"/>
    </row>
    <row r="17" spans="1:13" ht="24" customHeight="1">
      <c r="A17" s="70"/>
      <c r="B17" s="67" t="s">
        <v>699</v>
      </c>
      <c r="C17" s="81"/>
      <c r="D17" s="71">
        <f>'Fund Cover Sheets'!F67</f>
        <v>11102</v>
      </c>
      <c r="E17" s="3"/>
      <c r="F17" s="3">
        <f>'Fund Cover Sheets'!G59</f>
        <v>13381</v>
      </c>
      <c r="G17" s="3"/>
      <c r="H17" s="3">
        <f>'Fund Cover Sheets'!G63</f>
        <v>30977</v>
      </c>
      <c r="I17" s="3"/>
      <c r="J17" s="87">
        <f t="shared" si="0"/>
        <v>-17596</v>
      </c>
      <c r="K17" s="3"/>
      <c r="L17" s="88">
        <f t="shared" si="1"/>
        <v>-6494</v>
      </c>
      <c r="M17" s="89"/>
    </row>
    <row r="18" spans="1:13" ht="24" customHeight="1">
      <c r="A18" s="70"/>
      <c r="B18" s="67" t="s">
        <v>700</v>
      </c>
      <c r="C18" s="81"/>
      <c r="D18" s="71">
        <f>'Fund Cover Sheets'!F102</f>
        <v>-24447</v>
      </c>
      <c r="E18" s="8"/>
      <c r="F18" s="3">
        <f>'Fund Cover Sheets'!G94</f>
        <v>18140</v>
      </c>
      <c r="G18" s="8"/>
      <c r="H18" s="3">
        <f>'Fund Cover Sheets'!G98</f>
        <v>13977</v>
      </c>
      <c r="I18" s="8"/>
      <c r="J18" s="87">
        <f t="shared" si="0"/>
        <v>4163</v>
      </c>
      <c r="K18" s="8"/>
      <c r="L18" s="88">
        <f t="shared" si="1"/>
        <v>-20284</v>
      </c>
      <c r="M18" s="89"/>
    </row>
    <row r="19" spans="1:13">
      <c r="A19" s="70"/>
      <c r="B19" s="67"/>
      <c r="C19" s="81"/>
      <c r="D19" s="3"/>
      <c r="E19" s="3"/>
      <c r="F19" s="3"/>
      <c r="G19" s="3"/>
      <c r="H19" s="3"/>
      <c r="I19" s="3"/>
      <c r="J19" s="87"/>
      <c r="K19" s="3"/>
      <c r="L19" s="88"/>
      <c r="M19" s="89"/>
    </row>
    <row r="20" spans="1:13" ht="24" customHeight="1">
      <c r="A20" s="69" t="s">
        <v>701</v>
      </c>
      <c r="B20" s="62"/>
      <c r="C20" s="90"/>
      <c r="D20" s="71">
        <f>'Fund Cover Sheets'!F290</f>
        <v>0</v>
      </c>
      <c r="E20" s="71"/>
      <c r="F20" s="71">
        <f>'Fund Cover Sheets'!G281</f>
        <v>324025</v>
      </c>
      <c r="G20" s="71"/>
      <c r="H20" s="71">
        <f>'Fund Cover Sheets'!G286</f>
        <v>324025</v>
      </c>
      <c r="I20" s="71"/>
      <c r="J20" s="87">
        <f>F20-H20</f>
        <v>0</v>
      </c>
      <c r="K20" s="71"/>
      <c r="L20" s="88">
        <f t="shared" si="1"/>
        <v>0</v>
      </c>
      <c r="M20" s="89"/>
    </row>
    <row r="21" spans="1:13">
      <c r="A21" s="70"/>
      <c r="B21" s="62"/>
      <c r="C21" s="81"/>
      <c r="D21" s="3"/>
      <c r="E21" s="93"/>
      <c r="F21" s="3"/>
      <c r="G21" s="93"/>
      <c r="H21" s="93"/>
      <c r="I21" s="93"/>
      <c r="J21" s="87"/>
      <c r="K21" s="93"/>
      <c r="L21" s="88"/>
      <c r="M21" s="89"/>
    </row>
    <row r="22" spans="1:13" ht="24" customHeight="1">
      <c r="A22" s="69" t="s">
        <v>702</v>
      </c>
      <c r="B22" s="62"/>
      <c r="C22" s="81"/>
      <c r="D22" s="3"/>
      <c r="E22" s="3"/>
      <c r="F22" s="3"/>
      <c r="G22" s="3"/>
      <c r="H22" s="3"/>
      <c r="I22" s="3"/>
      <c r="J22" s="87"/>
      <c r="K22" s="3"/>
      <c r="L22" s="88"/>
      <c r="M22" s="89"/>
    </row>
    <row r="23" spans="1:13" ht="24" customHeight="1">
      <c r="A23" s="70"/>
      <c r="B23" s="67" t="s">
        <v>822</v>
      </c>
      <c r="C23" s="81"/>
      <c r="D23" s="3">
        <f>'Fund Cover Sheets'!F254</f>
        <v>382789</v>
      </c>
      <c r="E23" s="3"/>
      <c r="F23" s="3">
        <f>'Fund Cover Sheets'!G218</f>
        <v>161112</v>
      </c>
      <c r="G23" s="3"/>
      <c r="H23" s="3">
        <f>'Fund Cover Sheets'!G243</f>
        <v>225470</v>
      </c>
      <c r="I23" s="3"/>
      <c r="J23" s="87">
        <f>F23-H23</f>
        <v>-64358</v>
      </c>
      <c r="K23" s="3"/>
      <c r="L23" s="88">
        <f>D23+J23</f>
        <v>318431</v>
      </c>
      <c r="M23" s="89"/>
    </row>
    <row r="24" spans="1:13" s="10" customFormat="1" ht="24" customHeight="1">
      <c r="A24" s="70"/>
      <c r="B24" s="67" t="s">
        <v>704</v>
      </c>
      <c r="C24" s="6"/>
      <c r="D24" s="3">
        <f>'Fund Cover Sheets'!F184</f>
        <v>554722</v>
      </c>
      <c r="E24" s="2"/>
      <c r="F24" s="2">
        <f>'Fund Cover Sheets'!G172</f>
        <v>3922029</v>
      </c>
      <c r="G24" s="2"/>
      <c r="H24" s="2">
        <f>'Fund Cover Sheets'!G180</f>
        <v>4548408</v>
      </c>
      <c r="I24" s="2"/>
      <c r="J24" s="87">
        <f>F24-H24</f>
        <v>-626379</v>
      </c>
      <c r="K24" s="2"/>
      <c r="L24" s="88">
        <f>D24+J24</f>
        <v>-71657</v>
      </c>
      <c r="M24" s="78"/>
    </row>
    <row r="25" spans="1:13">
      <c r="A25" s="1"/>
      <c r="B25" s="67"/>
      <c r="C25" s="90"/>
      <c r="D25" s="71"/>
      <c r="E25" s="71"/>
      <c r="F25" s="71"/>
      <c r="G25" s="71"/>
      <c r="H25" s="71"/>
      <c r="I25" s="71"/>
      <c r="J25" s="87"/>
      <c r="K25" s="71"/>
      <c r="L25" s="88"/>
      <c r="M25" s="89"/>
    </row>
    <row r="26" spans="1:13" ht="24" customHeight="1">
      <c r="A26" s="69" t="s">
        <v>751</v>
      </c>
      <c r="B26" s="67"/>
      <c r="C26" s="90"/>
      <c r="D26" s="71"/>
      <c r="E26" s="71"/>
      <c r="F26" s="71"/>
      <c r="G26" s="71"/>
      <c r="H26" s="71"/>
      <c r="I26" s="71"/>
      <c r="J26" s="71"/>
      <c r="K26" s="71"/>
      <c r="L26" s="88"/>
      <c r="M26" s="89"/>
    </row>
    <row r="27" spans="1:13" ht="24" customHeight="1">
      <c r="A27" s="1"/>
      <c r="B27" s="67" t="s">
        <v>523</v>
      </c>
      <c r="C27" s="90"/>
      <c r="D27" s="71">
        <f>'Fund Cover Sheets'!F334</f>
        <v>3480726</v>
      </c>
      <c r="E27" s="71"/>
      <c r="F27" s="71">
        <f>'Fund Cover Sheets'!G320</f>
        <v>4699931</v>
      </c>
      <c r="G27" s="71"/>
      <c r="H27" s="71">
        <f>'Fund Cover Sheets'!G330</f>
        <v>5770144</v>
      </c>
      <c r="I27" s="71"/>
      <c r="J27" s="87">
        <f>F27-H27</f>
        <v>-1070213</v>
      </c>
      <c r="K27" s="71"/>
      <c r="L27" s="88">
        <f>D27+J27</f>
        <v>2410513</v>
      </c>
      <c r="M27" s="89"/>
    </row>
    <row r="28" spans="1:13" ht="24" customHeight="1">
      <c r="A28" s="1"/>
      <c r="B28" s="67" t="s">
        <v>524</v>
      </c>
      <c r="C28" s="90"/>
      <c r="D28" s="71">
        <f>'Fund Cover Sheets'!F380</f>
        <v>1072996</v>
      </c>
      <c r="E28" s="71"/>
      <c r="F28" s="71">
        <f>'Fund Cover Sheets'!G365</f>
        <v>2149679</v>
      </c>
      <c r="G28" s="71"/>
      <c r="H28" s="71">
        <f>'Fund Cover Sheets'!G376</f>
        <v>2538097</v>
      </c>
      <c r="I28" s="71"/>
      <c r="J28" s="87">
        <f>F28-H28</f>
        <v>-388418</v>
      </c>
      <c r="K28" s="71"/>
      <c r="L28" s="88">
        <f>D28+J28</f>
        <v>684578</v>
      </c>
      <c r="M28" s="89"/>
    </row>
    <row r="29" spans="1:13" ht="30" customHeight="1">
      <c r="A29" s="1"/>
      <c r="B29" s="67"/>
      <c r="C29" s="90"/>
      <c r="D29" s="71"/>
      <c r="E29" s="71"/>
      <c r="F29" s="71"/>
      <c r="G29" s="71"/>
      <c r="H29" s="71"/>
      <c r="I29" s="71"/>
      <c r="J29" s="87"/>
      <c r="K29" s="71"/>
      <c r="L29" s="88"/>
      <c r="M29" s="89"/>
    </row>
    <row r="30" spans="1:13" ht="24" customHeight="1">
      <c r="A30" s="69" t="s">
        <v>706</v>
      </c>
      <c r="B30" s="67"/>
      <c r="C30" s="90"/>
      <c r="D30" s="71"/>
      <c r="E30" s="71"/>
      <c r="F30" s="71"/>
      <c r="G30" s="71"/>
      <c r="H30" s="71"/>
      <c r="I30" s="71"/>
      <c r="J30" s="87"/>
      <c r="K30" s="71"/>
      <c r="L30" s="88"/>
      <c r="M30" s="89"/>
    </row>
    <row r="31" spans="1:13" ht="24" customHeight="1">
      <c r="A31" s="69"/>
      <c r="B31" s="67" t="s">
        <v>517</v>
      </c>
      <c r="C31" s="90"/>
      <c r="D31" s="71">
        <f>'Fund Cover Sheets'!F512</f>
        <v>514719</v>
      </c>
      <c r="E31" s="71"/>
      <c r="F31" s="71">
        <f>'Fund Cover Sheets'!G500</f>
        <v>1576751</v>
      </c>
      <c r="G31" s="71"/>
      <c r="H31" s="71">
        <f>'Fund Cover Sheets'!G508</f>
        <v>1620345</v>
      </c>
      <c r="I31" s="71"/>
      <c r="J31" s="87">
        <f>F31-H31</f>
        <v>-43594</v>
      </c>
      <c r="K31" s="71"/>
      <c r="L31" s="88">
        <f>D31+J31</f>
        <v>471125</v>
      </c>
      <c r="M31" s="89"/>
    </row>
    <row r="32" spans="1:13" ht="24" customHeight="1">
      <c r="A32" s="69"/>
      <c r="B32" s="67" t="s">
        <v>707</v>
      </c>
      <c r="C32" s="90"/>
      <c r="D32" s="71">
        <f>'Fund Cover Sheets'!F553</f>
        <v>93593</v>
      </c>
      <c r="E32" s="71"/>
      <c r="F32" s="71">
        <f>'Fund Cover Sheets'!G543</f>
        <v>50100</v>
      </c>
      <c r="G32" s="71"/>
      <c r="H32" s="71">
        <f>'Fund Cover Sheets'!G549</f>
        <v>75500</v>
      </c>
      <c r="I32" s="71"/>
      <c r="J32" s="87">
        <f>F32-H32</f>
        <v>-25400</v>
      </c>
      <c r="K32" s="71"/>
      <c r="L32" s="88">
        <f>D32+J32</f>
        <v>68193</v>
      </c>
      <c r="M32" s="89"/>
    </row>
    <row r="33" spans="1:13" ht="24" customHeight="1">
      <c r="A33" s="69"/>
      <c r="B33" s="72"/>
      <c r="C33" s="81"/>
      <c r="D33" s="3"/>
      <c r="E33" s="3"/>
      <c r="F33" s="3"/>
      <c r="G33" s="3"/>
      <c r="H33" s="3"/>
      <c r="I33" s="3"/>
      <c r="J33" s="3"/>
      <c r="K33" s="3"/>
      <c r="L33" s="71"/>
      <c r="M33" s="89"/>
    </row>
    <row r="34" spans="1:13" ht="15" customHeight="1" thickBot="1">
      <c r="A34" s="70"/>
      <c r="B34" s="94" t="s">
        <v>749</v>
      </c>
      <c r="C34" s="95"/>
      <c r="D34" s="96">
        <f>SUM(D8:D33)</f>
        <v>12427259</v>
      </c>
      <c r="E34" s="96"/>
      <c r="F34" s="96">
        <f>SUM(F8:F33)</f>
        <v>32535031</v>
      </c>
      <c r="G34" s="96"/>
      <c r="H34" s="96">
        <f>SUM(H8:H33)</f>
        <v>36168516</v>
      </c>
      <c r="I34" s="96"/>
      <c r="J34" s="96">
        <f>SUM(J8:J33)</f>
        <v>-3633485</v>
      </c>
      <c r="K34" s="96"/>
      <c r="L34" s="96">
        <f>SUM(L8:L33)</f>
        <v>8793774</v>
      </c>
      <c r="M34" s="89"/>
    </row>
    <row r="35" spans="1:13" ht="24" customHeight="1" thickTop="1">
      <c r="A35" s="70"/>
      <c r="B35" s="1"/>
      <c r="C35" s="75"/>
      <c r="D35" s="87"/>
      <c r="E35" s="87"/>
      <c r="F35" s="87"/>
      <c r="G35" s="87"/>
      <c r="H35" s="87"/>
      <c r="I35" s="87"/>
      <c r="J35" s="87"/>
      <c r="K35" s="87"/>
      <c r="L35" s="88"/>
      <c r="M35" s="89"/>
    </row>
    <row r="36" spans="1:13" ht="15" customHeight="1">
      <c r="A36" s="108" t="s">
        <v>752</v>
      </c>
      <c r="B36" s="109" t="s">
        <v>834</v>
      </c>
      <c r="C36" s="90"/>
      <c r="D36" s="71"/>
      <c r="E36" s="71"/>
      <c r="F36" s="71"/>
      <c r="G36" s="71"/>
      <c r="H36" s="71"/>
      <c r="I36" s="71"/>
      <c r="J36" s="71"/>
      <c r="K36" s="71"/>
      <c r="L36" s="71"/>
      <c r="M36" s="89"/>
    </row>
    <row r="37" spans="1:13" ht="15" customHeight="1">
      <c r="M37" s="88"/>
    </row>
    <row r="38" spans="1:13" ht="12" customHeight="1">
      <c r="A38" s="70"/>
      <c r="B38" s="1"/>
      <c r="C38" s="75"/>
      <c r="D38" s="87"/>
      <c r="E38" s="87"/>
      <c r="F38" s="71"/>
      <c r="G38" s="87"/>
      <c r="H38" s="87"/>
      <c r="I38" s="87"/>
      <c r="J38" s="87"/>
      <c r="K38" s="87"/>
      <c r="L38" s="88"/>
      <c r="M38" s="89"/>
    </row>
    <row r="39" spans="1:13" ht="12" customHeight="1">
      <c r="A39" s="70"/>
      <c r="B39" s="1"/>
      <c r="C39" s="75"/>
      <c r="D39" s="87"/>
      <c r="E39" s="87"/>
      <c r="F39" s="71"/>
      <c r="G39" s="87"/>
      <c r="H39" s="87"/>
      <c r="I39" s="87"/>
      <c r="J39" s="87"/>
      <c r="K39" s="87"/>
      <c r="L39" s="88"/>
      <c r="M39" s="89"/>
    </row>
    <row r="40" spans="1:13">
      <c r="A40" s="70"/>
      <c r="B40" s="9"/>
      <c r="C40" s="117"/>
      <c r="D40" s="117"/>
      <c r="E40" s="117"/>
      <c r="F40" s="117"/>
      <c r="G40" s="117"/>
      <c r="H40" s="117"/>
      <c r="I40" s="117"/>
      <c r="J40" s="117"/>
      <c r="K40" s="117"/>
      <c r="L40" s="118"/>
      <c r="M40" s="119"/>
    </row>
    <row r="41" spans="1:13">
      <c r="A41" s="70"/>
      <c r="B41" s="9"/>
      <c r="C41" s="117"/>
      <c r="D41" s="117"/>
      <c r="E41" s="117"/>
      <c r="F41" s="117"/>
      <c r="G41" s="117"/>
      <c r="H41" s="117"/>
      <c r="I41" s="117"/>
      <c r="J41" s="117"/>
      <c r="K41" s="117"/>
      <c r="L41" s="118"/>
      <c r="M41" s="119"/>
    </row>
    <row r="42" spans="1:13">
      <c r="A42" s="70"/>
      <c r="B42" s="9"/>
      <c r="C42" s="117"/>
      <c r="D42" s="117"/>
      <c r="E42" s="117"/>
      <c r="F42" s="117"/>
      <c r="G42" s="117"/>
      <c r="H42" s="117"/>
      <c r="I42" s="117"/>
      <c r="J42" s="117"/>
      <c r="K42" s="117"/>
      <c r="L42" s="118"/>
      <c r="M42" s="119"/>
    </row>
    <row r="43" spans="1:13">
      <c r="A43" s="70"/>
      <c r="B43" s="9"/>
      <c r="C43" s="117"/>
      <c r="D43" s="117"/>
      <c r="E43" s="117"/>
      <c r="F43" s="117"/>
      <c r="G43" s="117"/>
      <c r="H43" s="117"/>
      <c r="I43" s="117"/>
      <c r="J43" s="117"/>
      <c r="K43" s="117"/>
      <c r="L43" s="118"/>
      <c r="M43" s="119"/>
    </row>
    <row r="44" spans="1:13">
      <c r="A44" s="70"/>
      <c r="B44" s="1"/>
      <c r="C44" s="75"/>
      <c r="D44" s="75"/>
      <c r="E44" s="75"/>
      <c r="F44" s="75"/>
      <c r="G44" s="75"/>
      <c r="H44" s="75"/>
      <c r="I44" s="75"/>
      <c r="J44" s="75"/>
      <c r="K44" s="75"/>
      <c r="L44" s="70"/>
    </row>
    <row r="45" spans="1:13">
      <c r="C45" s="97"/>
      <c r="D45" s="97"/>
      <c r="E45" s="97"/>
      <c r="F45" s="97"/>
      <c r="G45" s="97"/>
      <c r="H45" s="97"/>
      <c r="I45" s="97"/>
      <c r="J45" s="97"/>
      <c r="K45" s="97"/>
    </row>
    <row r="46" spans="1:13">
      <c r="C46" s="97"/>
      <c r="D46" s="97"/>
      <c r="E46" s="97"/>
      <c r="F46" s="97"/>
      <c r="G46" s="97"/>
      <c r="H46" s="97"/>
      <c r="I46" s="97"/>
      <c r="J46" s="97"/>
      <c r="K46" s="97"/>
    </row>
    <row r="47" spans="1:13">
      <c r="C47" s="97"/>
      <c r="D47" s="97"/>
      <c r="E47" s="97"/>
      <c r="F47" s="97"/>
      <c r="G47" s="97"/>
      <c r="H47" s="97"/>
      <c r="I47" s="97"/>
      <c r="J47" s="97"/>
      <c r="K47" s="97"/>
    </row>
    <row r="48" spans="1:13">
      <c r="C48" s="97"/>
      <c r="D48" s="97"/>
      <c r="E48" s="97"/>
      <c r="F48" s="97"/>
      <c r="G48" s="97"/>
      <c r="H48" s="97"/>
      <c r="I48" s="97"/>
      <c r="J48" s="97"/>
      <c r="K48" s="97"/>
    </row>
    <row r="49" spans="3:11">
      <c r="C49" s="97"/>
      <c r="D49" s="97"/>
      <c r="E49" s="97"/>
      <c r="F49" s="97"/>
      <c r="G49" s="97"/>
      <c r="H49" s="97"/>
      <c r="I49" s="97"/>
      <c r="J49" s="97"/>
      <c r="K49" s="97"/>
    </row>
    <row r="50" spans="3:11">
      <c r="C50" s="97"/>
      <c r="D50" s="97"/>
      <c r="E50" s="97"/>
      <c r="F50" s="97"/>
      <c r="G50" s="97"/>
      <c r="H50" s="97"/>
      <c r="I50" s="97"/>
      <c r="J50" s="97"/>
      <c r="K50" s="97"/>
    </row>
    <row r="51" spans="3:11">
      <c r="C51" s="97"/>
      <c r="D51" s="97"/>
      <c r="E51" s="97"/>
      <c r="F51" s="97"/>
      <c r="G51" s="97"/>
      <c r="H51" s="97"/>
      <c r="I51" s="97"/>
      <c r="J51" s="97"/>
      <c r="K51" s="97"/>
    </row>
    <row r="52" spans="3:11">
      <c r="C52" s="97"/>
      <c r="D52" s="97"/>
      <c r="E52" s="97"/>
      <c r="F52" s="97"/>
      <c r="G52" s="97"/>
      <c r="H52" s="97"/>
      <c r="I52" s="97"/>
      <c r="J52" s="97"/>
      <c r="K52" s="97"/>
    </row>
    <row r="53" spans="3:11">
      <c r="C53" s="97"/>
      <c r="D53" s="97"/>
      <c r="E53" s="97"/>
      <c r="F53" s="97"/>
      <c r="G53" s="97"/>
      <c r="H53" s="97"/>
      <c r="I53" s="97"/>
      <c r="J53" s="97"/>
      <c r="K53" s="97"/>
    </row>
    <row r="54" spans="3:11">
      <c r="C54" s="97"/>
      <c r="D54" s="97"/>
      <c r="E54" s="97"/>
      <c r="F54" s="97"/>
      <c r="G54" s="97"/>
      <c r="H54" s="97"/>
      <c r="I54" s="97"/>
      <c r="J54" s="97"/>
      <c r="K54" s="97"/>
    </row>
    <row r="55" spans="3:11">
      <c r="C55" s="97"/>
      <c r="D55" s="97"/>
      <c r="E55" s="97"/>
      <c r="F55" s="97"/>
      <c r="G55" s="97"/>
      <c r="H55" s="97"/>
      <c r="I55" s="97"/>
      <c r="J55" s="97"/>
      <c r="K55" s="97"/>
    </row>
    <row r="56" spans="3:11">
      <c r="C56" s="97"/>
      <c r="D56" s="97"/>
      <c r="E56" s="97"/>
      <c r="F56" s="97"/>
      <c r="G56" s="97"/>
      <c r="H56" s="97"/>
      <c r="I56" s="97"/>
      <c r="J56" s="97"/>
      <c r="K56" s="97"/>
    </row>
    <row r="57" spans="3:11">
      <c r="C57" s="97"/>
      <c r="D57" s="97"/>
      <c r="E57" s="97"/>
      <c r="F57" s="97"/>
      <c r="G57" s="97"/>
      <c r="H57" s="97"/>
      <c r="I57" s="97"/>
      <c r="J57" s="97"/>
      <c r="K57" s="97"/>
    </row>
    <row r="58" spans="3:11">
      <c r="C58" s="97"/>
      <c r="D58" s="97"/>
      <c r="E58" s="97"/>
      <c r="F58" s="97"/>
      <c r="G58" s="97"/>
      <c r="H58" s="97"/>
      <c r="I58" s="97"/>
      <c r="J58" s="97"/>
      <c r="K58" s="97"/>
    </row>
    <row r="59" spans="3:11">
      <c r="C59" s="97"/>
      <c r="D59" s="97"/>
      <c r="E59" s="97"/>
      <c r="F59" s="97"/>
      <c r="G59" s="97"/>
      <c r="H59" s="97"/>
      <c r="I59" s="97"/>
      <c r="J59" s="97"/>
      <c r="K59" s="97"/>
    </row>
    <row r="60" spans="3:11">
      <c r="C60" s="97"/>
      <c r="D60" s="97"/>
      <c r="E60" s="97"/>
      <c r="F60" s="97"/>
      <c r="G60" s="97"/>
      <c r="H60" s="97"/>
      <c r="I60" s="97"/>
      <c r="J60" s="97"/>
      <c r="K60" s="97"/>
    </row>
    <row r="61" spans="3:11">
      <c r="C61" s="97"/>
      <c r="D61" s="97"/>
      <c r="E61" s="97"/>
      <c r="F61" s="97"/>
      <c r="G61" s="97"/>
      <c r="H61" s="97"/>
      <c r="I61" s="97"/>
      <c r="J61" s="97"/>
      <c r="K61" s="97"/>
    </row>
    <row r="62" spans="3:11">
      <c r="C62" s="97"/>
      <c r="D62" s="97"/>
      <c r="E62" s="97"/>
      <c r="F62" s="97"/>
      <c r="G62" s="97"/>
      <c r="H62" s="97"/>
      <c r="I62" s="97"/>
      <c r="J62" s="97"/>
      <c r="K62" s="97"/>
    </row>
    <row r="63" spans="3:11">
      <c r="C63" s="97"/>
      <c r="D63" s="97"/>
      <c r="E63" s="97"/>
      <c r="F63" s="97"/>
      <c r="G63" s="97"/>
      <c r="H63" s="97"/>
      <c r="I63" s="97"/>
      <c r="J63" s="97"/>
      <c r="K63" s="97"/>
    </row>
  </sheetData>
  <mergeCells count="3">
    <mergeCell ref="B1:L1"/>
    <mergeCell ref="B2:L2"/>
    <mergeCell ref="B3:L3"/>
  </mergeCells>
  <printOptions horizontalCentered="1"/>
  <pageMargins left="0" right="0.1" top="0.5" bottom="0" header="0" footer="0"/>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67"/>
  <sheetViews>
    <sheetView zoomScale="75" zoomScaleNormal="75" zoomScaleSheetLayoutView="75" workbookViewId="0">
      <selection activeCell="N17" sqref="N17"/>
    </sheetView>
  </sheetViews>
  <sheetFormatPr defaultColWidth="9.109375" defaultRowHeight="13.2"/>
  <cols>
    <col min="1" max="1" width="3.6640625" style="24" customWidth="1"/>
    <col min="2" max="2" width="32.6640625" style="24" customWidth="1"/>
    <col min="3" max="4" width="12.6640625" style="34" customWidth="1"/>
    <col min="5" max="11" width="12.6640625" style="35" customWidth="1"/>
    <col min="12" max="16384" width="9.109375" style="24"/>
  </cols>
  <sheetData>
    <row r="1" spans="1:11" ht="18.75" customHeight="1">
      <c r="A1" s="13"/>
      <c r="B1" s="466" t="s">
        <v>684</v>
      </c>
      <c r="C1" s="466"/>
      <c r="D1" s="466"/>
      <c r="E1" s="466"/>
      <c r="F1" s="466"/>
      <c r="G1" s="466"/>
      <c r="H1" s="466"/>
      <c r="I1" s="466"/>
      <c r="J1" s="466"/>
      <c r="K1" s="466"/>
    </row>
    <row r="2" spans="1:11" ht="18">
      <c r="A2" s="13"/>
      <c r="B2" s="36"/>
      <c r="C2" s="50"/>
      <c r="D2" s="51"/>
      <c r="E2" s="51"/>
      <c r="F2" s="52"/>
      <c r="G2" s="52"/>
      <c r="H2" s="52"/>
      <c r="I2" s="52"/>
      <c r="J2" s="52"/>
      <c r="K2" s="52"/>
    </row>
    <row r="3" spans="1:11" ht="15" customHeight="1">
      <c r="A3" s="13"/>
      <c r="B3" s="467" t="s">
        <v>982</v>
      </c>
      <c r="C3" s="467"/>
      <c r="D3" s="467"/>
      <c r="E3" s="467"/>
      <c r="F3" s="467"/>
      <c r="G3" s="467"/>
      <c r="H3" s="467"/>
      <c r="I3" s="467"/>
      <c r="J3" s="467"/>
      <c r="K3" s="467"/>
    </row>
    <row r="4" spans="1:11" ht="13.8">
      <c r="A4" s="13"/>
      <c r="B4" s="467"/>
      <c r="C4" s="467"/>
      <c r="D4" s="467"/>
      <c r="E4" s="467"/>
      <c r="F4" s="467"/>
      <c r="G4" s="467"/>
      <c r="H4" s="467"/>
      <c r="I4" s="467"/>
      <c r="J4" s="467"/>
      <c r="K4" s="467"/>
    </row>
    <row r="5" spans="1:11" ht="13.8">
      <c r="A5" s="13"/>
      <c r="B5" s="467"/>
      <c r="C5" s="467"/>
      <c r="D5" s="467"/>
      <c r="E5" s="467"/>
      <c r="F5" s="467"/>
      <c r="G5" s="467"/>
      <c r="H5" s="467"/>
      <c r="I5" s="467"/>
      <c r="J5" s="467"/>
      <c r="K5" s="467"/>
    </row>
    <row r="6" spans="1:11" ht="13.8">
      <c r="A6" s="13"/>
      <c r="B6" s="38"/>
      <c r="C6" s="53"/>
      <c r="D6" s="53"/>
      <c r="E6" s="53"/>
      <c r="F6" s="52"/>
      <c r="G6" s="52"/>
      <c r="H6" s="52"/>
      <c r="I6" s="52"/>
      <c r="J6" s="52"/>
      <c r="K6" s="52"/>
    </row>
    <row r="7" spans="1:11" ht="13.8">
      <c r="A7" s="13"/>
      <c r="B7" s="10"/>
      <c r="C7" s="64"/>
      <c r="D7" s="1"/>
      <c r="E7" s="64" t="s">
        <v>864</v>
      </c>
      <c r="F7" s="1"/>
      <c r="G7" s="1"/>
      <c r="H7" s="1"/>
      <c r="I7" s="1"/>
      <c r="J7" s="1"/>
      <c r="K7" s="1"/>
    </row>
    <row r="8" spans="1:11" ht="13.8">
      <c r="A8" s="13"/>
      <c r="B8" s="12"/>
      <c r="C8" s="63" t="s">
        <v>234</v>
      </c>
      <c r="D8" s="64" t="s">
        <v>790</v>
      </c>
      <c r="E8" s="64" t="s">
        <v>637</v>
      </c>
      <c r="F8" s="64" t="s">
        <v>864</v>
      </c>
      <c r="G8" s="64" t="s">
        <v>895</v>
      </c>
      <c r="H8" s="64" t="s">
        <v>896</v>
      </c>
      <c r="I8" s="64" t="s">
        <v>897</v>
      </c>
      <c r="J8" s="64" t="s">
        <v>898</v>
      </c>
      <c r="K8" s="64" t="s">
        <v>899</v>
      </c>
    </row>
    <row r="9" spans="1:11" ht="14.4" thickBot="1">
      <c r="A9" s="13"/>
      <c r="B9" s="39"/>
      <c r="C9" s="66" t="s">
        <v>1</v>
      </c>
      <c r="D9" s="66" t="s">
        <v>1</v>
      </c>
      <c r="E9" s="66" t="s">
        <v>605</v>
      </c>
      <c r="F9" s="66" t="s">
        <v>19</v>
      </c>
      <c r="G9" s="66" t="str">
        <f>'Fund Cover Sheets'!$M$1</f>
        <v>Adopted</v>
      </c>
      <c r="H9" s="66" t="s">
        <v>19</v>
      </c>
      <c r="I9" s="66" t="s">
        <v>19</v>
      </c>
      <c r="J9" s="66" t="s">
        <v>19</v>
      </c>
      <c r="K9" s="66" t="s">
        <v>19</v>
      </c>
    </row>
    <row r="10" spans="1:11" ht="13.8">
      <c r="A10" s="13"/>
      <c r="B10" s="10"/>
      <c r="C10" s="43"/>
      <c r="D10" s="43"/>
      <c r="E10" s="43"/>
      <c r="F10" s="52"/>
      <c r="G10" s="52"/>
      <c r="H10" s="52"/>
      <c r="I10" s="52"/>
      <c r="J10" s="52"/>
      <c r="K10" s="52"/>
    </row>
    <row r="11" spans="1:11" ht="13.8">
      <c r="A11" s="13"/>
      <c r="B11" s="40" t="s">
        <v>457</v>
      </c>
      <c r="C11" s="43"/>
      <c r="D11" s="43"/>
      <c r="E11" s="43"/>
      <c r="F11" s="52"/>
      <c r="G11" s="52"/>
      <c r="H11" s="52"/>
      <c r="I11" s="52"/>
      <c r="J11" s="52"/>
      <c r="K11" s="52"/>
    </row>
    <row r="12" spans="1:11" ht="20.100000000000001" customHeight="1">
      <c r="A12" s="13"/>
      <c r="B12" s="14" t="s">
        <v>649</v>
      </c>
      <c r="C12" s="2">
        <f>SUM('Budget Detail FY 2017-24'!L59:L64)</f>
        <v>460265</v>
      </c>
      <c r="D12" s="2">
        <f>SUM('Budget Detail FY 2017-24'!M59:M64)</f>
        <v>518618</v>
      </c>
      <c r="E12" s="2">
        <f>SUM('Budget Detail FY 2017-24'!N59:N64)</f>
        <v>579552</v>
      </c>
      <c r="F12" s="2">
        <f>SUM('Budget Detail FY 2017-24'!O59:O64)</f>
        <v>573500</v>
      </c>
      <c r="G12" s="2">
        <f>SUM('Budget Detail FY 2017-24'!P59:P64)</f>
        <v>600095</v>
      </c>
      <c r="H12" s="2">
        <f>SUM('Budget Detail FY 2017-24'!Q59:Q64)</f>
        <v>616238</v>
      </c>
      <c r="I12" s="2">
        <f>SUM('Budget Detail FY 2017-24'!R59:R64)</f>
        <v>632865</v>
      </c>
      <c r="J12" s="2">
        <f>SUM('Budget Detail FY 2017-24'!S59:S64)</f>
        <v>649991</v>
      </c>
      <c r="K12" s="2">
        <f>SUM('Budget Detail FY 2017-24'!T59:T64)</f>
        <v>667631</v>
      </c>
    </row>
    <row r="13" spans="1:11" ht="20.100000000000001" customHeight="1">
      <c r="A13" s="13"/>
      <c r="B13" s="14" t="s">
        <v>650</v>
      </c>
      <c r="C13" s="2">
        <f>SUM('Budget Detail FY 2017-24'!L65:L70)</f>
        <v>161660</v>
      </c>
      <c r="D13" s="2">
        <f>SUM('Budget Detail FY 2017-24'!M65:M70)</f>
        <v>201497</v>
      </c>
      <c r="E13" s="2">
        <f>SUM('Budget Detail FY 2017-24'!N65:N70)</f>
        <v>224357</v>
      </c>
      <c r="F13" s="2">
        <f>SUM('Budget Detail FY 2017-24'!O65:O70)</f>
        <v>216600</v>
      </c>
      <c r="G13" s="2">
        <f>SUM('Budget Detail FY 2017-24'!P65:P70)</f>
        <v>220528</v>
      </c>
      <c r="H13" s="2">
        <f>SUM('Budget Detail FY 2017-24'!Q65:Q70)</f>
        <v>234679</v>
      </c>
      <c r="I13" s="2">
        <f>SUM('Budget Detail FY 2017-24'!R65:R70)</f>
        <v>249957</v>
      </c>
      <c r="J13" s="2">
        <f>SUM('Budget Detail FY 2017-24'!S65:S70)</f>
        <v>266327</v>
      </c>
      <c r="K13" s="2">
        <f>SUM('Budget Detail FY 2017-24'!T65:T70)</f>
        <v>283870</v>
      </c>
    </row>
    <row r="14" spans="1:11" ht="20.100000000000001" customHeight="1">
      <c r="A14" s="13"/>
      <c r="B14" s="14" t="s">
        <v>651</v>
      </c>
      <c r="C14" s="2">
        <f>SUM('Budget Detail FY 2017-24'!L71:L85)</f>
        <v>140692</v>
      </c>
      <c r="D14" s="2">
        <f>SUM('Budget Detail FY 2017-24'!M71:M85)</f>
        <v>131910</v>
      </c>
      <c r="E14" s="2">
        <f>SUM('Budget Detail FY 2017-24'!N71:N85)</f>
        <v>141990</v>
      </c>
      <c r="F14" s="2">
        <f>SUM('Budget Detail FY 2017-24'!O71:O85)</f>
        <v>141607</v>
      </c>
      <c r="G14" s="2">
        <f>SUM('Budget Detail FY 2017-24'!P71:P85)</f>
        <v>131949</v>
      </c>
      <c r="H14" s="2">
        <f>SUM('Budget Detail FY 2017-24'!Q71:Q85)</f>
        <v>134672</v>
      </c>
      <c r="I14" s="2">
        <f>SUM('Budget Detail FY 2017-24'!R71:R85)</f>
        <v>136496</v>
      </c>
      <c r="J14" s="2">
        <f>SUM('Budget Detail FY 2017-24'!S71:S85)</f>
        <v>139185</v>
      </c>
      <c r="K14" s="2">
        <f>SUM('Budget Detail FY 2017-24'!T71:T85)</f>
        <v>143054</v>
      </c>
    </row>
    <row r="15" spans="1:11" ht="20.100000000000001" customHeight="1">
      <c r="A15" s="13"/>
      <c r="B15" s="41" t="s">
        <v>652</v>
      </c>
      <c r="C15" s="2">
        <f>SUM('Budget Detail FY 2017-24'!L86:L86)</f>
        <v>7563</v>
      </c>
      <c r="D15" s="2">
        <f>SUM('Budget Detail FY 2017-24'!M86:M86)</f>
        <v>8832</v>
      </c>
      <c r="E15" s="2">
        <f>SUM('Budget Detail FY 2017-24'!N86:N86)</f>
        <v>10000</v>
      </c>
      <c r="F15" s="2">
        <f>SUM('Budget Detail FY 2017-24'!O86:O86)</f>
        <v>10000</v>
      </c>
      <c r="G15" s="2">
        <f>SUM('Budget Detail FY 2017-24'!P86:P86)</f>
        <v>10000</v>
      </c>
      <c r="H15" s="2">
        <f>SUM('Budget Detail FY 2017-24'!Q86:Q86)</f>
        <v>10000</v>
      </c>
      <c r="I15" s="2">
        <f>SUM('Budget Detail FY 2017-24'!R86:R86)</f>
        <v>10000</v>
      </c>
      <c r="J15" s="2">
        <f>SUM('Budget Detail FY 2017-24'!S86:S86)</f>
        <v>10000</v>
      </c>
      <c r="K15" s="2">
        <f>SUM('Budget Detail FY 2017-24'!T86:T86)</f>
        <v>10000</v>
      </c>
    </row>
    <row r="16" spans="1:11" s="112" customFormat="1" ht="20.100000000000001" customHeight="1" thickBot="1">
      <c r="A16" s="110"/>
      <c r="B16" s="111" t="s">
        <v>685</v>
      </c>
      <c r="C16" s="79">
        <f>SUM(C12:C15)</f>
        <v>770180</v>
      </c>
      <c r="D16" s="79">
        <f t="shared" ref="D16:J16" si="0">SUM(D12:D15)</f>
        <v>860857</v>
      </c>
      <c r="E16" s="79">
        <f t="shared" si="0"/>
        <v>955899</v>
      </c>
      <c r="F16" s="79">
        <f>SUM(F12:F15)</f>
        <v>941707</v>
      </c>
      <c r="G16" s="79">
        <f t="shared" si="0"/>
        <v>962572</v>
      </c>
      <c r="H16" s="79">
        <f t="shared" si="0"/>
        <v>995589</v>
      </c>
      <c r="I16" s="79">
        <f t="shared" si="0"/>
        <v>1029318</v>
      </c>
      <c r="J16" s="79">
        <f t="shared" si="0"/>
        <v>1065503</v>
      </c>
      <c r="K16" s="79">
        <f>SUM(K12:K15)</f>
        <v>1104555</v>
      </c>
    </row>
    <row r="17" spans="1:11" s="112" customFormat="1" ht="14.4" thickTop="1">
      <c r="A17" s="110"/>
      <c r="B17" s="16"/>
      <c r="C17" s="120"/>
      <c r="D17" s="120"/>
      <c r="E17" s="120"/>
      <c r="F17" s="120"/>
      <c r="G17" s="120"/>
      <c r="H17" s="120"/>
      <c r="I17" s="120"/>
      <c r="J17" s="120"/>
      <c r="K17" s="120"/>
    </row>
    <row r="18" spans="1:11" ht="13.8">
      <c r="A18" s="13"/>
      <c r="B18" s="15"/>
      <c r="C18" s="54"/>
      <c r="D18" s="54"/>
      <c r="E18" s="54"/>
      <c r="F18" s="52"/>
      <c r="G18" s="52"/>
      <c r="H18" s="52"/>
      <c r="I18" s="52"/>
      <c r="J18" s="52"/>
      <c r="K18" s="52"/>
    </row>
    <row r="19" spans="1:11" ht="13.8">
      <c r="A19" s="13"/>
      <c r="B19" s="10"/>
      <c r="C19" s="43"/>
      <c r="D19" s="43"/>
      <c r="E19" s="43"/>
      <c r="F19" s="52"/>
      <c r="G19" s="52"/>
      <c r="H19" s="52"/>
      <c r="I19" s="52"/>
      <c r="J19" s="52"/>
      <c r="K19" s="52"/>
    </row>
    <row r="20" spans="1:11" ht="13.8">
      <c r="A20" s="13"/>
      <c r="B20" s="10"/>
      <c r="C20" s="43"/>
      <c r="D20" s="43"/>
      <c r="E20" s="43"/>
      <c r="F20" s="52"/>
      <c r="G20" s="52"/>
      <c r="H20" s="52"/>
      <c r="I20" s="52"/>
      <c r="J20" s="52"/>
      <c r="K20" s="52"/>
    </row>
    <row r="21" spans="1:11" ht="13.8">
      <c r="A21" s="13"/>
      <c r="B21" s="10"/>
      <c r="C21" s="43"/>
      <c r="D21" s="43"/>
      <c r="E21" s="43"/>
      <c r="F21" s="52"/>
      <c r="G21" s="52"/>
      <c r="H21" s="52"/>
      <c r="I21" s="52"/>
      <c r="J21" s="52"/>
      <c r="K21" s="52"/>
    </row>
    <row r="22" spans="1:11" ht="13.8">
      <c r="A22" s="13"/>
      <c r="B22" s="10"/>
      <c r="C22" s="43"/>
      <c r="D22" s="43"/>
      <c r="E22" s="43"/>
      <c r="F22" s="52"/>
      <c r="G22" s="52"/>
      <c r="H22" s="52"/>
      <c r="I22" s="52"/>
      <c r="J22" s="52"/>
      <c r="K22" s="52"/>
    </row>
    <row r="23" spans="1:11" ht="13.8">
      <c r="A23" s="13"/>
      <c r="B23" s="10"/>
      <c r="C23" s="43"/>
      <c r="D23" s="43"/>
      <c r="E23" s="43"/>
      <c r="F23" s="52"/>
      <c r="G23" s="52"/>
      <c r="H23" s="52"/>
      <c r="I23" s="52"/>
      <c r="J23" s="52"/>
      <c r="K23" s="52"/>
    </row>
    <row r="24" spans="1:11" ht="13.8">
      <c r="A24" s="13"/>
      <c r="B24" s="10"/>
      <c r="C24" s="43"/>
      <c r="D24" s="43"/>
      <c r="E24" s="43"/>
      <c r="F24" s="52"/>
      <c r="G24" s="52"/>
      <c r="H24" s="52"/>
      <c r="I24" s="52"/>
      <c r="J24" s="52"/>
      <c r="K24" s="52"/>
    </row>
    <row r="25" spans="1:11" ht="13.8">
      <c r="A25" s="13"/>
      <c r="B25" s="10"/>
      <c r="C25" s="43"/>
      <c r="D25" s="43"/>
      <c r="E25" s="43"/>
      <c r="F25" s="52"/>
      <c r="G25" s="52"/>
      <c r="H25" s="52"/>
      <c r="I25" s="52"/>
      <c r="J25" s="52"/>
      <c r="K25" s="52"/>
    </row>
    <row r="26" spans="1:11" ht="13.8">
      <c r="A26" s="13"/>
      <c r="B26" s="10"/>
      <c r="C26" s="43"/>
      <c r="D26" s="43"/>
      <c r="E26" s="43"/>
      <c r="F26" s="52"/>
      <c r="G26" s="52"/>
      <c r="H26" s="52"/>
      <c r="I26" s="52"/>
      <c r="J26" s="52"/>
      <c r="K26" s="52"/>
    </row>
    <row r="27" spans="1:11" ht="13.8">
      <c r="A27" s="13"/>
      <c r="B27" s="10"/>
      <c r="C27" s="43"/>
      <c r="D27" s="43"/>
      <c r="E27" s="43"/>
      <c r="F27" s="52"/>
      <c r="G27" s="52"/>
      <c r="H27" s="52"/>
      <c r="I27" s="52"/>
      <c r="J27" s="52"/>
      <c r="K27" s="52"/>
    </row>
    <row r="28" spans="1:11" ht="13.8">
      <c r="A28" s="13"/>
      <c r="B28" s="10"/>
      <c r="C28" s="43"/>
      <c r="D28" s="43"/>
      <c r="E28" s="43"/>
      <c r="F28" s="52"/>
      <c r="G28" s="52"/>
      <c r="H28" s="52"/>
      <c r="I28" s="52"/>
      <c r="J28" s="52"/>
      <c r="K28" s="52"/>
    </row>
    <row r="29" spans="1:11" ht="13.8">
      <c r="A29" s="13"/>
      <c r="B29" s="10"/>
      <c r="C29" s="43"/>
      <c r="D29" s="43"/>
      <c r="E29" s="43"/>
      <c r="F29" s="52"/>
      <c r="G29" s="52"/>
      <c r="H29" s="52"/>
      <c r="I29" s="52"/>
      <c r="J29" s="52"/>
      <c r="K29" s="52"/>
    </row>
    <row r="30" spans="1:11" ht="13.8">
      <c r="A30" s="13"/>
      <c r="B30" s="10"/>
      <c r="C30" s="43"/>
      <c r="D30" s="43"/>
      <c r="E30" s="43"/>
      <c r="F30" s="52"/>
      <c r="G30" s="52"/>
      <c r="H30" s="52"/>
      <c r="I30" s="52"/>
      <c r="J30" s="52"/>
      <c r="K30" s="52"/>
    </row>
    <row r="31" spans="1:11" ht="13.8">
      <c r="A31" s="13"/>
      <c r="B31"/>
      <c r="C31" s="23"/>
      <c r="D31" s="23"/>
      <c r="E31" s="23"/>
      <c r="F31" s="23"/>
      <c r="G31" s="23"/>
      <c r="H31" s="52"/>
      <c r="I31" s="52"/>
      <c r="J31" s="52"/>
      <c r="K31" s="52"/>
    </row>
    <row r="32" spans="1:11" ht="17.399999999999999">
      <c r="A32" s="13"/>
      <c r="B32" s="468" t="s">
        <v>686</v>
      </c>
      <c r="C32" s="468"/>
      <c r="D32" s="468"/>
      <c r="E32" s="468"/>
      <c r="F32" s="468"/>
      <c r="G32" s="468"/>
      <c r="H32" s="468"/>
      <c r="I32" s="468"/>
      <c r="J32" s="468"/>
      <c r="K32" s="468"/>
    </row>
    <row r="33" spans="1:11" ht="13.8">
      <c r="A33" s="13"/>
      <c r="B33" s="37"/>
      <c r="C33" s="52"/>
      <c r="D33" s="52"/>
      <c r="E33" s="52"/>
      <c r="F33" s="52"/>
      <c r="G33" s="52"/>
      <c r="H33" s="52"/>
      <c r="I33" s="52"/>
      <c r="J33" s="52"/>
      <c r="K33" s="52"/>
    </row>
    <row r="34" spans="1:11" ht="15" customHeight="1">
      <c r="A34" s="13"/>
      <c r="B34" s="467" t="s">
        <v>983</v>
      </c>
      <c r="C34" s="467"/>
      <c r="D34" s="467"/>
      <c r="E34" s="467"/>
      <c r="F34" s="467"/>
      <c r="G34" s="467"/>
      <c r="H34" s="467"/>
      <c r="I34" s="467"/>
      <c r="J34" s="467"/>
      <c r="K34" s="467"/>
    </row>
    <row r="35" spans="1:11" ht="13.8">
      <c r="A35" s="13"/>
      <c r="B35" s="467"/>
      <c r="C35" s="467"/>
      <c r="D35" s="467"/>
      <c r="E35" s="467"/>
      <c r="F35" s="467"/>
      <c r="G35" s="467"/>
      <c r="H35" s="467"/>
      <c r="I35" s="467"/>
      <c r="J35" s="467"/>
      <c r="K35" s="467"/>
    </row>
    <row r="36" spans="1:11" ht="13.8">
      <c r="A36" s="13"/>
      <c r="B36" s="467"/>
      <c r="C36" s="467"/>
      <c r="D36" s="467"/>
      <c r="E36" s="467"/>
      <c r="F36" s="467"/>
      <c r="G36" s="467"/>
      <c r="H36" s="467"/>
      <c r="I36" s="467"/>
      <c r="J36" s="467"/>
      <c r="K36" s="467"/>
    </row>
    <row r="37" spans="1:11" ht="13.8">
      <c r="A37" s="13"/>
      <c r="B37" s="42"/>
      <c r="C37" s="55"/>
      <c r="D37" s="55"/>
      <c r="E37" s="55"/>
      <c r="F37" s="52"/>
      <c r="G37" s="52"/>
      <c r="H37" s="52"/>
      <c r="I37" s="52"/>
      <c r="J37" s="52"/>
      <c r="K37" s="52"/>
    </row>
    <row r="38" spans="1:11" ht="13.8">
      <c r="A38" s="13"/>
      <c r="B38" s="10"/>
      <c r="C38" s="64"/>
      <c r="D38" s="1"/>
      <c r="E38" s="64" t="s">
        <v>864</v>
      </c>
      <c r="F38" s="1"/>
      <c r="G38" s="1"/>
      <c r="H38" s="1"/>
      <c r="I38" s="1"/>
      <c r="J38" s="1"/>
      <c r="K38" s="1"/>
    </row>
    <row r="39" spans="1:11" ht="13.8">
      <c r="A39" s="13"/>
      <c r="B39" s="12"/>
      <c r="C39" s="63" t="s">
        <v>234</v>
      </c>
      <c r="D39" s="64" t="s">
        <v>790</v>
      </c>
      <c r="E39" s="64" t="s">
        <v>637</v>
      </c>
      <c r="F39" s="64" t="s">
        <v>864</v>
      </c>
      <c r="G39" s="64" t="s">
        <v>895</v>
      </c>
      <c r="H39" s="64" t="s">
        <v>896</v>
      </c>
      <c r="I39" s="64" t="s">
        <v>897</v>
      </c>
      <c r="J39" s="64" t="s">
        <v>898</v>
      </c>
      <c r="K39" s="64" t="s">
        <v>899</v>
      </c>
    </row>
    <row r="40" spans="1:11" ht="14.4" thickBot="1">
      <c r="A40" s="13"/>
      <c r="B40" s="39"/>
      <c r="C40" s="66" t="s">
        <v>1</v>
      </c>
      <c r="D40" s="66" t="s">
        <v>1</v>
      </c>
      <c r="E40" s="66" t="s">
        <v>605</v>
      </c>
      <c r="F40" s="66" t="s">
        <v>19</v>
      </c>
      <c r="G40" s="66" t="str">
        <f>'Fund Cover Sheets'!$M$1</f>
        <v>Adopted</v>
      </c>
      <c r="H40" s="66" t="s">
        <v>19</v>
      </c>
      <c r="I40" s="66" t="s">
        <v>19</v>
      </c>
      <c r="J40" s="66" t="s">
        <v>19</v>
      </c>
      <c r="K40" s="66" t="s">
        <v>19</v>
      </c>
    </row>
    <row r="41" spans="1:11" ht="13.8">
      <c r="A41" s="13"/>
      <c r="B41" s="10"/>
      <c r="C41" s="43"/>
      <c r="D41" s="43"/>
      <c r="E41" s="43"/>
      <c r="F41" s="52"/>
      <c r="G41" s="52"/>
      <c r="H41" s="52"/>
      <c r="I41" s="52"/>
      <c r="J41" s="52"/>
      <c r="K41" s="52"/>
    </row>
    <row r="42" spans="1:11" ht="13.8">
      <c r="A42" s="13"/>
      <c r="B42" s="40" t="s">
        <v>457</v>
      </c>
      <c r="C42" s="43"/>
      <c r="D42" s="43"/>
      <c r="E42" s="43"/>
      <c r="F42" s="52"/>
      <c r="G42" s="52"/>
      <c r="H42" s="52"/>
      <c r="I42" s="52"/>
      <c r="J42" s="52"/>
      <c r="K42" s="52"/>
    </row>
    <row r="43" spans="1:11" ht="20.100000000000001" customHeight="1">
      <c r="A43" s="13"/>
      <c r="B43" s="14" t="s">
        <v>649</v>
      </c>
      <c r="C43" s="2">
        <f>'Budget Detail FY 2017-24'!L90</f>
        <v>234874</v>
      </c>
      <c r="D43" s="2">
        <f>'Budget Detail FY 2017-24'!M90</f>
        <v>251587</v>
      </c>
      <c r="E43" s="2">
        <f>'Budget Detail FY 2017-24'!N90</f>
        <v>272370</v>
      </c>
      <c r="F43" s="2">
        <f>'Budget Detail FY 2017-24'!O90</f>
        <v>272370</v>
      </c>
      <c r="G43" s="2">
        <f>'Budget Detail FY 2017-24'!P90</f>
        <v>301372</v>
      </c>
      <c r="H43" s="2">
        <f>'Budget Detail FY 2017-24'!Q90</f>
        <v>310413</v>
      </c>
      <c r="I43" s="2">
        <f>'Budget Detail FY 2017-24'!R90</f>
        <v>319725</v>
      </c>
      <c r="J43" s="2">
        <f>'Budget Detail FY 2017-24'!S90</f>
        <v>329317</v>
      </c>
      <c r="K43" s="2">
        <f>'Budget Detail FY 2017-24'!T90</f>
        <v>339197</v>
      </c>
    </row>
    <row r="44" spans="1:11" ht="20.100000000000001" customHeight="1">
      <c r="A44" s="13"/>
      <c r="B44" s="14" t="s">
        <v>650</v>
      </c>
      <c r="C44" s="2">
        <f>SUM('Budget Detail FY 2017-24'!L91:L96)</f>
        <v>78103</v>
      </c>
      <c r="D44" s="2">
        <f>SUM('Budget Detail FY 2017-24'!M91:M96)</f>
        <v>106348</v>
      </c>
      <c r="E44" s="2">
        <f>SUM('Budget Detail FY 2017-24'!N91:N96)</f>
        <v>119623</v>
      </c>
      <c r="F44" s="2">
        <f>SUM('Budget Detail FY 2017-24'!O91:O96)</f>
        <v>109909</v>
      </c>
      <c r="G44" s="2">
        <f>SUM('Budget Detail FY 2017-24'!P91:P96)</f>
        <v>119719</v>
      </c>
      <c r="H44" s="2">
        <f>SUM('Budget Detail FY 2017-24'!Q91:Q96)</f>
        <v>127399</v>
      </c>
      <c r="I44" s="2">
        <f>SUM('Budget Detail FY 2017-24'!R91:R96)</f>
        <v>135695</v>
      </c>
      <c r="J44" s="2">
        <f>SUM('Budget Detail FY 2017-24'!S91:S96)</f>
        <v>144585</v>
      </c>
      <c r="K44" s="2">
        <f>SUM('Budget Detail FY 2017-24'!T91:T96)</f>
        <v>154109</v>
      </c>
    </row>
    <row r="45" spans="1:11" ht="20.100000000000001" customHeight="1">
      <c r="A45" s="13"/>
      <c r="B45" s="14" t="s">
        <v>651</v>
      </c>
      <c r="C45" s="2">
        <f>SUM('Budget Detail FY 2017-24'!L97:L106)</f>
        <v>83934</v>
      </c>
      <c r="D45" s="2">
        <f>SUM('Budget Detail FY 2017-24'!M97:M106)</f>
        <v>84202</v>
      </c>
      <c r="E45" s="2">
        <f>SUM('Budget Detail FY 2017-24'!N97:N106)</f>
        <v>95936</v>
      </c>
      <c r="F45" s="2">
        <f>SUM('Budget Detail FY 2017-24'!O97:O106)</f>
        <v>96036</v>
      </c>
      <c r="G45" s="2">
        <f>SUM('Budget Detail FY 2017-24'!P97:P106)</f>
        <v>108250</v>
      </c>
      <c r="H45" s="2">
        <f>SUM('Budget Detail FY 2017-24'!Q97:Q106)</f>
        <v>104150</v>
      </c>
      <c r="I45" s="2">
        <f>SUM('Budget Detail FY 2017-24'!R97:R106)</f>
        <v>106509</v>
      </c>
      <c r="J45" s="2">
        <f>SUM('Budget Detail FY 2017-24'!S97:S106)</f>
        <v>111066</v>
      </c>
      <c r="K45" s="2">
        <f>SUM('Budget Detail FY 2017-24'!T97:T106)</f>
        <v>112770</v>
      </c>
    </row>
    <row r="46" spans="1:11" ht="20.100000000000001" customHeight="1">
      <c r="B46" s="14" t="s">
        <v>652</v>
      </c>
      <c r="C46" s="2">
        <f>SUM('Budget Detail FY 2017-24'!L107:L107)</f>
        <v>2528</v>
      </c>
      <c r="D46" s="2">
        <f>SUM('Budget Detail FY 2017-24'!M107:M107)</f>
        <v>1898</v>
      </c>
      <c r="E46" s="2">
        <f>SUM('Budget Detail FY 2017-24'!N107:N107)</f>
        <v>2700</v>
      </c>
      <c r="F46" s="2">
        <f>SUM('Budget Detail FY 2017-24'!O107:O107)</f>
        <v>2000</v>
      </c>
      <c r="G46" s="2">
        <f>SUM('Budget Detail FY 2017-24'!P107:P107)</f>
        <v>2500</v>
      </c>
      <c r="H46" s="2">
        <f>SUM('Budget Detail FY 2017-24'!Q107:Q107)</f>
        <v>2500</v>
      </c>
      <c r="I46" s="2">
        <f>SUM('Budget Detail FY 2017-24'!R107:R107)</f>
        <v>2500</v>
      </c>
      <c r="J46" s="2">
        <f>SUM('Budget Detail FY 2017-24'!S107:S107)</f>
        <v>2500</v>
      </c>
      <c r="K46" s="2">
        <f>SUM('Budget Detail FY 2017-24'!T107:T107)</f>
        <v>2500</v>
      </c>
    </row>
    <row r="47" spans="1:11" s="112" customFormat="1" ht="20.100000000000001" customHeight="1" thickBot="1">
      <c r="B47" s="113" t="s">
        <v>792</v>
      </c>
      <c r="C47" s="79">
        <f t="shared" ref="C47:J47" si="1">SUM(C43:C46)</f>
        <v>399439</v>
      </c>
      <c r="D47" s="79">
        <f>SUM(D43:D46)</f>
        <v>444035</v>
      </c>
      <c r="E47" s="79">
        <f t="shared" si="1"/>
        <v>490629</v>
      </c>
      <c r="F47" s="79">
        <f t="shared" si="1"/>
        <v>480315</v>
      </c>
      <c r="G47" s="79">
        <f t="shared" si="1"/>
        <v>531841</v>
      </c>
      <c r="H47" s="79">
        <f t="shared" si="1"/>
        <v>544462</v>
      </c>
      <c r="I47" s="79">
        <f t="shared" si="1"/>
        <v>564429</v>
      </c>
      <c r="J47" s="79">
        <f t="shared" si="1"/>
        <v>587468</v>
      </c>
      <c r="K47" s="79">
        <f>SUM(K43:K46)</f>
        <v>608576</v>
      </c>
    </row>
    <row r="48" spans="1:11" s="112" customFormat="1" ht="14.4" thickTop="1">
      <c r="B48" s="16"/>
      <c r="C48" s="120"/>
      <c r="D48" s="120"/>
      <c r="E48" s="120"/>
      <c r="F48" s="120"/>
      <c r="G48" s="120"/>
      <c r="H48" s="120"/>
      <c r="I48" s="120"/>
      <c r="J48" s="120"/>
      <c r="K48" s="120"/>
    </row>
    <row r="49" spans="2:11" ht="13.8">
      <c r="B49" s="10"/>
      <c r="C49" s="43"/>
      <c r="D49" s="43"/>
      <c r="E49" s="43"/>
      <c r="F49" s="52"/>
      <c r="G49" s="52"/>
      <c r="H49" s="52"/>
      <c r="I49" s="52"/>
      <c r="J49" s="52"/>
      <c r="K49" s="52"/>
    </row>
    <row r="50" spans="2:11" ht="13.8">
      <c r="B50" s="10"/>
      <c r="C50" s="43"/>
      <c r="D50" s="43"/>
      <c r="E50" s="43"/>
      <c r="F50" s="52"/>
      <c r="G50" s="52"/>
      <c r="H50" s="52"/>
      <c r="I50" s="52"/>
      <c r="J50" s="52"/>
      <c r="K50" s="52"/>
    </row>
    <row r="51" spans="2:11" ht="12.75" customHeight="1">
      <c r="B51" s="10"/>
      <c r="C51" s="43"/>
      <c r="D51" s="43"/>
      <c r="E51" s="43"/>
      <c r="F51" s="52"/>
      <c r="G51" s="52"/>
      <c r="H51" s="52"/>
      <c r="I51" s="52"/>
      <c r="J51" s="52"/>
      <c r="K51" s="52"/>
    </row>
    <row r="52" spans="2:11" ht="17.25" customHeight="1">
      <c r="B52" s="10"/>
      <c r="C52" s="43"/>
      <c r="D52" s="43"/>
      <c r="E52" s="43"/>
      <c r="F52" s="52"/>
      <c r="G52" s="52"/>
      <c r="H52" s="52"/>
      <c r="I52" s="52"/>
      <c r="J52" s="52"/>
      <c r="K52" s="52"/>
    </row>
    <row r="53" spans="2:11" ht="13.8">
      <c r="B53" s="10"/>
      <c r="C53" s="43"/>
      <c r="D53" s="43"/>
      <c r="E53" s="43"/>
      <c r="F53" s="52"/>
      <c r="G53" s="52"/>
      <c r="H53" s="52"/>
      <c r="I53" s="52"/>
      <c r="J53" s="52"/>
      <c r="K53" s="52"/>
    </row>
    <row r="54" spans="2:11" ht="13.8">
      <c r="B54" s="10"/>
      <c r="C54" s="43"/>
      <c r="D54" s="43"/>
      <c r="E54" s="43"/>
      <c r="F54" s="52"/>
      <c r="G54" s="52"/>
      <c r="H54" s="52"/>
      <c r="I54" s="52"/>
      <c r="J54" s="52"/>
      <c r="K54" s="52"/>
    </row>
    <row r="55" spans="2:11" ht="13.8">
      <c r="B55" s="10"/>
      <c r="C55" s="43"/>
      <c r="D55" s="43"/>
      <c r="E55" s="43"/>
      <c r="F55" s="52"/>
      <c r="G55" s="52"/>
      <c r="H55" s="52"/>
      <c r="I55" s="52"/>
      <c r="J55" s="52"/>
      <c r="K55" s="52"/>
    </row>
    <row r="56" spans="2:11" ht="13.8">
      <c r="B56" s="10"/>
      <c r="C56" s="43"/>
      <c r="D56" s="43"/>
      <c r="E56" s="43"/>
      <c r="F56" s="52"/>
      <c r="G56" s="52"/>
      <c r="H56" s="52"/>
      <c r="I56" s="52"/>
      <c r="J56" s="52"/>
      <c r="K56" s="52"/>
    </row>
    <row r="57" spans="2:11" ht="13.8">
      <c r="B57" s="10"/>
      <c r="C57" s="43"/>
      <c r="D57" s="43"/>
      <c r="E57" s="43"/>
      <c r="F57" s="52"/>
      <c r="G57" s="52"/>
      <c r="H57" s="52"/>
      <c r="I57" s="52"/>
      <c r="J57" s="52"/>
      <c r="K57" s="52"/>
    </row>
    <row r="58" spans="2:11" ht="13.8">
      <c r="B58" s="10"/>
      <c r="C58" s="43"/>
      <c r="D58" s="43"/>
      <c r="E58" s="43"/>
      <c r="F58" s="52"/>
      <c r="G58" s="52"/>
      <c r="H58" s="52"/>
      <c r="I58" s="52"/>
      <c r="J58" s="52"/>
      <c r="K58" s="52"/>
    </row>
    <row r="59" spans="2:11" ht="13.8">
      <c r="B59" s="10"/>
      <c r="C59" s="43"/>
      <c r="D59" s="43"/>
      <c r="E59" s="43"/>
      <c r="F59" s="52"/>
      <c r="G59" s="52"/>
      <c r="H59" s="52"/>
      <c r="I59" s="52"/>
      <c r="J59" s="52"/>
      <c r="K59" s="52"/>
    </row>
    <row r="60" spans="2:11" ht="13.8">
      <c r="B60" s="10"/>
      <c r="C60" s="43"/>
      <c r="D60" s="43"/>
      <c r="E60" s="43"/>
      <c r="F60" s="52"/>
      <c r="G60" s="52"/>
      <c r="H60" s="52"/>
      <c r="I60" s="52"/>
      <c r="J60" s="52"/>
      <c r="K60" s="52"/>
    </row>
    <row r="61" spans="2:11" ht="17.399999999999999">
      <c r="B61" s="471" t="s">
        <v>687</v>
      </c>
      <c r="C61" s="471"/>
      <c r="D61" s="471"/>
      <c r="E61" s="471"/>
      <c r="F61" s="471"/>
      <c r="G61" s="471"/>
      <c r="H61" s="471"/>
      <c r="I61" s="471"/>
      <c r="J61" s="471"/>
      <c r="K61" s="471"/>
    </row>
    <row r="62" spans="2:11" ht="13.8">
      <c r="B62" s="37"/>
      <c r="C62" s="52"/>
      <c r="D62" s="52"/>
      <c r="E62" s="52"/>
      <c r="F62" s="52"/>
      <c r="G62" s="52"/>
      <c r="H62" s="52"/>
      <c r="I62" s="52"/>
      <c r="J62" s="52"/>
      <c r="K62" s="52"/>
    </row>
    <row r="63" spans="2:11" ht="12.75" customHeight="1">
      <c r="B63" s="472" t="s">
        <v>984</v>
      </c>
      <c r="C63" s="472"/>
      <c r="D63" s="472"/>
      <c r="E63" s="472"/>
      <c r="F63" s="472"/>
      <c r="G63" s="472"/>
      <c r="H63" s="472"/>
      <c r="I63" s="472"/>
      <c r="J63" s="472"/>
      <c r="K63" s="472"/>
    </row>
    <row r="64" spans="2:11" ht="18.75" customHeight="1">
      <c r="B64" s="472"/>
      <c r="C64" s="472"/>
      <c r="D64" s="472"/>
      <c r="E64" s="472"/>
      <c r="F64" s="472"/>
      <c r="G64" s="472"/>
      <c r="H64" s="472"/>
      <c r="I64" s="472"/>
      <c r="J64" s="472"/>
      <c r="K64" s="472"/>
    </row>
    <row r="65" spans="2:11" ht="13.8">
      <c r="B65" s="44"/>
      <c r="C65" s="56"/>
      <c r="D65" s="56"/>
      <c r="E65" s="56"/>
      <c r="F65" s="52"/>
      <c r="G65" s="52"/>
      <c r="H65" s="52"/>
      <c r="I65" s="52"/>
      <c r="J65" s="52"/>
      <c r="K65" s="52"/>
    </row>
    <row r="66" spans="2:11" ht="13.8">
      <c r="B66" s="10"/>
      <c r="C66" s="64"/>
      <c r="D66" s="1"/>
      <c r="E66" s="64" t="s">
        <v>864</v>
      </c>
      <c r="F66" s="1"/>
      <c r="G66" s="1"/>
      <c r="H66" s="1"/>
      <c r="I66" s="1"/>
      <c r="J66" s="1"/>
      <c r="K66" s="1"/>
    </row>
    <row r="67" spans="2:11" ht="13.8">
      <c r="B67" s="12"/>
      <c r="C67" s="63" t="s">
        <v>234</v>
      </c>
      <c r="D67" s="64" t="s">
        <v>790</v>
      </c>
      <c r="E67" s="64" t="s">
        <v>637</v>
      </c>
      <c r="F67" s="64" t="s">
        <v>864</v>
      </c>
      <c r="G67" s="64" t="s">
        <v>895</v>
      </c>
      <c r="H67" s="64" t="s">
        <v>896</v>
      </c>
      <c r="I67" s="64" t="s">
        <v>897</v>
      </c>
      <c r="J67" s="64" t="s">
        <v>898</v>
      </c>
      <c r="K67" s="64" t="s">
        <v>899</v>
      </c>
    </row>
    <row r="68" spans="2:11" ht="14.4" thickBot="1">
      <c r="B68" s="39"/>
      <c r="C68" s="66" t="s">
        <v>1</v>
      </c>
      <c r="D68" s="66" t="s">
        <v>1</v>
      </c>
      <c r="E68" s="66" t="s">
        <v>605</v>
      </c>
      <c r="F68" s="66" t="s">
        <v>19</v>
      </c>
      <c r="G68" s="66" t="str">
        <f>'Fund Cover Sheets'!$M$1</f>
        <v>Adopted</v>
      </c>
      <c r="H68" s="66" t="s">
        <v>19</v>
      </c>
      <c r="I68" s="66" t="s">
        <v>19</v>
      </c>
      <c r="J68" s="66" t="s">
        <v>19</v>
      </c>
      <c r="K68" s="66" t="s">
        <v>19</v>
      </c>
    </row>
    <row r="69" spans="2:11" ht="13.8">
      <c r="B69" s="10"/>
      <c r="C69" s="43"/>
      <c r="D69" s="43"/>
      <c r="E69" s="43"/>
      <c r="F69" s="52"/>
      <c r="G69" s="52"/>
      <c r="H69" s="52"/>
      <c r="I69" s="52"/>
      <c r="J69" s="52"/>
      <c r="K69" s="52"/>
    </row>
    <row r="70" spans="2:11" ht="13.8">
      <c r="B70" s="40" t="s">
        <v>457</v>
      </c>
      <c r="C70" s="43"/>
      <c r="D70" s="43"/>
      <c r="E70" s="43"/>
      <c r="F70" s="52"/>
      <c r="G70" s="52"/>
      <c r="H70" s="52"/>
      <c r="I70" s="52"/>
      <c r="J70" s="52"/>
      <c r="K70" s="52"/>
    </row>
    <row r="71" spans="2:11" ht="20.100000000000001" customHeight="1">
      <c r="B71" s="14" t="s">
        <v>649</v>
      </c>
      <c r="C71" s="2">
        <f>SUM('Budget Detail FY 2017-24'!L111:L117)</f>
        <v>2780763</v>
      </c>
      <c r="D71" s="2">
        <f>SUM('Budget Detail FY 2017-24'!M111:M117)</f>
        <v>2911083</v>
      </c>
      <c r="E71" s="2">
        <f>SUM('Budget Detail FY 2017-24'!N111:N117)</f>
        <v>3151723</v>
      </c>
      <c r="F71" s="2">
        <f>SUM('Budget Detail FY 2017-24'!O111:O117)</f>
        <v>3050500</v>
      </c>
      <c r="G71" s="2">
        <f>SUM('Budget Detail FY 2017-24'!P111:P117)</f>
        <v>3349248</v>
      </c>
      <c r="H71" s="2">
        <f>SUM('Budget Detail FY 2017-24'!Q111:Q117)</f>
        <v>3572027</v>
      </c>
      <c r="I71" s="2">
        <f>SUM('Budget Detail FY 2017-24'!R111:R117)</f>
        <v>3736742</v>
      </c>
      <c r="J71" s="2">
        <f>SUM('Budget Detail FY 2017-24'!S111:S117)</f>
        <v>3908313</v>
      </c>
      <c r="K71" s="2">
        <f>SUM('Budget Detail FY 2017-24'!T111:T117)</f>
        <v>4087004</v>
      </c>
    </row>
    <row r="72" spans="2:11" ht="20.100000000000001" customHeight="1">
      <c r="B72" s="14" t="s">
        <v>650</v>
      </c>
      <c r="C72" s="2">
        <f>SUM('Budget Detail FY 2017-24'!L118:L124)</f>
        <v>1728589</v>
      </c>
      <c r="D72" s="2">
        <f>SUM('Budget Detail FY 2017-24'!M118:M124)</f>
        <v>1915338</v>
      </c>
      <c r="E72" s="2">
        <f>SUM('Budget Detail FY 2017-24'!N118:N124)</f>
        <v>1960422</v>
      </c>
      <c r="F72" s="2">
        <f>SUM('Budget Detail FY 2017-24'!O118:O124)</f>
        <v>1885459</v>
      </c>
      <c r="G72" s="2">
        <f>SUM('Budget Detail FY 2017-24'!P118:P124)</f>
        <v>2175164</v>
      </c>
      <c r="H72" s="2">
        <f>SUM('Budget Detail FY 2017-24'!Q118:Q124)</f>
        <v>2365372</v>
      </c>
      <c r="I72" s="2">
        <f>SUM('Budget Detail FY 2017-24'!R118:R124)</f>
        <v>2534141</v>
      </c>
      <c r="J72" s="2">
        <f>SUM('Budget Detail FY 2017-24'!S118:S124)</f>
        <v>2714316</v>
      </c>
      <c r="K72" s="2">
        <f>SUM('Budget Detail FY 2017-24'!T118:T124)</f>
        <v>2906978</v>
      </c>
    </row>
    <row r="73" spans="2:11" ht="20.100000000000001" customHeight="1">
      <c r="B73" s="14" t="s">
        <v>651</v>
      </c>
      <c r="C73" s="2">
        <f>SUM('Budget Detail FY 2017-24'!L125:L142)</f>
        <v>297858</v>
      </c>
      <c r="D73" s="2">
        <f>SUM('Budget Detail FY 2017-24'!M125:M142)</f>
        <v>341253</v>
      </c>
      <c r="E73" s="2">
        <f>SUM('Budget Detail FY 2017-24'!N125:N142)</f>
        <v>405411</v>
      </c>
      <c r="F73" s="2">
        <f>SUM('Budget Detail FY 2017-24'!O125:O142)</f>
        <v>340581</v>
      </c>
      <c r="G73" s="2">
        <f>SUM('Budget Detail FY 2017-24'!P125:P142)</f>
        <v>270613</v>
      </c>
      <c r="H73" s="2">
        <f>SUM('Budget Detail FY 2017-24'!Q125:Q142)</f>
        <v>281339</v>
      </c>
      <c r="I73" s="2">
        <f>SUM('Budget Detail FY 2017-24'!R125:R142)</f>
        <v>260664</v>
      </c>
      <c r="J73" s="2">
        <f>SUM('Budget Detail FY 2017-24'!S125:S142)</f>
        <v>263766</v>
      </c>
      <c r="K73" s="2">
        <f>SUM('Budget Detail FY 2017-24'!T125:T142)</f>
        <v>277326</v>
      </c>
    </row>
    <row r="74" spans="2:11" ht="20.100000000000001" customHeight="1">
      <c r="B74" s="14" t="s">
        <v>652</v>
      </c>
      <c r="C74" s="2">
        <f>SUM('Budget Detail FY 2017-24'!L143:L150)</f>
        <v>96715</v>
      </c>
      <c r="D74" s="2">
        <f>SUM('Budget Detail FY 2017-24'!M143:M150)</f>
        <v>115879</v>
      </c>
      <c r="E74" s="2">
        <f>SUM('Budget Detail FY 2017-24'!N143:N150)</f>
        <v>127560</v>
      </c>
      <c r="F74" s="2">
        <f>SUM('Budget Detail FY 2017-24'!O143:O150)</f>
        <v>125500</v>
      </c>
      <c r="G74" s="2">
        <f>SUM('Budget Detail FY 2017-24'!P143:P150)</f>
        <v>128500</v>
      </c>
      <c r="H74" s="2">
        <f>SUM('Budget Detail FY 2017-24'!Q143:Q150)</f>
        <v>131650</v>
      </c>
      <c r="I74" s="2">
        <f>SUM('Budget Detail FY 2017-24'!R143:R150)</f>
        <v>134958</v>
      </c>
      <c r="J74" s="2">
        <f>SUM('Budget Detail FY 2017-24'!S143:S150)</f>
        <v>138431</v>
      </c>
      <c r="K74" s="2">
        <f>SUM('Budget Detail FY 2017-24'!T143:T150)</f>
        <v>142078</v>
      </c>
    </row>
    <row r="75" spans="2:11" s="112" customFormat="1" ht="20.100000000000001" customHeight="1" thickBot="1">
      <c r="B75" s="113" t="s">
        <v>793</v>
      </c>
      <c r="C75" s="79">
        <f t="shared" ref="C75:J75" si="2">SUM(C71:C74)</f>
        <v>4903925</v>
      </c>
      <c r="D75" s="79">
        <f t="shared" si="2"/>
        <v>5283553</v>
      </c>
      <c r="E75" s="79">
        <f>SUM(E71:E74)</f>
        <v>5645116</v>
      </c>
      <c r="F75" s="79">
        <f t="shared" si="2"/>
        <v>5402040</v>
      </c>
      <c r="G75" s="79">
        <f t="shared" si="2"/>
        <v>5923525</v>
      </c>
      <c r="H75" s="79">
        <f t="shared" si="2"/>
        <v>6350388</v>
      </c>
      <c r="I75" s="79">
        <f t="shared" si="2"/>
        <v>6666505</v>
      </c>
      <c r="J75" s="79">
        <f t="shared" si="2"/>
        <v>7024826</v>
      </c>
      <c r="K75" s="79">
        <f>SUM(K71:K74)</f>
        <v>7413386</v>
      </c>
    </row>
    <row r="76" spans="2:11" s="112" customFormat="1" ht="14.4" thickTop="1">
      <c r="B76" s="16"/>
      <c r="C76" s="120"/>
      <c r="D76" s="120"/>
      <c r="E76" s="120"/>
      <c r="F76" s="120"/>
      <c r="G76" s="120"/>
      <c r="H76" s="120"/>
      <c r="I76" s="120"/>
      <c r="J76" s="120"/>
      <c r="K76" s="120"/>
    </row>
    <row r="77" spans="2:11" ht="13.8">
      <c r="B77" s="10"/>
      <c r="C77" s="43"/>
      <c r="D77" s="43"/>
      <c r="E77" s="43"/>
      <c r="F77" s="52"/>
      <c r="G77" s="52"/>
      <c r="H77" s="52"/>
      <c r="I77" s="52"/>
      <c r="J77" s="52"/>
      <c r="K77" s="52"/>
    </row>
    <row r="78" spans="2:11" ht="13.8">
      <c r="B78" s="10"/>
      <c r="C78" s="43"/>
      <c r="D78" s="43"/>
      <c r="E78" s="43"/>
      <c r="F78" s="52"/>
      <c r="G78" s="52"/>
      <c r="H78" s="52"/>
      <c r="I78" s="52"/>
      <c r="J78" s="52"/>
      <c r="K78" s="52"/>
    </row>
    <row r="79" spans="2:11" ht="13.8">
      <c r="B79" s="10"/>
      <c r="C79" s="43"/>
      <c r="D79" s="43"/>
      <c r="E79" s="43"/>
      <c r="F79" s="52"/>
      <c r="G79" s="52"/>
      <c r="H79" s="52"/>
      <c r="I79" s="52"/>
      <c r="J79" s="52"/>
      <c r="K79" s="52"/>
    </row>
    <row r="80" spans="2:11" ht="13.8">
      <c r="B80" s="10"/>
      <c r="C80" s="43"/>
      <c r="D80" s="43"/>
      <c r="E80" s="43"/>
      <c r="F80" s="52"/>
      <c r="G80" s="52"/>
      <c r="H80" s="52"/>
      <c r="I80" s="52"/>
      <c r="J80" s="52"/>
      <c r="K80" s="52"/>
    </row>
    <row r="81" spans="2:11" ht="13.8">
      <c r="B81" s="10"/>
      <c r="C81" s="43"/>
      <c r="D81" s="43"/>
      <c r="E81" s="43"/>
      <c r="F81" s="52"/>
      <c r="G81" s="52"/>
      <c r="H81" s="52"/>
      <c r="I81" s="52"/>
      <c r="J81" s="52"/>
      <c r="K81" s="52"/>
    </row>
    <row r="82" spans="2:11" ht="13.8">
      <c r="B82" s="10"/>
      <c r="C82" s="43"/>
      <c r="D82" s="43"/>
      <c r="E82" s="43"/>
      <c r="F82" s="52"/>
      <c r="G82" s="52"/>
      <c r="H82" s="52"/>
      <c r="I82" s="52"/>
      <c r="J82" s="52"/>
      <c r="K82" s="52"/>
    </row>
    <row r="83" spans="2:11" ht="13.8">
      <c r="B83" s="10"/>
      <c r="C83" s="43"/>
      <c r="D83" s="43"/>
      <c r="E83" s="43"/>
      <c r="F83" s="52"/>
      <c r="G83" s="52"/>
      <c r="H83" s="52"/>
      <c r="I83" s="52"/>
      <c r="J83" s="52"/>
      <c r="K83" s="52"/>
    </row>
    <row r="84" spans="2:11" ht="13.8">
      <c r="B84" s="10"/>
      <c r="C84" s="43"/>
      <c r="D84" s="43"/>
      <c r="E84" s="43"/>
      <c r="F84" s="52"/>
      <c r="G84" s="52"/>
      <c r="H84" s="52"/>
      <c r="I84" s="52"/>
      <c r="J84" s="52"/>
      <c r="K84" s="52"/>
    </row>
    <row r="85" spans="2:11" ht="13.8">
      <c r="B85" s="10"/>
      <c r="C85" s="43"/>
      <c r="D85" s="43"/>
      <c r="E85" s="43"/>
      <c r="F85" s="52"/>
      <c r="G85" s="52"/>
      <c r="H85" s="52"/>
      <c r="I85" s="52"/>
      <c r="J85" s="52"/>
      <c r="K85" s="52"/>
    </row>
    <row r="86" spans="2:11" ht="13.8">
      <c r="B86" s="10"/>
      <c r="C86" s="43"/>
      <c r="D86" s="43"/>
      <c r="E86" s="43"/>
      <c r="F86" s="52"/>
      <c r="G86" s="52"/>
      <c r="H86" s="52"/>
      <c r="I86" s="52"/>
      <c r="J86" s="52"/>
      <c r="K86" s="52"/>
    </row>
    <row r="87" spans="2:11" ht="13.8">
      <c r="B87" s="10"/>
      <c r="C87" s="43"/>
      <c r="D87" s="43"/>
      <c r="E87" s="43"/>
      <c r="F87" s="52"/>
      <c r="G87" s="52"/>
      <c r="H87" s="52"/>
      <c r="I87" s="52"/>
      <c r="J87" s="52"/>
      <c r="K87" s="52"/>
    </row>
    <row r="88" spans="2:11" ht="13.8">
      <c r="B88" s="10"/>
      <c r="C88" s="43"/>
      <c r="D88" s="43"/>
      <c r="E88" s="43"/>
      <c r="F88" s="52"/>
      <c r="G88" s="52"/>
      <c r="H88" s="52"/>
      <c r="I88" s="52"/>
      <c r="J88" s="52"/>
      <c r="K88" s="52"/>
    </row>
    <row r="89" spans="2:11" ht="13.8">
      <c r="B89" s="10"/>
      <c r="C89" s="43"/>
      <c r="D89" s="43"/>
      <c r="E89" s="43"/>
      <c r="F89" s="52"/>
      <c r="G89" s="52"/>
      <c r="H89" s="52"/>
      <c r="I89" s="52"/>
      <c r="J89" s="52"/>
      <c r="K89" s="52"/>
    </row>
    <row r="90" spans="2:11" ht="13.8">
      <c r="B90" s="10"/>
      <c r="C90" s="43"/>
      <c r="D90" s="43"/>
      <c r="E90" s="43"/>
      <c r="F90" s="52"/>
      <c r="G90" s="52"/>
      <c r="H90" s="52"/>
      <c r="I90" s="52"/>
      <c r="J90" s="52"/>
      <c r="K90" s="52"/>
    </row>
    <row r="91" spans="2:11" ht="13.8">
      <c r="B91" s="10"/>
      <c r="C91" s="43"/>
      <c r="D91" s="43"/>
      <c r="E91" s="43"/>
      <c r="F91" s="52"/>
      <c r="G91" s="52"/>
      <c r="H91" s="52"/>
      <c r="I91" s="52"/>
      <c r="J91" s="52"/>
      <c r="K91" s="52"/>
    </row>
    <row r="92" spans="2:11" ht="18.75" customHeight="1">
      <c r="B92" s="466" t="s">
        <v>688</v>
      </c>
      <c r="C92" s="466"/>
      <c r="D92" s="466"/>
      <c r="E92" s="466"/>
      <c r="F92" s="466"/>
      <c r="G92" s="466"/>
      <c r="H92" s="466"/>
      <c r="I92" s="466"/>
      <c r="J92" s="466"/>
      <c r="K92" s="466"/>
    </row>
    <row r="93" spans="2:11" ht="13.8">
      <c r="B93" s="37"/>
      <c r="C93" s="52"/>
      <c r="D93" s="52"/>
      <c r="E93" s="52"/>
      <c r="F93" s="52"/>
      <c r="G93" s="52"/>
      <c r="H93" s="52"/>
      <c r="I93" s="52"/>
      <c r="J93" s="52"/>
      <c r="K93" s="52"/>
    </row>
    <row r="94" spans="2:11" ht="12.75" customHeight="1">
      <c r="B94" s="470" t="s">
        <v>689</v>
      </c>
      <c r="C94" s="470"/>
      <c r="D94" s="470"/>
      <c r="E94" s="470"/>
      <c r="F94" s="470"/>
      <c r="G94" s="470"/>
      <c r="H94" s="470"/>
      <c r="I94" s="470"/>
      <c r="J94" s="470"/>
      <c r="K94" s="470"/>
    </row>
    <row r="95" spans="2:11" ht="12.75" customHeight="1">
      <c r="B95" s="470"/>
      <c r="C95" s="470"/>
      <c r="D95" s="470"/>
      <c r="E95" s="470"/>
      <c r="F95" s="470"/>
      <c r="G95" s="470"/>
      <c r="H95" s="470"/>
      <c r="I95" s="470"/>
      <c r="J95" s="470"/>
      <c r="K95" s="470"/>
    </row>
    <row r="96" spans="2:11" ht="12.75" customHeight="1">
      <c r="B96" s="470"/>
      <c r="C96" s="470"/>
      <c r="D96" s="470"/>
      <c r="E96" s="470"/>
      <c r="F96" s="470"/>
      <c r="G96" s="470"/>
      <c r="H96" s="470"/>
      <c r="I96" s="470"/>
      <c r="J96" s="470"/>
      <c r="K96" s="470"/>
    </row>
    <row r="97" spans="2:11" ht="12.75" customHeight="1">
      <c r="B97" s="470"/>
      <c r="C97" s="470"/>
      <c r="D97" s="470"/>
      <c r="E97" s="470"/>
      <c r="F97" s="470"/>
      <c r="G97" s="470"/>
      <c r="H97" s="470"/>
      <c r="I97" s="470"/>
      <c r="J97" s="470"/>
      <c r="K97" s="470"/>
    </row>
    <row r="98" spans="2:11" ht="13.8">
      <c r="B98" s="42"/>
      <c r="C98" s="55"/>
      <c r="D98" s="55"/>
      <c r="E98" s="55"/>
      <c r="F98" s="52"/>
      <c r="G98" s="52"/>
      <c r="H98" s="52"/>
      <c r="I98" s="52"/>
      <c r="J98" s="52"/>
      <c r="K98" s="52"/>
    </row>
    <row r="99" spans="2:11" ht="13.8">
      <c r="B99" s="10"/>
      <c r="C99" s="64"/>
      <c r="D99" s="1"/>
      <c r="E99" s="64" t="s">
        <v>864</v>
      </c>
      <c r="F99" s="1"/>
      <c r="G99" s="1"/>
      <c r="H99" s="1"/>
      <c r="I99" s="1"/>
      <c r="J99" s="1"/>
      <c r="K99" s="1"/>
    </row>
    <row r="100" spans="2:11" ht="13.8">
      <c r="B100" s="12"/>
      <c r="C100" s="63" t="s">
        <v>234</v>
      </c>
      <c r="D100" s="64" t="s">
        <v>790</v>
      </c>
      <c r="E100" s="64" t="s">
        <v>637</v>
      </c>
      <c r="F100" s="64" t="s">
        <v>864</v>
      </c>
      <c r="G100" s="64" t="s">
        <v>895</v>
      </c>
      <c r="H100" s="64" t="s">
        <v>896</v>
      </c>
      <c r="I100" s="64" t="s">
        <v>897</v>
      </c>
      <c r="J100" s="64" t="s">
        <v>898</v>
      </c>
      <c r="K100" s="64" t="s">
        <v>899</v>
      </c>
    </row>
    <row r="101" spans="2:11" ht="14.4" thickBot="1">
      <c r="B101" s="39"/>
      <c r="C101" s="66" t="s">
        <v>1</v>
      </c>
      <c r="D101" s="66" t="s">
        <v>1</v>
      </c>
      <c r="E101" s="66" t="s">
        <v>605</v>
      </c>
      <c r="F101" s="66" t="s">
        <v>19</v>
      </c>
      <c r="G101" s="66" t="str">
        <f>'Fund Cover Sheets'!$M$1</f>
        <v>Adopted</v>
      </c>
      <c r="H101" s="66" t="s">
        <v>19</v>
      </c>
      <c r="I101" s="66" t="s">
        <v>19</v>
      </c>
      <c r="J101" s="66" t="s">
        <v>19</v>
      </c>
      <c r="K101" s="66" t="s">
        <v>19</v>
      </c>
    </row>
    <row r="102" spans="2:11" ht="13.8">
      <c r="B102" s="10"/>
      <c r="C102" s="43"/>
      <c r="D102" s="43"/>
      <c r="E102" s="43"/>
      <c r="F102" s="52"/>
      <c r="G102" s="52"/>
      <c r="H102" s="52"/>
      <c r="I102" s="52"/>
      <c r="J102" s="52"/>
      <c r="K102" s="52"/>
    </row>
    <row r="103" spans="2:11" ht="13.8">
      <c r="B103" s="40" t="s">
        <v>457</v>
      </c>
      <c r="C103" s="43"/>
      <c r="D103" s="43"/>
      <c r="E103" s="43"/>
      <c r="F103" s="52"/>
      <c r="G103" s="52"/>
      <c r="H103" s="52"/>
      <c r="I103" s="52"/>
      <c r="J103" s="52"/>
      <c r="K103" s="52"/>
    </row>
    <row r="104" spans="2:11" ht="20.100000000000001" customHeight="1">
      <c r="B104" s="14" t="s">
        <v>649</v>
      </c>
      <c r="C104" s="2">
        <f>SUM('Budget Detail FY 2017-24'!L154:L155)</f>
        <v>374208</v>
      </c>
      <c r="D104" s="2">
        <f>SUM('Budget Detail FY 2017-24'!M154:M155)</f>
        <v>427777</v>
      </c>
      <c r="E104" s="2">
        <f>SUM('Budget Detail FY 2017-24'!N154:N155)</f>
        <v>488585</v>
      </c>
      <c r="F104" s="2">
        <f>SUM('Budget Detail FY 2017-24'!O154:O155)</f>
        <v>467355</v>
      </c>
      <c r="G104" s="2">
        <f>SUM('Budget Detail FY 2017-24'!P154:P155)</f>
        <v>520619</v>
      </c>
      <c r="H104" s="2">
        <f>SUM('Budget Detail FY 2017-24'!Q154:Q155)</f>
        <v>536238</v>
      </c>
      <c r="I104" s="2">
        <f>SUM('Budget Detail FY 2017-24'!R154:R155)</f>
        <v>552325</v>
      </c>
      <c r="J104" s="2">
        <f>SUM('Budget Detail FY 2017-24'!S154:S155)</f>
        <v>568895</v>
      </c>
      <c r="K104" s="2">
        <f>SUM('Budget Detail FY 2017-24'!T154:T155)</f>
        <v>585962</v>
      </c>
    </row>
    <row r="105" spans="2:11" ht="20.100000000000001" customHeight="1">
      <c r="B105" s="14" t="s">
        <v>650</v>
      </c>
      <c r="C105" s="2">
        <f>SUM('Budget Detail FY 2017-24'!L156:L161)</f>
        <v>138585</v>
      </c>
      <c r="D105" s="2">
        <f>SUM('Budget Detail FY 2017-24'!M156:M161)</f>
        <v>151538</v>
      </c>
      <c r="E105" s="2">
        <f>SUM('Budget Detail FY 2017-24'!N156:N161)</f>
        <v>179347</v>
      </c>
      <c r="F105" s="2">
        <f>SUM('Budget Detail FY 2017-24'!O156:O161)</f>
        <v>167773</v>
      </c>
      <c r="G105" s="2">
        <f>SUM('Budget Detail FY 2017-24'!P156:P161)</f>
        <v>184592</v>
      </c>
      <c r="H105" s="2">
        <f>SUM('Budget Detail FY 2017-24'!Q156:Q161)</f>
        <v>196118</v>
      </c>
      <c r="I105" s="2">
        <f>SUM('Budget Detail FY 2017-24'!R156:R161)</f>
        <v>208564</v>
      </c>
      <c r="J105" s="2">
        <f>SUM('Budget Detail FY 2017-24'!S156:S161)</f>
        <v>221884</v>
      </c>
      <c r="K105" s="2">
        <f>SUM('Budget Detail FY 2017-24'!T156:T161)</f>
        <v>236139</v>
      </c>
    </row>
    <row r="106" spans="2:11" ht="20.100000000000001" customHeight="1">
      <c r="B106" s="14" t="s">
        <v>651</v>
      </c>
      <c r="C106" s="2">
        <f>SUM('Budget Detail FY 2017-24'!L162:L173)</f>
        <v>52914</v>
      </c>
      <c r="D106" s="2">
        <f>SUM('Budget Detail FY 2017-24'!M162:M173)</f>
        <v>44147</v>
      </c>
      <c r="E106" s="2">
        <f>SUM('Budget Detail FY 2017-24'!N162:N173)</f>
        <v>154174</v>
      </c>
      <c r="F106" s="2">
        <f>SUM('Budget Detail FY 2017-24'!O162:O173)</f>
        <v>274159</v>
      </c>
      <c r="G106" s="2">
        <f>SUM('Budget Detail FY 2017-24'!P162:P173)</f>
        <v>217523</v>
      </c>
      <c r="H106" s="2">
        <f>SUM('Budget Detail FY 2017-24'!Q162:Q173)</f>
        <v>249327</v>
      </c>
      <c r="I106" s="2">
        <f>SUM('Budget Detail FY 2017-24'!R162:R173)</f>
        <v>159159</v>
      </c>
      <c r="J106" s="2">
        <f>SUM('Budget Detail FY 2017-24'!S162:S173)</f>
        <v>164105</v>
      </c>
      <c r="K106" s="2">
        <f>SUM('Budget Detail FY 2017-24'!T162:T173)</f>
        <v>164108</v>
      </c>
    </row>
    <row r="107" spans="2:11" ht="20.100000000000001" customHeight="1">
      <c r="B107" s="14" t="s">
        <v>652</v>
      </c>
      <c r="C107" s="2">
        <f>SUM('Budget Detail FY 2017-24'!L174:L176)</f>
        <v>8251</v>
      </c>
      <c r="D107" s="2">
        <f>SUM('Budget Detail FY 2017-24'!M174:M176)</f>
        <v>6431</v>
      </c>
      <c r="E107" s="2">
        <f>SUM('Budget Detail FY 2017-24'!N174:N176)</f>
        <v>7540</v>
      </c>
      <c r="F107" s="2">
        <f>SUM('Budget Detail FY 2017-24'!O174:O176)</f>
        <v>7540</v>
      </c>
      <c r="G107" s="2">
        <f>SUM('Budget Detail FY 2017-24'!P174:P176)</f>
        <v>7655</v>
      </c>
      <c r="H107" s="2">
        <f>SUM('Budget Detail FY 2017-24'!Q174:Q176)</f>
        <v>7775</v>
      </c>
      <c r="I107" s="2">
        <f>SUM('Budget Detail FY 2017-24'!R174:R176)</f>
        <v>7901</v>
      </c>
      <c r="J107" s="2">
        <f>SUM('Budget Detail FY 2017-24'!S174:S176)</f>
        <v>8034</v>
      </c>
      <c r="K107" s="2">
        <f>SUM('Budget Detail FY 2017-24'!T174:T176)</f>
        <v>8173</v>
      </c>
    </row>
    <row r="108" spans="2:11" s="112" customFormat="1" ht="20.100000000000001" customHeight="1" thickBot="1">
      <c r="B108" s="113" t="s">
        <v>690</v>
      </c>
      <c r="C108" s="79">
        <f t="shared" ref="C108:I108" si="3">SUM(C104:C107)</f>
        <v>573958</v>
      </c>
      <c r="D108" s="79">
        <f>SUM(D104:D107)</f>
        <v>629893</v>
      </c>
      <c r="E108" s="79">
        <f t="shared" si="3"/>
        <v>829646</v>
      </c>
      <c r="F108" s="79">
        <f t="shared" si="3"/>
        <v>916827</v>
      </c>
      <c r="G108" s="79">
        <f t="shared" si="3"/>
        <v>930389</v>
      </c>
      <c r="H108" s="79">
        <f t="shared" si="3"/>
        <v>989458</v>
      </c>
      <c r="I108" s="79">
        <f t="shared" si="3"/>
        <v>927949</v>
      </c>
      <c r="J108" s="79">
        <f>SUM(J104:J107)</f>
        <v>962918</v>
      </c>
      <c r="K108" s="79">
        <f>SUM(K104:K107)</f>
        <v>994382</v>
      </c>
    </row>
    <row r="109" spans="2:11" s="112" customFormat="1" ht="14.4" thickTop="1">
      <c r="B109" s="16"/>
      <c r="C109" s="120"/>
      <c r="D109" s="120"/>
      <c r="E109" s="120"/>
      <c r="F109" s="120"/>
      <c r="G109" s="120"/>
      <c r="H109" s="120"/>
      <c r="I109" s="120"/>
      <c r="J109" s="120"/>
      <c r="K109" s="120"/>
    </row>
    <row r="110" spans="2:11" ht="13.8">
      <c r="B110" s="10"/>
      <c r="C110" s="43"/>
      <c r="D110" s="43"/>
      <c r="E110" s="43"/>
      <c r="F110" s="52"/>
      <c r="G110" s="52"/>
      <c r="H110" s="52"/>
      <c r="I110" s="52"/>
      <c r="J110" s="52"/>
      <c r="K110" s="52"/>
    </row>
    <row r="111" spans="2:11" ht="13.8">
      <c r="B111" s="10"/>
      <c r="C111" s="43"/>
      <c r="D111" s="43"/>
      <c r="E111" s="43"/>
      <c r="F111" s="52"/>
      <c r="G111" s="52"/>
      <c r="H111" s="52"/>
      <c r="I111" s="52"/>
      <c r="J111" s="52"/>
      <c r="K111" s="52"/>
    </row>
    <row r="112" spans="2:11" ht="13.8">
      <c r="B112" s="10"/>
      <c r="C112" s="43"/>
      <c r="D112" s="43"/>
      <c r="E112" s="43"/>
      <c r="F112" s="52"/>
      <c r="G112" s="52"/>
      <c r="H112" s="52"/>
      <c r="I112" s="52"/>
      <c r="J112" s="52"/>
      <c r="K112" s="52"/>
    </row>
    <row r="113" spans="2:11" ht="13.8">
      <c r="B113" s="10"/>
      <c r="C113" s="43"/>
      <c r="D113" s="43"/>
      <c r="E113" s="43"/>
      <c r="F113" s="52"/>
      <c r="G113" s="52"/>
      <c r="H113" s="52"/>
      <c r="I113" s="52"/>
      <c r="J113" s="52"/>
      <c r="K113" s="52"/>
    </row>
    <row r="114" spans="2:11" ht="13.8">
      <c r="B114" s="10"/>
      <c r="C114" s="43"/>
      <c r="D114" s="43"/>
      <c r="E114" s="43"/>
      <c r="F114" s="52"/>
      <c r="G114" s="52"/>
      <c r="H114" s="52"/>
      <c r="I114" s="52"/>
      <c r="J114" s="52"/>
      <c r="K114" s="52"/>
    </row>
    <row r="115" spans="2:11" ht="13.8">
      <c r="B115" s="10"/>
      <c r="C115" s="43"/>
      <c r="D115" s="43"/>
      <c r="E115" s="43"/>
      <c r="F115" s="52"/>
      <c r="G115" s="52"/>
      <c r="H115" s="52"/>
      <c r="I115" s="52"/>
      <c r="J115" s="52"/>
      <c r="K115" s="52"/>
    </row>
    <row r="116" spans="2:11" ht="13.8">
      <c r="B116" s="10"/>
      <c r="C116" s="43"/>
      <c r="D116" s="43"/>
      <c r="E116" s="43"/>
      <c r="F116" s="52"/>
      <c r="G116" s="52"/>
      <c r="H116" s="52"/>
      <c r="I116" s="52"/>
      <c r="J116" s="52"/>
      <c r="K116" s="52"/>
    </row>
    <row r="117" spans="2:11" ht="13.8">
      <c r="B117" s="10"/>
      <c r="C117" s="43"/>
      <c r="D117" s="43"/>
      <c r="E117" s="43"/>
      <c r="F117" s="52"/>
      <c r="G117" s="52"/>
      <c r="H117" s="52"/>
      <c r="I117" s="52"/>
      <c r="J117" s="52"/>
      <c r="K117" s="52"/>
    </row>
    <row r="118" spans="2:11" ht="13.8">
      <c r="B118" s="10"/>
      <c r="C118" s="43"/>
      <c r="D118" s="43"/>
      <c r="E118" s="43"/>
      <c r="F118" s="52"/>
      <c r="G118" s="52"/>
      <c r="H118" s="52"/>
      <c r="I118" s="52"/>
      <c r="J118" s="52"/>
      <c r="K118" s="52"/>
    </row>
    <row r="119" spans="2:11" ht="13.8">
      <c r="B119" s="10"/>
      <c r="C119" s="43"/>
      <c r="D119" s="43"/>
      <c r="E119" s="43"/>
      <c r="F119" s="52"/>
      <c r="G119" s="52"/>
      <c r="H119" s="52"/>
      <c r="I119" s="52"/>
      <c r="J119" s="52"/>
      <c r="K119" s="52"/>
    </row>
    <row r="120" spans="2:11" ht="13.8">
      <c r="B120" s="10"/>
      <c r="C120" s="43"/>
      <c r="D120" s="43"/>
      <c r="E120" s="43"/>
      <c r="F120" s="52"/>
      <c r="G120" s="52"/>
      <c r="H120" s="52"/>
      <c r="I120" s="52"/>
      <c r="J120" s="52"/>
      <c r="K120" s="52"/>
    </row>
    <row r="121" spans="2:11" ht="13.8">
      <c r="B121" s="10"/>
      <c r="C121" s="43"/>
      <c r="D121" s="43"/>
      <c r="E121" s="43"/>
      <c r="F121" s="52"/>
      <c r="G121" s="52"/>
      <c r="H121" s="52"/>
      <c r="I121" s="52"/>
      <c r="J121" s="52"/>
      <c r="K121" s="52"/>
    </row>
    <row r="122" spans="2:11" ht="18.75" customHeight="1">
      <c r="B122" s="466" t="s">
        <v>990</v>
      </c>
      <c r="C122" s="466"/>
      <c r="D122" s="466"/>
      <c r="E122" s="466"/>
      <c r="F122" s="466"/>
      <c r="G122" s="466"/>
      <c r="H122" s="466"/>
      <c r="I122" s="466"/>
      <c r="J122" s="466"/>
      <c r="K122" s="466"/>
    </row>
    <row r="123" spans="2:11" ht="13.8">
      <c r="B123" s="45"/>
      <c r="C123" s="57"/>
      <c r="D123" s="58"/>
      <c r="E123" s="58"/>
      <c r="F123" s="52"/>
      <c r="G123" s="52"/>
      <c r="H123" s="52"/>
      <c r="I123" s="52"/>
      <c r="J123" s="52"/>
      <c r="K123" s="52"/>
    </row>
    <row r="124" spans="2:11" ht="12.75" customHeight="1">
      <c r="B124" s="474" t="s">
        <v>691</v>
      </c>
      <c r="C124" s="474"/>
      <c r="D124" s="474"/>
      <c r="E124" s="474"/>
      <c r="F124" s="474"/>
      <c r="G124" s="474"/>
      <c r="H124" s="474"/>
      <c r="I124" s="474"/>
      <c r="J124" s="474"/>
      <c r="K124" s="474"/>
    </row>
    <row r="125" spans="2:11" ht="17.25" customHeight="1">
      <c r="B125" s="474"/>
      <c r="C125" s="474"/>
      <c r="D125" s="474"/>
      <c r="E125" s="474"/>
      <c r="F125" s="474"/>
      <c r="G125" s="474"/>
      <c r="H125" s="474"/>
      <c r="I125" s="474"/>
      <c r="J125" s="474"/>
      <c r="K125" s="474"/>
    </row>
    <row r="126" spans="2:11" ht="13.8">
      <c r="B126" s="46"/>
      <c r="C126" s="59"/>
      <c r="D126" s="59"/>
      <c r="E126" s="59"/>
      <c r="F126" s="52"/>
      <c r="G126" s="52"/>
      <c r="H126" s="52"/>
      <c r="I126" s="52"/>
      <c r="J126" s="52"/>
      <c r="K126" s="52"/>
    </row>
    <row r="127" spans="2:11" ht="13.8">
      <c r="B127" s="10"/>
      <c r="C127" s="64"/>
      <c r="D127" s="1"/>
      <c r="E127" s="64" t="s">
        <v>864</v>
      </c>
      <c r="F127" s="1"/>
      <c r="G127" s="1"/>
      <c r="H127" s="1"/>
      <c r="I127" s="1"/>
      <c r="J127" s="1"/>
      <c r="K127" s="1"/>
    </row>
    <row r="128" spans="2:11" ht="13.8">
      <c r="B128" s="12"/>
      <c r="C128" s="63" t="s">
        <v>234</v>
      </c>
      <c r="D128" s="64" t="s">
        <v>790</v>
      </c>
      <c r="E128" s="64" t="s">
        <v>637</v>
      </c>
      <c r="F128" s="64" t="s">
        <v>864</v>
      </c>
      <c r="G128" s="64" t="s">
        <v>895</v>
      </c>
      <c r="H128" s="64" t="s">
        <v>896</v>
      </c>
      <c r="I128" s="64" t="s">
        <v>897</v>
      </c>
      <c r="J128" s="64" t="s">
        <v>898</v>
      </c>
      <c r="K128" s="64" t="s">
        <v>899</v>
      </c>
    </row>
    <row r="129" spans="2:11" ht="14.4" thickBot="1">
      <c r="B129" s="39"/>
      <c r="C129" s="66" t="s">
        <v>1</v>
      </c>
      <c r="D129" s="66" t="s">
        <v>1</v>
      </c>
      <c r="E129" s="66" t="s">
        <v>605</v>
      </c>
      <c r="F129" s="66" t="s">
        <v>19</v>
      </c>
      <c r="G129" s="66" t="str">
        <f>'Fund Cover Sheets'!$M$1</f>
        <v>Adopted</v>
      </c>
      <c r="H129" s="66" t="s">
        <v>19</v>
      </c>
      <c r="I129" s="66" t="s">
        <v>19</v>
      </c>
      <c r="J129" s="66" t="s">
        <v>19</v>
      </c>
      <c r="K129" s="66" t="s">
        <v>19</v>
      </c>
    </row>
    <row r="130" spans="2:11" ht="13.8">
      <c r="B130" s="10"/>
      <c r="C130" s="43"/>
      <c r="D130" s="43"/>
      <c r="E130" s="43"/>
      <c r="F130" s="52"/>
      <c r="G130" s="52"/>
      <c r="H130" s="52"/>
      <c r="I130" s="52"/>
      <c r="J130" s="52"/>
      <c r="K130" s="52"/>
    </row>
    <row r="131" spans="2:11" ht="13.8">
      <c r="B131" s="40" t="s">
        <v>457</v>
      </c>
      <c r="C131" s="43"/>
      <c r="D131" s="43"/>
      <c r="E131" s="43"/>
      <c r="F131" s="52"/>
      <c r="G131" s="52"/>
      <c r="H131" s="52"/>
      <c r="I131" s="52"/>
      <c r="J131" s="52"/>
      <c r="K131" s="52"/>
    </row>
    <row r="132" spans="2:11" ht="20.100000000000001" customHeight="1">
      <c r="B132" s="14" t="s">
        <v>649</v>
      </c>
      <c r="C132" s="2">
        <f>SUM('Budget Detail FY 2017-24'!L180:L182)</f>
        <v>362054</v>
      </c>
      <c r="D132" s="2">
        <f>SUM('Budget Detail FY 2017-24'!M180:M182)</f>
        <v>395459</v>
      </c>
      <c r="E132" s="2">
        <f>SUM('Budget Detail FY 2017-24'!N180:N182)</f>
        <v>408909</v>
      </c>
      <c r="F132" s="2">
        <f>SUM('Budget Detail FY 2017-24'!O180:O182)</f>
        <v>418430</v>
      </c>
      <c r="G132" s="2">
        <f>SUM('Budget Detail FY 2017-24'!P180:P182)</f>
        <v>434921</v>
      </c>
      <c r="H132" s="2">
        <f>SUM('Budget Detail FY 2017-24'!Q180:Q182)</f>
        <v>446994</v>
      </c>
      <c r="I132" s="2">
        <f>SUM('Budget Detail FY 2017-24'!R180:R182)</f>
        <v>459429</v>
      </c>
      <c r="J132" s="2">
        <f>SUM('Budget Detail FY 2017-24'!S180:S182)</f>
        <v>472237</v>
      </c>
      <c r="K132" s="2">
        <f>SUM('Budget Detail FY 2017-24'!T180:T182)</f>
        <v>485429</v>
      </c>
    </row>
    <row r="133" spans="2:11" ht="20.100000000000001" customHeight="1">
      <c r="B133" s="14" t="s">
        <v>650</v>
      </c>
      <c r="C133" s="2">
        <f>SUM('Budget Detail FY 2017-24'!L183:L188)</f>
        <v>196446</v>
      </c>
      <c r="D133" s="2">
        <f>SUM('Budget Detail FY 2017-24'!M183:M188)</f>
        <v>196203</v>
      </c>
      <c r="E133" s="2">
        <f>SUM('Budget Detail FY 2017-24'!N183:N188)</f>
        <v>197100</v>
      </c>
      <c r="F133" s="2">
        <f>SUM('Budget Detail FY 2017-24'!O183:O188)</f>
        <v>195937</v>
      </c>
      <c r="G133" s="2">
        <f>SUM('Budget Detail FY 2017-24'!P183:P188)</f>
        <v>193915</v>
      </c>
      <c r="H133" s="2">
        <f>SUM('Budget Detail FY 2017-24'!Q183:Q188)</f>
        <v>206615</v>
      </c>
      <c r="I133" s="2">
        <f>SUM('Budget Detail FY 2017-24'!R183:R188)</f>
        <v>220332</v>
      </c>
      <c r="J133" s="2">
        <f>SUM('Budget Detail FY 2017-24'!S183:S188)</f>
        <v>235041</v>
      </c>
      <c r="K133" s="2">
        <f>SUM('Budget Detail FY 2017-24'!T183:T188)</f>
        <v>250817</v>
      </c>
    </row>
    <row r="134" spans="2:11" ht="20.100000000000001" customHeight="1">
      <c r="B134" s="14" t="s">
        <v>651</v>
      </c>
      <c r="C134" s="2">
        <f>SUM('Budget Detail FY 2017-24'!L189:L202)+SUM('Budget Detail FY 2017-24'!L217:L219)</f>
        <v>1450218</v>
      </c>
      <c r="D134" s="2">
        <f>SUM('Budget Detail FY 2017-24'!M189:M202)+SUM('Budget Detail FY 2017-24'!M217:M219)</f>
        <v>1239831</v>
      </c>
      <c r="E134" s="2">
        <f>SUM('Budget Detail FY 2017-24'!N189:N202)+SUM('Budget Detail FY 2017-24'!N217:N219)</f>
        <v>1304948</v>
      </c>
      <c r="F134" s="2">
        <f>SUM('Budget Detail FY 2017-24'!O189:O202)+SUM('Budget Detail FY 2017-24'!O217:O219)</f>
        <v>1357544</v>
      </c>
      <c r="G134" s="2">
        <f>SUM('Budget Detail FY 2017-24'!P189:P202)+SUM('Budget Detail FY 2017-24'!P217:P219)</f>
        <v>1385782</v>
      </c>
      <c r="H134" s="2">
        <f>SUM('Budget Detail FY 2017-24'!Q189:Q202)+SUM('Budget Detail FY 2017-24'!Q217:Q219)</f>
        <v>1407246</v>
      </c>
      <c r="I134" s="2">
        <f>SUM('Budget Detail FY 2017-24'!R189:R202)+SUM('Budget Detail FY 2017-24'!R217:R219)</f>
        <v>1443720</v>
      </c>
      <c r="J134" s="2">
        <f>SUM('Budget Detail FY 2017-24'!S189:S202)+SUM('Budget Detail FY 2017-24'!S217:S219)</f>
        <v>1483816</v>
      </c>
      <c r="K134" s="2">
        <f>SUM('Budget Detail FY 2017-24'!T189:T202)+SUM('Budget Detail FY 2017-24'!T217:T219)</f>
        <v>1526881</v>
      </c>
    </row>
    <row r="135" spans="2:11" ht="20.100000000000001" customHeight="1">
      <c r="B135" s="14" t="s">
        <v>652</v>
      </c>
      <c r="C135" s="2">
        <f>SUM('Budget Detail FY 2017-24'!L203:L213)</f>
        <v>68784</v>
      </c>
      <c r="D135" s="2">
        <f>SUM('Budget Detail FY 2017-24'!M203:M213)</f>
        <v>97088</v>
      </c>
      <c r="E135" s="2">
        <f>SUM('Budget Detail FY 2017-24'!N203:N213)</f>
        <v>182298</v>
      </c>
      <c r="F135" s="2">
        <f>SUM('Budget Detail FY 2017-24'!O203:O213)</f>
        <v>162298</v>
      </c>
      <c r="G135" s="2">
        <f>SUM('Budget Detail FY 2017-24'!P203:P213)</f>
        <v>301343</v>
      </c>
      <c r="H135" s="2">
        <f>SUM('Budget Detail FY 2017-24'!Q203:Q213)</f>
        <v>255045</v>
      </c>
      <c r="I135" s="2">
        <f>SUM('Budget Detail FY 2017-24'!R203:R213)</f>
        <v>256307</v>
      </c>
      <c r="J135" s="2">
        <f>SUM('Budget Detail FY 2017-24'!S203:S213)</f>
        <v>257632</v>
      </c>
      <c r="K135" s="2">
        <f>SUM('Budget Detail FY 2017-24'!T203:T213)</f>
        <v>259024</v>
      </c>
    </row>
    <row r="136" spans="2:11" s="112" customFormat="1" ht="20.100000000000001" customHeight="1" thickBot="1">
      <c r="B136" s="113" t="s">
        <v>794</v>
      </c>
      <c r="C136" s="79">
        <f t="shared" ref="C136:K136" si="4">SUM(C132:C135)</f>
        <v>2077502</v>
      </c>
      <c r="D136" s="79">
        <f t="shared" si="4"/>
        <v>1928581</v>
      </c>
      <c r="E136" s="79">
        <f>SUM(E132:E135)</f>
        <v>2093255</v>
      </c>
      <c r="F136" s="79">
        <f t="shared" si="4"/>
        <v>2134209</v>
      </c>
      <c r="G136" s="79">
        <f t="shared" si="4"/>
        <v>2315961</v>
      </c>
      <c r="H136" s="79">
        <f t="shared" si="4"/>
        <v>2315900</v>
      </c>
      <c r="I136" s="79">
        <f t="shared" si="4"/>
        <v>2379788</v>
      </c>
      <c r="J136" s="79">
        <f t="shared" si="4"/>
        <v>2448726</v>
      </c>
      <c r="K136" s="79">
        <f t="shared" si="4"/>
        <v>2522151</v>
      </c>
    </row>
    <row r="137" spans="2:11" ht="12.75" customHeight="1" thickTop="1">
      <c r="B137" s="20"/>
      <c r="C137" s="54"/>
      <c r="D137" s="54"/>
      <c r="E137" s="54"/>
      <c r="F137" s="52"/>
      <c r="G137" s="52"/>
      <c r="H137" s="52"/>
      <c r="I137" s="52"/>
      <c r="J137" s="52"/>
      <c r="K137" s="52"/>
    </row>
    <row r="138" spans="2:11" ht="12.75" customHeight="1">
      <c r="B138" s="20"/>
      <c r="C138" s="54"/>
      <c r="D138" s="54"/>
      <c r="E138" s="54"/>
      <c r="F138" s="52"/>
      <c r="G138" s="52"/>
      <c r="H138" s="52"/>
      <c r="I138" s="52"/>
      <c r="J138" s="52"/>
      <c r="K138" s="52"/>
    </row>
    <row r="139" spans="2:11" ht="17.25" customHeight="1">
      <c r="B139" s="18"/>
      <c r="C139" s="43"/>
      <c r="D139" s="43"/>
      <c r="E139" s="43"/>
      <c r="F139" s="52"/>
      <c r="G139" s="52"/>
      <c r="H139" s="52"/>
      <c r="I139" s="52"/>
      <c r="J139" s="52"/>
      <c r="K139" s="52"/>
    </row>
    <row r="140" spans="2:11" ht="13.8">
      <c r="B140" s="18"/>
      <c r="C140" s="43"/>
      <c r="D140" s="43"/>
      <c r="E140" s="43"/>
      <c r="F140" s="52"/>
      <c r="G140" s="52"/>
      <c r="H140" s="52"/>
      <c r="I140" s="52"/>
      <c r="J140" s="52"/>
      <c r="K140" s="52"/>
    </row>
    <row r="141" spans="2:11" ht="13.8">
      <c r="B141" s="18"/>
      <c r="C141" s="43"/>
      <c r="D141" s="43"/>
      <c r="E141" s="43"/>
      <c r="F141" s="52"/>
      <c r="G141" s="52"/>
      <c r="H141" s="52"/>
      <c r="I141" s="52"/>
      <c r="J141" s="52"/>
      <c r="K141" s="52"/>
    </row>
    <row r="142" spans="2:11" ht="13.8">
      <c r="B142" s="18"/>
      <c r="C142" s="43"/>
      <c r="D142" s="43"/>
      <c r="E142" s="43"/>
      <c r="F142" s="52"/>
      <c r="G142" s="52"/>
      <c r="H142" s="52"/>
      <c r="I142" s="52"/>
      <c r="J142" s="52"/>
      <c r="K142" s="52"/>
    </row>
    <row r="143" spans="2:11" ht="13.8">
      <c r="B143" s="18"/>
      <c r="C143" s="43"/>
      <c r="D143" s="43"/>
      <c r="E143" s="43"/>
      <c r="F143" s="52"/>
      <c r="G143" s="52"/>
      <c r="H143" s="52"/>
      <c r="I143" s="52"/>
      <c r="J143" s="52"/>
      <c r="K143" s="52"/>
    </row>
    <row r="144" spans="2:11" ht="13.8">
      <c r="B144" s="18"/>
      <c r="C144" s="43"/>
      <c r="D144" s="43"/>
      <c r="E144" s="43"/>
      <c r="F144" s="52"/>
      <c r="G144" s="52"/>
      <c r="H144" s="52"/>
      <c r="I144" s="52"/>
      <c r="J144" s="52"/>
      <c r="K144" s="52"/>
    </row>
    <row r="145" spans="2:11" ht="13.8">
      <c r="B145" s="18"/>
      <c r="C145" s="43"/>
      <c r="D145" s="43"/>
      <c r="E145" s="43"/>
      <c r="F145" s="52"/>
      <c r="G145" s="52"/>
      <c r="H145" s="52"/>
      <c r="I145" s="52"/>
      <c r="J145" s="52"/>
      <c r="K145" s="52"/>
    </row>
    <row r="146" spans="2:11" ht="13.8">
      <c r="B146" s="18"/>
      <c r="C146" s="43"/>
      <c r="D146" s="43"/>
      <c r="E146" s="43"/>
      <c r="F146" s="52"/>
      <c r="G146" s="52"/>
      <c r="H146" s="52"/>
      <c r="I146" s="52"/>
      <c r="J146" s="52"/>
      <c r="K146" s="52"/>
    </row>
    <row r="147" spans="2:11" ht="13.8">
      <c r="B147" s="18"/>
      <c r="C147" s="43"/>
      <c r="D147" s="43"/>
      <c r="E147" s="43"/>
      <c r="F147" s="52"/>
      <c r="G147" s="52"/>
      <c r="H147" s="52"/>
      <c r="I147" s="52"/>
      <c r="J147" s="52"/>
      <c r="K147" s="52"/>
    </row>
    <row r="148" spans="2:11" ht="13.8">
      <c r="B148" s="18"/>
      <c r="C148" s="43"/>
      <c r="D148" s="43"/>
      <c r="E148" s="43"/>
      <c r="F148" s="52"/>
      <c r="G148" s="52"/>
      <c r="H148" s="52"/>
      <c r="I148" s="52"/>
      <c r="J148" s="52"/>
      <c r="K148" s="52"/>
    </row>
    <row r="149" spans="2:11" ht="13.8">
      <c r="B149" s="18"/>
      <c r="C149" s="43"/>
      <c r="D149" s="43"/>
      <c r="E149" s="43"/>
      <c r="F149" s="52"/>
      <c r="G149" s="52"/>
      <c r="H149" s="52"/>
      <c r="I149" s="52"/>
      <c r="J149" s="52"/>
      <c r="K149" s="52"/>
    </row>
    <row r="150" spans="2:11" ht="13.8">
      <c r="B150" s="18"/>
      <c r="C150" s="43"/>
      <c r="D150" s="43"/>
      <c r="E150" s="43"/>
      <c r="F150" s="52"/>
      <c r="G150" s="52"/>
      <c r="H150" s="52"/>
      <c r="I150" s="52"/>
      <c r="J150" s="52"/>
      <c r="K150" s="52"/>
    </row>
    <row r="151" spans="2:11" ht="13.8">
      <c r="B151" s="18"/>
      <c r="C151" s="43"/>
      <c r="D151" s="43"/>
      <c r="E151" s="43"/>
      <c r="F151" s="52"/>
      <c r="G151" s="52"/>
      <c r="H151" s="52"/>
      <c r="I151" s="52"/>
      <c r="J151" s="52"/>
      <c r="K151" s="52"/>
    </row>
    <row r="152" spans="2:11" ht="13.8">
      <c r="B152" s="18"/>
      <c r="C152" s="43"/>
      <c r="D152" s="43"/>
      <c r="E152" s="43"/>
      <c r="F152" s="52"/>
      <c r="G152" s="52"/>
      <c r="H152" s="52"/>
      <c r="I152" s="52"/>
      <c r="J152" s="52"/>
      <c r="K152" s="52"/>
    </row>
    <row r="153" spans="2:11" ht="18.75" customHeight="1">
      <c r="B153" s="466" t="s">
        <v>692</v>
      </c>
      <c r="C153" s="466"/>
      <c r="D153" s="466"/>
      <c r="E153" s="466"/>
      <c r="F153" s="466"/>
      <c r="G153" s="466"/>
      <c r="H153" s="466"/>
      <c r="I153" s="466"/>
      <c r="J153" s="466"/>
      <c r="K153" s="466"/>
    </row>
    <row r="154" spans="2:11" ht="13.8">
      <c r="B154" s="47"/>
      <c r="C154" s="52"/>
      <c r="D154" s="52"/>
      <c r="E154" s="52"/>
      <c r="F154" s="52"/>
      <c r="G154" s="52"/>
      <c r="H154" s="52"/>
      <c r="I154" s="52"/>
      <c r="J154" s="52"/>
      <c r="K154" s="52"/>
    </row>
    <row r="155" spans="2:11" ht="12.75" customHeight="1">
      <c r="B155" s="467" t="s">
        <v>985</v>
      </c>
      <c r="C155" s="467"/>
      <c r="D155" s="467"/>
      <c r="E155" s="467"/>
      <c r="F155" s="467"/>
      <c r="G155" s="467"/>
      <c r="H155" s="467"/>
      <c r="I155" s="467"/>
      <c r="J155" s="467"/>
      <c r="K155" s="467"/>
    </row>
    <row r="156" spans="2:11" ht="19.5" customHeight="1">
      <c r="B156" s="467"/>
      <c r="C156" s="467"/>
      <c r="D156" s="467"/>
      <c r="E156" s="467"/>
      <c r="F156" s="467"/>
      <c r="G156" s="467"/>
      <c r="H156" s="467"/>
      <c r="I156" s="467"/>
      <c r="J156" s="467"/>
      <c r="K156" s="467"/>
    </row>
    <row r="157" spans="2:11" ht="13.8">
      <c r="B157" s="48"/>
      <c r="C157" s="60"/>
      <c r="D157" s="60"/>
      <c r="E157" s="60"/>
      <c r="F157" s="52"/>
      <c r="G157" s="52"/>
      <c r="H157" s="52"/>
      <c r="I157" s="52"/>
      <c r="J157" s="52"/>
      <c r="K157" s="52"/>
    </row>
    <row r="158" spans="2:11" ht="13.8">
      <c r="B158" s="49"/>
      <c r="C158" s="64"/>
      <c r="D158" s="1"/>
      <c r="E158" s="64" t="s">
        <v>864</v>
      </c>
      <c r="F158" s="1"/>
      <c r="G158" s="1"/>
      <c r="H158" s="1"/>
      <c r="I158" s="1"/>
      <c r="J158" s="1"/>
      <c r="K158" s="1"/>
    </row>
    <row r="159" spans="2:11" ht="13.8">
      <c r="B159" s="12"/>
      <c r="C159" s="63" t="s">
        <v>234</v>
      </c>
      <c r="D159" s="64" t="s">
        <v>790</v>
      </c>
      <c r="E159" s="64" t="s">
        <v>637</v>
      </c>
      <c r="F159" s="64" t="s">
        <v>864</v>
      </c>
      <c r="G159" s="64" t="s">
        <v>895</v>
      </c>
      <c r="H159" s="64" t="s">
        <v>896</v>
      </c>
      <c r="I159" s="64" t="s">
        <v>897</v>
      </c>
      <c r="J159" s="64" t="s">
        <v>898</v>
      </c>
      <c r="K159" s="64" t="s">
        <v>899</v>
      </c>
    </row>
    <row r="160" spans="2:11" ht="14.4" thickBot="1">
      <c r="B160" s="39"/>
      <c r="C160" s="66" t="s">
        <v>1</v>
      </c>
      <c r="D160" s="66" t="s">
        <v>1</v>
      </c>
      <c r="E160" s="66" t="s">
        <v>605</v>
      </c>
      <c r="F160" s="66" t="s">
        <v>19</v>
      </c>
      <c r="G160" s="66" t="str">
        <f>'Fund Cover Sheets'!$M$1</f>
        <v>Adopted</v>
      </c>
      <c r="H160" s="66" t="s">
        <v>19</v>
      </c>
      <c r="I160" s="66" t="s">
        <v>19</v>
      </c>
      <c r="J160" s="66" t="s">
        <v>19</v>
      </c>
      <c r="K160" s="66" t="s">
        <v>19</v>
      </c>
    </row>
    <row r="161" spans="2:11" ht="13.8">
      <c r="B161" s="10"/>
      <c r="C161" s="43"/>
      <c r="D161" s="43"/>
      <c r="E161" s="43"/>
      <c r="F161" s="52"/>
      <c r="G161" s="52"/>
      <c r="H161" s="52"/>
      <c r="I161" s="52"/>
      <c r="J161" s="52"/>
      <c r="K161" s="52"/>
    </row>
    <row r="162" spans="2:11" ht="13.8">
      <c r="B162" s="40" t="s">
        <v>457</v>
      </c>
      <c r="C162" s="43"/>
      <c r="D162" s="43"/>
      <c r="E162" s="43"/>
      <c r="F162" s="52"/>
      <c r="G162" s="52"/>
      <c r="H162" s="52"/>
      <c r="I162" s="52"/>
      <c r="J162" s="52"/>
      <c r="K162" s="52"/>
    </row>
    <row r="163" spans="2:11" ht="20.100000000000001" customHeight="1">
      <c r="B163" s="15" t="s">
        <v>649</v>
      </c>
      <c r="C163" s="2">
        <f>'Budget Detail FY 2017-24'!L226+'Budget Detail FY 2017-24'!L225</f>
        <v>800</v>
      </c>
      <c r="D163" s="2">
        <f>'Budget Detail FY 2017-24'!M226+'Budget Detail FY 2017-24'!M225</f>
        <v>17640</v>
      </c>
      <c r="E163" s="2">
        <f>'Budget Detail FY 2017-24'!N226+'Budget Detail FY 2017-24'!N225</f>
        <v>500</v>
      </c>
      <c r="F163" s="2">
        <f>'Budget Detail FY 2017-24'!O226+'Budget Detail FY 2017-24'!O225</f>
        <v>500</v>
      </c>
      <c r="G163" s="2">
        <f>'Budget Detail FY 2017-24'!P226+'Budget Detail FY 2017-24'!P225</f>
        <v>500</v>
      </c>
      <c r="H163" s="2">
        <f>'Budget Detail FY 2017-24'!Q226+'Budget Detail FY 2017-24'!Q225</f>
        <v>500</v>
      </c>
      <c r="I163" s="2">
        <f>'Budget Detail FY 2017-24'!R226+'Budget Detail FY 2017-24'!R225</f>
        <v>500</v>
      </c>
      <c r="J163" s="2">
        <f>'Budget Detail FY 2017-24'!S226+'Budget Detail FY 2017-24'!S225</f>
        <v>500</v>
      </c>
      <c r="K163" s="2">
        <f>'Budget Detail FY 2017-24'!T226+'Budget Detail FY 2017-24'!T225</f>
        <v>500</v>
      </c>
    </row>
    <row r="164" spans="2:11" ht="20.100000000000001" customHeight="1">
      <c r="B164" s="15" t="s">
        <v>650</v>
      </c>
      <c r="C164" s="2">
        <f>SUM('Budget Detail FY 2017-24'!L227:L232)</f>
        <v>331679</v>
      </c>
      <c r="D164" s="2">
        <f>SUM('Budget Detail FY 2017-24'!M227:M232)</f>
        <v>334909</v>
      </c>
      <c r="E164" s="2">
        <f>SUM('Budget Detail FY 2017-24'!N227:N232)</f>
        <v>375608</v>
      </c>
      <c r="F164" s="2">
        <f>SUM('Budget Detail FY 2017-24'!O227:O232)</f>
        <v>347362</v>
      </c>
      <c r="G164" s="2">
        <f>SUM('Budget Detail FY 2017-24'!P227:P232)</f>
        <v>379699</v>
      </c>
      <c r="H164" s="2">
        <f>SUM('Budget Detail FY 2017-24'!Q227:Q232)</f>
        <v>402527</v>
      </c>
      <c r="I164" s="2">
        <f>SUM('Budget Detail FY 2017-24'!R227:R232)</f>
        <v>389080</v>
      </c>
      <c r="J164" s="2">
        <f>SUM('Budget Detail FY 2017-24'!S227:S232)</f>
        <v>411806</v>
      </c>
      <c r="K164" s="2">
        <f>SUM('Budget Detail FY 2017-24'!T227:T232)</f>
        <v>434414</v>
      </c>
    </row>
    <row r="165" spans="2:11" ht="20.100000000000001" customHeight="1">
      <c r="B165" s="15" t="s">
        <v>651</v>
      </c>
      <c r="C165" s="2">
        <f>SUM('Budget Detail FY 2017-24'!L233:L255)</f>
        <v>2770751</v>
      </c>
      <c r="D165" s="2">
        <f>SUM('Budget Detail FY 2017-24'!M233:M255)</f>
        <v>2925753</v>
      </c>
      <c r="E165" s="2">
        <f>SUM('Budget Detail FY 2017-24'!N233:N255)</f>
        <v>2945232</v>
      </c>
      <c r="F165" s="2">
        <f>SUM('Budget Detail FY 2017-24'!O233:O255)</f>
        <v>3003928</v>
      </c>
      <c r="G165" s="2">
        <f>SUM('Budget Detail FY 2017-24'!P233:P255)</f>
        <v>3079351</v>
      </c>
      <c r="H165" s="2">
        <f>SUM('Budget Detail FY 2017-24'!Q233:Q255)</f>
        <v>3104545</v>
      </c>
      <c r="I165" s="2">
        <f>SUM('Budget Detail FY 2017-24'!R233:R255)</f>
        <v>3116558</v>
      </c>
      <c r="J165" s="2">
        <f>SUM('Budget Detail FY 2017-24'!S233:S255)</f>
        <v>3005318</v>
      </c>
      <c r="K165" s="2">
        <f>SUM('Budget Detail FY 2017-24'!T233:T255)</f>
        <v>3049619</v>
      </c>
    </row>
    <row r="166" spans="2:11" ht="20.100000000000001" customHeight="1">
      <c r="B166" s="15" t="s">
        <v>652</v>
      </c>
      <c r="C166" s="2">
        <f>'Budget Detail FY 2017-24'!L256</f>
        <v>11106</v>
      </c>
      <c r="D166" s="2">
        <f>'Budget Detail FY 2017-24'!M256</f>
        <v>14929</v>
      </c>
      <c r="E166" s="2">
        <f>'Budget Detail FY 2017-24'!N256</f>
        <v>15000</v>
      </c>
      <c r="F166" s="2">
        <f>'Budget Detail FY 2017-24'!O256</f>
        <v>15000</v>
      </c>
      <c r="G166" s="2">
        <f>'Budget Detail FY 2017-24'!P256</f>
        <v>15000</v>
      </c>
      <c r="H166" s="2">
        <f>'Budget Detail FY 2017-24'!Q256</f>
        <v>15000</v>
      </c>
      <c r="I166" s="2">
        <f>'Budget Detail FY 2017-24'!R256</f>
        <v>15000</v>
      </c>
      <c r="J166" s="2">
        <f>'Budget Detail FY 2017-24'!S256</f>
        <v>15000</v>
      </c>
      <c r="K166" s="2">
        <f>'Budget Detail FY 2017-24'!T256</f>
        <v>15000</v>
      </c>
    </row>
    <row r="167" spans="2:11" ht="20.100000000000001" customHeight="1">
      <c r="B167" s="15" t="s">
        <v>654</v>
      </c>
      <c r="C167" s="2">
        <f>SUM('Budget Detail FY 2017-24'!L257:L262)</f>
        <v>2649065</v>
      </c>
      <c r="D167" s="2">
        <f>SUM('Budget Detail FY 2017-24'!M257:M262)</f>
        <v>2779764</v>
      </c>
      <c r="E167" s="2">
        <f>SUM('Budget Detail FY 2017-24'!N257:N262)</f>
        <v>3044911</v>
      </c>
      <c r="F167" s="2">
        <f>SUM('Budget Detail FY 2017-24'!O257:O262)</f>
        <v>3039217</v>
      </c>
      <c r="G167" s="2">
        <f>SUM('Budget Detail FY 2017-24'!P257:P262)</f>
        <v>2330400</v>
      </c>
      <c r="H167" s="2">
        <f>SUM('Budget Detail FY 2017-24'!Q257:Q262)</f>
        <v>2586243</v>
      </c>
      <c r="I167" s="2">
        <f>SUM('Budget Detail FY 2017-24'!R257:R262)</f>
        <v>2969276</v>
      </c>
      <c r="J167" s="2">
        <f>SUM('Budget Detail FY 2017-24'!S257:S262)</f>
        <v>3190286</v>
      </c>
      <c r="K167" s="2">
        <f>SUM('Budget Detail FY 2017-24'!T257:T262)</f>
        <v>2931155</v>
      </c>
    </row>
    <row r="168" spans="2:11" s="112" customFormat="1" ht="20.100000000000001" customHeight="1" thickBot="1">
      <c r="B168" s="114" t="s">
        <v>795</v>
      </c>
      <c r="C168" s="79">
        <f t="shared" ref="C168:K168" si="5">SUM(C163:C167)</f>
        <v>5763401</v>
      </c>
      <c r="D168" s="79">
        <f t="shared" si="5"/>
        <v>6072995</v>
      </c>
      <c r="E168" s="79">
        <f t="shared" si="5"/>
        <v>6381251</v>
      </c>
      <c r="F168" s="79">
        <f t="shared" si="5"/>
        <v>6406007</v>
      </c>
      <c r="G168" s="79">
        <f t="shared" si="5"/>
        <v>5804950</v>
      </c>
      <c r="H168" s="79">
        <f t="shared" si="5"/>
        <v>6108815</v>
      </c>
      <c r="I168" s="79">
        <f t="shared" si="5"/>
        <v>6490414</v>
      </c>
      <c r="J168" s="79">
        <f t="shared" si="5"/>
        <v>6622910</v>
      </c>
      <c r="K168" s="79">
        <f t="shared" si="5"/>
        <v>6430688</v>
      </c>
    </row>
    <row r="169" spans="2:11" ht="14.4" thickTop="1">
      <c r="B169" s="10"/>
      <c r="C169" s="43"/>
      <c r="D169" s="43"/>
      <c r="E169" s="43"/>
      <c r="F169" s="52"/>
      <c r="G169" s="52"/>
      <c r="H169" s="52"/>
      <c r="I169" s="52"/>
      <c r="J169" s="52"/>
      <c r="K169" s="52"/>
    </row>
    <row r="170" spans="2:11" ht="13.8">
      <c r="B170" s="10"/>
      <c r="C170" s="43"/>
      <c r="D170" s="43"/>
      <c r="E170" s="43"/>
      <c r="F170" s="52"/>
      <c r="G170" s="52"/>
      <c r="H170" s="52"/>
      <c r="I170" s="52"/>
      <c r="J170" s="52"/>
      <c r="K170" s="52"/>
    </row>
    <row r="171" spans="2:11" ht="13.8">
      <c r="B171" s="10"/>
      <c r="C171" s="43"/>
      <c r="D171" s="43"/>
      <c r="E171" s="43"/>
      <c r="F171" s="52"/>
      <c r="G171" s="52"/>
      <c r="H171" s="52"/>
      <c r="I171" s="52"/>
      <c r="J171" s="52"/>
      <c r="K171" s="52"/>
    </row>
    <row r="172" spans="2:11" ht="13.8">
      <c r="B172" s="10"/>
      <c r="C172" s="43"/>
      <c r="D172" s="43"/>
      <c r="E172" s="43"/>
      <c r="F172" s="52"/>
      <c r="G172" s="52"/>
      <c r="H172" s="52"/>
      <c r="I172" s="52"/>
      <c r="J172" s="52"/>
      <c r="K172" s="52"/>
    </row>
    <row r="173" spans="2:11" ht="13.8">
      <c r="B173" s="10"/>
      <c r="C173" s="43"/>
      <c r="D173" s="43"/>
      <c r="E173" s="43"/>
      <c r="F173" s="52"/>
      <c r="G173" s="52"/>
      <c r="H173" s="52"/>
      <c r="I173" s="52"/>
      <c r="J173" s="52"/>
      <c r="K173" s="52"/>
    </row>
    <row r="174" spans="2:11" ht="13.8">
      <c r="B174" s="10"/>
      <c r="C174" s="43"/>
      <c r="D174" s="43"/>
      <c r="E174" s="43"/>
      <c r="F174" s="52"/>
      <c r="G174" s="52"/>
      <c r="H174" s="52"/>
      <c r="I174" s="52"/>
      <c r="J174" s="52"/>
      <c r="K174" s="52"/>
    </row>
    <row r="175" spans="2:11" ht="13.8">
      <c r="B175" s="10"/>
      <c r="C175" s="43"/>
      <c r="D175" s="43"/>
      <c r="E175" s="43"/>
      <c r="F175" s="52"/>
      <c r="G175" s="52"/>
      <c r="H175" s="52"/>
      <c r="I175" s="52"/>
      <c r="J175" s="52"/>
      <c r="K175" s="52"/>
    </row>
    <row r="176" spans="2:11" ht="12.75" customHeight="1">
      <c r="B176" s="10"/>
      <c r="C176" s="43"/>
      <c r="D176" s="43"/>
      <c r="E176" s="43"/>
      <c r="F176" s="52"/>
      <c r="G176" s="52"/>
      <c r="H176" s="52"/>
      <c r="I176" s="52"/>
      <c r="J176" s="52"/>
      <c r="K176" s="52"/>
    </row>
    <row r="177" spans="2:11" ht="18" customHeight="1">
      <c r="B177" s="10"/>
      <c r="C177" s="43"/>
      <c r="D177" s="43"/>
      <c r="E177" s="43"/>
      <c r="F177" s="52"/>
      <c r="G177" s="52"/>
      <c r="H177" s="52"/>
      <c r="I177" s="52"/>
      <c r="J177" s="52"/>
      <c r="K177" s="52"/>
    </row>
    <row r="178" spans="2:11" ht="13.8">
      <c r="B178" s="10"/>
      <c r="C178" s="43"/>
      <c r="D178" s="43"/>
      <c r="E178" s="43"/>
      <c r="F178" s="52"/>
      <c r="G178" s="52"/>
      <c r="H178" s="52"/>
      <c r="I178" s="52"/>
      <c r="J178" s="52"/>
      <c r="K178" s="52"/>
    </row>
    <row r="179" spans="2:11" ht="13.8">
      <c r="B179" s="10"/>
      <c r="C179" s="43"/>
      <c r="D179" s="43"/>
      <c r="E179" s="43"/>
      <c r="F179" s="52"/>
      <c r="G179" s="52"/>
      <c r="H179" s="52"/>
      <c r="I179" s="52"/>
      <c r="J179" s="52"/>
      <c r="K179" s="52"/>
    </row>
    <row r="180" spans="2:11" ht="13.8">
      <c r="B180" s="10"/>
      <c r="C180" s="43"/>
      <c r="D180" s="43"/>
      <c r="E180" s="43"/>
      <c r="F180" s="52"/>
      <c r="G180" s="52"/>
      <c r="H180" s="52"/>
      <c r="I180" s="52"/>
      <c r="J180" s="52"/>
      <c r="K180" s="52"/>
    </row>
    <row r="181" spans="2:11" ht="13.8">
      <c r="B181" s="10"/>
      <c r="C181" s="43"/>
      <c r="D181" s="43"/>
      <c r="E181" s="43"/>
      <c r="F181" s="52"/>
      <c r="G181" s="52"/>
      <c r="H181" s="52"/>
      <c r="I181" s="52"/>
      <c r="J181" s="52"/>
      <c r="K181" s="52"/>
    </row>
    <row r="182" spans="2:11" ht="13.8">
      <c r="B182" s="10"/>
      <c r="C182" s="43"/>
      <c r="D182" s="43"/>
      <c r="E182" s="43"/>
      <c r="F182" s="52"/>
      <c r="G182" s="52"/>
      <c r="H182" s="52"/>
      <c r="I182" s="52"/>
      <c r="J182" s="52"/>
      <c r="K182" s="52"/>
    </row>
    <row r="183" spans="2:11" ht="13.8">
      <c r="B183" s="10"/>
      <c r="C183" s="43"/>
      <c r="D183" s="43"/>
      <c r="E183" s="43"/>
      <c r="F183" s="52"/>
      <c r="G183" s="52"/>
      <c r="H183" s="52"/>
      <c r="I183" s="52"/>
      <c r="J183" s="52"/>
      <c r="K183" s="52"/>
    </row>
    <row r="184" spans="2:11" ht="13.8">
      <c r="B184" s="10"/>
      <c r="C184" s="43"/>
      <c r="D184" s="43"/>
      <c r="E184" s="43"/>
      <c r="F184" s="52"/>
      <c r="G184" s="52"/>
      <c r="H184" s="52"/>
      <c r="I184" s="52"/>
      <c r="J184" s="52"/>
      <c r="K184" s="52"/>
    </row>
    <row r="185" spans="2:11" ht="13.8">
      <c r="B185" s="10"/>
      <c r="C185" s="43"/>
      <c r="D185" s="43"/>
      <c r="E185" s="43"/>
      <c r="F185" s="52"/>
      <c r="G185" s="52"/>
      <c r="H185" s="52"/>
      <c r="I185" s="52"/>
      <c r="J185" s="52"/>
      <c r="K185" s="52"/>
    </row>
    <row r="186" spans="2:11" ht="13.8">
      <c r="B186" s="16"/>
      <c r="C186" s="19"/>
      <c r="D186" s="19"/>
      <c r="E186" s="19"/>
      <c r="F186" s="19"/>
      <c r="G186" s="19"/>
      <c r="H186" s="19"/>
      <c r="I186" s="19"/>
      <c r="J186" s="19"/>
      <c r="K186" s="19"/>
    </row>
    <row r="187" spans="2:11" ht="13.8">
      <c r="B187" s="16"/>
      <c r="C187" s="19"/>
      <c r="D187" s="19"/>
      <c r="E187" s="19"/>
      <c r="F187" s="19"/>
      <c r="G187" s="19"/>
      <c r="H187" s="19"/>
      <c r="I187" s="19"/>
      <c r="J187" s="19"/>
      <c r="K187" s="19"/>
    </row>
    <row r="188" spans="2:11" ht="13.8">
      <c r="B188" s="17"/>
      <c r="C188" s="19"/>
      <c r="D188" s="19"/>
      <c r="E188" s="19"/>
      <c r="F188" s="19"/>
      <c r="G188" s="19"/>
      <c r="H188" s="19"/>
      <c r="I188" s="19"/>
      <c r="J188" s="19"/>
      <c r="K188" s="19"/>
    </row>
    <row r="189" spans="2:11" ht="13.8">
      <c r="B189" s="17"/>
      <c r="C189" s="19"/>
      <c r="D189" s="19"/>
      <c r="E189" s="19"/>
      <c r="F189" s="19"/>
      <c r="G189" s="19"/>
      <c r="H189" s="19"/>
      <c r="I189" s="19"/>
      <c r="J189" s="19"/>
      <c r="K189" s="19"/>
    </row>
    <row r="190" spans="2:11" ht="13.8">
      <c r="B190" s="31"/>
      <c r="C190" s="19"/>
      <c r="D190" s="19"/>
      <c r="E190" s="19"/>
      <c r="F190" s="19"/>
      <c r="G190" s="19"/>
      <c r="H190" s="19"/>
      <c r="I190" s="19"/>
      <c r="J190" s="19"/>
      <c r="K190" s="19"/>
    </row>
    <row r="191" spans="2:11" ht="13.8">
      <c r="B191" s="18"/>
      <c r="C191" s="19"/>
      <c r="D191" s="19"/>
      <c r="E191" s="19"/>
      <c r="F191" s="19"/>
      <c r="G191" s="19"/>
      <c r="H191" s="19"/>
      <c r="I191" s="19"/>
      <c r="J191" s="19"/>
      <c r="K191" s="19"/>
    </row>
    <row r="192" spans="2:11" ht="13.8">
      <c r="B192" s="18"/>
      <c r="C192" s="19"/>
      <c r="D192" s="19"/>
      <c r="E192" s="19"/>
      <c r="F192" s="19"/>
      <c r="G192" s="19"/>
      <c r="H192" s="19"/>
      <c r="I192" s="19"/>
      <c r="J192" s="19"/>
      <c r="K192" s="19"/>
    </row>
    <row r="193" spans="2:11" ht="13.8">
      <c r="B193" s="13"/>
      <c r="C193" s="19"/>
      <c r="D193" s="19"/>
      <c r="E193" s="19"/>
      <c r="F193" s="19"/>
      <c r="G193" s="19"/>
      <c r="H193" s="19"/>
      <c r="I193" s="19"/>
      <c r="J193" s="19"/>
      <c r="K193" s="19"/>
    </row>
    <row r="194" spans="2:11" ht="13.8">
      <c r="B194" s="13"/>
      <c r="C194" s="19"/>
      <c r="D194" s="19"/>
      <c r="E194" s="19"/>
      <c r="F194" s="19"/>
      <c r="G194" s="19"/>
      <c r="H194" s="19"/>
      <c r="I194" s="19"/>
      <c r="J194" s="19"/>
      <c r="K194" s="19"/>
    </row>
    <row r="195" spans="2:11" ht="13.8">
      <c r="B195" s="13"/>
      <c r="C195" s="19"/>
      <c r="D195" s="19"/>
      <c r="E195" s="19"/>
      <c r="F195" s="19"/>
      <c r="G195" s="19"/>
      <c r="H195" s="19"/>
      <c r="I195" s="19"/>
      <c r="J195" s="19"/>
      <c r="K195" s="19"/>
    </row>
    <row r="196" spans="2:11" ht="13.8">
      <c r="B196" s="13"/>
      <c r="C196" s="19"/>
      <c r="D196" s="19"/>
      <c r="E196" s="19"/>
      <c r="F196" s="19"/>
      <c r="G196" s="19"/>
      <c r="H196" s="19"/>
      <c r="I196" s="19"/>
      <c r="J196" s="19"/>
      <c r="K196" s="19"/>
    </row>
    <row r="197" spans="2:11" ht="13.8">
      <c r="B197" s="13"/>
      <c r="C197" s="19"/>
      <c r="D197" s="19"/>
      <c r="E197" s="19"/>
      <c r="F197" s="19"/>
      <c r="G197" s="19"/>
      <c r="H197" s="19"/>
      <c r="I197" s="19"/>
      <c r="J197" s="19"/>
      <c r="K197" s="19"/>
    </row>
    <row r="198" spans="2:11" ht="13.8">
      <c r="B198" s="13"/>
      <c r="C198" s="19"/>
      <c r="D198" s="19"/>
      <c r="E198" s="19"/>
      <c r="F198" s="19"/>
      <c r="G198" s="19"/>
      <c r="H198" s="19"/>
      <c r="I198" s="19"/>
      <c r="J198" s="19"/>
      <c r="K198" s="19"/>
    </row>
    <row r="199" spans="2:11" ht="13.8">
      <c r="B199" s="13"/>
      <c r="C199" s="19"/>
      <c r="D199" s="19"/>
      <c r="E199" s="19"/>
      <c r="F199" s="19"/>
      <c r="G199" s="19"/>
      <c r="H199" s="19"/>
      <c r="I199" s="19"/>
      <c r="J199" s="19"/>
      <c r="K199" s="19"/>
    </row>
    <row r="200" spans="2:11" ht="13.8">
      <c r="B200" s="13"/>
      <c r="C200" s="19"/>
      <c r="D200" s="19"/>
      <c r="E200" s="19"/>
      <c r="F200" s="19"/>
      <c r="G200" s="19"/>
      <c r="H200" s="19"/>
      <c r="I200" s="19"/>
      <c r="J200" s="19"/>
      <c r="K200" s="19"/>
    </row>
    <row r="201" spans="2:11" ht="13.8">
      <c r="B201" s="13"/>
      <c r="C201" s="19"/>
      <c r="D201" s="19"/>
      <c r="E201" s="19"/>
      <c r="F201" s="19"/>
      <c r="G201" s="19"/>
      <c r="H201" s="19"/>
      <c r="I201" s="19"/>
      <c r="J201" s="19"/>
      <c r="K201" s="19"/>
    </row>
    <row r="202" spans="2:11" ht="13.8">
      <c r="B202" s="13"/>
      <c r="C202" s="19"/>
      <c r="D202" s="19"/>
      <c r="E202" s="19"/>
      <c r="F202" s="19"/>
      <c r="G202" s="19"/>
      <c r="H202" s="19"/>
      <c r="I202" s="19"/>
      <c r="J202" s="19"/>
      <c r="K202" s="19"/>
    </row>
    <row r="205" spans="2:11" ht="17.399999999999999">
      <c r="B205" s="469"/>
      <c r="C205" s="469"/>
      <c r="D205" s="469"/>
      <c r="E205" s="469"/>
      <c r="F205" s="469"/>
      <c r="G205" s="469"/>
      <c r="H205" s="469"/>
      <c r="I205" s="469"/>
      <c r="J205" s="469"/>
      <c r="K205" s="24"/>
    </row>
    <row r="206" spans="2:11" ht="13.8">
      <c r="B206" s="25"/>
      <c r="C206" s="19"/>
      <c r="D206" s="19"/>
      <c r="E206" s="19"/>
      <c r="F206" s="19"/>
      <c r="G206" s="19"/>
      <c r="H206" s="19"/>
      <c r="I206" s="19"/>
      <c r="J206" s="19"/>
      <c r="K206" s="19"/>
    </row>
    <row r="207" spans="2:11">
      <c r="B207" s="473"/>
      <c r="C207" s="473"/>
      <c r="D207" s="473"/>
      <c r="E207" s="473"/>
      <c r="F207" s="473"/>
      <c r="G207" s="473"/>
      <c r="H207" s="473"/>
      <c r="I207" s="473"/>
      <c r="J207" s="473"/>
      <c r="K207" s="24"/>
    </row>
    <row r="208" spans="2:11" ht="20.25" customHeight="1">
      <c r="B208" s="473"/>
      <c r="C208" s="473"/>
      <c r="D208" s="473"/>
      <c r="E208" s="473"/>
      <c r="F208" s="473"/>
      <c r="G208" s="473"/>
      <c r="H208" s="473"/>
      <c r="I208" s="473"/>
      <c r="J208" s="473"/>
      <c r="K208" s="24"/>
    </row>
    <row r="209" spans="2:11" ht="13.8">
      <c r="B209" s="26"/>
      <c r="C209" s="27"/>
      <c r="D209" s="27"/>
      <c r="E209" s="27"/>
      <c r="F209" s="27"/>
      <c r="G209" s="27"/>
      <c r="H209" s="19"/>
      <c r="I209" s="19"/>
      <c r="J209" s="19"/>
      <c r="K209" s="19"/>
    </row>
    <row r="210" spans="2:11" ht="13.8">
      <c r="B210" s="28"/>
      <c r="C210" s="19"/>
      <c r="D210" s="22"/>
      <c r="E210" s="22"/>
      <c r="F210" s="22"/>
      <c r="G210" s="19"/>
      <c r="H210" s="19"/>
      <c r="I210" s="19"/>
      <c r="J210" s="19"/>
      <c r="K210" s="19"/>
    </row>
    <row r="211" spans="2:11" ht="13.8">
      <c r="B211" s="20"/>
      <c r="C211" s="22"/>
      <c r="D211" s="22"/>
      <c r="E211" s="22"/>
      <c r="F211" s="22"/>
      <c r="G211" s="22"/>
      <c r="H211" s="22"/>
      <c r="I211" s="22"/>
      <c r="J211" s="22"/>
      <c r="K211" s="22"/>
    </row>
    <row r="212" spans="2:11" ht="13.8">
      <c r="B212" s="13"/>
      <c r="C212" s="22"/>
      <c r="D212" s="22"/>
      <c r="E212" s="30"/>
      <c r="F212" s="30"/>
      <c r="G212" s="30"/>
      <c r="H212" s="30"/>
      <c r="I212" s="30"/>
      <c r="J212" s="30"/>
      <c r="K212" s="30"/>
    </row>
    <row r="213" spans="2:11" ht="13.8">
      <c r="B213" s="13"/>
      <c r="C213" s="22"/>
      <c r="D213" s="19"/>
      <c r="E213" s="19"/>
      <c r="F213" s="19"/>
      <c r="G213" s="19"/>
      <c r="H213" s="19"/>
      <c r="I213" s="19"/>
      <c r="J213" s="19"/>
      <c r="K213" s="19"/>
    </row>
    <row r="214" spans="2:11" ht="13.8">
      <c r="B214" s="31"/>
      <c r="C214" s="19"/>
      <c r="D214" s="19"/>
      <c r="E214" s="19"/>
      <c r="F214" s="19"/>
      <c r="G214" s="19"/>
      <c r="H214" s="19"/>
      <c r="I214" s="19"/>
      <c r="J214" s="19"/>
      <c r="K214" s="19"/>
    </row>
    <row r="215" spans="2:11" ht="13.8">
      <c r="B215" s="33"/>
      <c r="C215" s="19"/>
      <c r="D215" s="19"/>
      <c r="E215" s="19"/>
      <c r="F215" s="19"/>
      <c r="G215" s="19"/>
      <c r="H215" s="19"/>
      <c r="I215" s="19"/>
      <c r="J215" s="19"/>
      <c r="K215" s="19"/>
    </row>
    <row r="216" spans="2:11" ht="13.8">
      <c r="B216" s="33"/>
      <c r="C216" s="19"/>
      <c r="D216" s="19"/>
      <c r="E216" s="19"/>
      <c r="F216" s="19"/>
      <c r="G216" s="19"/>
      <c r="H216" s="19"/>
      <c r="I216" s="19"/>
      <c r="J216" s="19"/>
      <c r="K216" s="19"/>
    </row>
    <row r="217" spans="2:11" ht="13.8">
      <c r="B217" s="33"/>
      <c r="C217" s="19"/>
      <c r="D217" s="19"/>
      <c r="E217" s="19"/>
      <c r="F217" s="19"/>
      <c r="G217" s="19"/>
      <c r="H217" s="19"/>
      <c r="I217" s="19"/>
      <c r="J217" s="19"/>
      <c r="K217" s="19"/>
    </row>
    <row r="218" spans="2:11" ht="13.8">
      <c r="B218" s="33"/>
      <c r="C218" s="19"/>
      <c r="D218" s="19"/>
      <c r="E218" s="19"/>
      <c r="F218" s="19"/>
      <c r="G218" s="19"/>
      <c r="H218" s="19"/>
      <c r="I218" s="19"/>
      <c r="J218" s="19"/>
      <c r="K218" s="19"/>
    </row>
    <row r="219" spans="2:11" ht="13.8">
      <c r="B219" s="16"/>
      <c r="C219" s="19"/>
      <c r="D219" s="19"/>
      <c r="E219" s="19"/>
      <c r="F219" s="19"/>
      <c r="G219" s="19"/>
      <c r="H219" s="19"/>
      <c r="I219" s="19"/>
      <c r="J219" s="19"/>
      <c r="K219" s="19"/>
    </row>
    <row r="220" spans="2:11" ht="13.8">
      <c r="B220" s="13"/>
      <c r="C220" s="19"/>
      <c r="D220" s="19"/>
      <c r="E220" s="19"/>
      <c r="F220" s="19"/>
      <c r="G220" s="19"/>
      <c r="H220" s="19"/>
      <c r="I220" s="19"/>
      <c r="J220" s="19"/>
      <c r="K220" s="19"/>
    </row>
    <row r="221" spans="2:11" ht="13.8">
      <c r="B221" s="31"/>
      <c r="C221" s="19"/>
      <c r="D221" s="19"/>
      <c r="E221" s="19"/>
      <c r="F221" s="19"/>
      <c r="G221" s="19"/>
      <c r="H221" s="19"/>
      <c r="I221" s="19"/>
      <c r="J221" s="19"/>
      <c r="K221" s="19"/>
    </row>
    <row r="222" spans="2:11" ht="13.8">
      <c r="B222" s="15"/>
      <c r="C222" s="19"/>
      <c r="D222" s="19"/>
      <c r="E222" s="19"/>
      <c r="F222" s="19"/>
      <c r="G222" s="19"/>
      <c r="H222" s="19"/>
      <c r="I222" s="19"/>
      <c r="J222" s="19"/>
      <c r="K222" s="19"/>
    </row>
    <row r="223" spans="2:11" ht="13.8">
      <c r="B223" s="15"/>
      <c r="C223" s="19"/>
      <c r="D223" s="19"/>
      <c r="E223" s="19"/>
      <c r="F223" s="19"/>
      <c r="G223" s="19"/>
      <c r="H223" s="19"/>
      <c r="I223" s="19"/>
      <c r="J223" s="19"/>
      <c r="K223" s="19"/>
    </row>
    <row r="224" spans="2:11" ht="13.8">
      <c r="B224" s="16"/>
      <c r="C224" s="19"/>
      <c r="D224" s="19"/>
      <c r="E224" s="19"/>
      <c r="F224" s="19"/>
      <c r="G224" s="19"/>
      <c r="H224" s="19"/>
      <c r="I224" s="19"/>
      <c r="J224" s="19"/>
      <c r="K224" s="19"/>
    </row>
    <row r="225" spans="2:11" ht="13.8">
      <c r="B225" s="16"/>
      <c r="C225" s="19"/>
      <c r="D225" s="19"/>
      <c r="E225" s="19"/>
      <c r="F225" s="19"/>
      <c r="G225" s="19"/>
      <c r="H225" s="19"/>
      <c r="I225" s="19"/>
      <c r="J225" s="19"/>
      <c r="K225" s="19"/>
    </row>
    <row r="226" spans="2:11" ht="13.8">
      <c r="B226" s="17"/>
      <c r="C226" s="19"/>
      <c r="D226" s="19"/>
      <c r="E226" s="19"/>
      <c r="F226" s="19"/>
      <c r="G226" s="19"/>
      <c r="H226" s="19"/>
      <c r="I226" s="19"/>
      <c r="J226" s="19"/>
      <c r="K226" s="19"/>
    </row>
    <row r="227" spans="2:11" ht="13.8">
      <c r="B227" s="17"/>
      <c r="C227" s="19"/>
      <c r="D227" s="19"/>
      <c r="E227" s="19"/>
      <c r="F227" s="19"/>
      <c r="G227" s="19"/>
      <c r="H227" s="19"/>
      <c r="I227" s="19"/>
      <c r="J227" s="19"/>
      <c r="K227" s="19"/>
    </row>
    <row r="228" spans="2:11" ht="13.8">
      <c r="B228" s="31"/>
      <c r="C228" s="19"/>
      <c r="D228" s="19"/>
      <c r="E228" s="19"/>
      <c r="F228" s="19"/>
      <c r="G228" s="19"/>
      <c r="H228" s="19"/>
      <c r="I228" s="19"/>
      <c r="J228" s="19"/>
      <c r="K228" s="19"/>
    </row>
    <row r="229" spans="2:11" ht="13.8">
      <c r="B229" s="18"/>
      <c r="C229" s="19"/>
      <c r="D229" s="19"/>
      <c r="E229" s="19"/>
      <c r="F229" s="19"/>
      <c r="G229" s="19"/>
      <c r="H229" s="19"/>
      <c r="I229" s="19"/>
      <c r="J229" s="19"/>
      <c r="K229" s="19"/>
    </row>
    <row r="230" spans="2:11" ht="13.8">
      <c r="B230" s="13"/>
      <c r="C230" s="19"/>
      <c r="D230" s="19"/>
      <c r="E230" s="19"/>
      <c r="F230" s="19"/>
      <c r="G230" s="19"/>
      <c r="H230" s="19"/>
      <c r="I230" s="19"/>
      <c r="J230" s="19"/>
      <c r="K230" s="19"/>
    </row>
    <row r="231" spans="2:11" ht="13.8">
      <c r="B231" s="13"/>
      <c r="C231" s="19"/>
      <c r="D231" s="19"/>
      <c r="E231" s="19"/>
      <c r="F231" s="19"/>
      <c r="G231" s="19"/>
      <c r="H231" s="19"/>
      <c r="I231" s="19"/>
      <c r="J231" s="19"/>
      <c r="K231" s="19"/>
    </row>
    <row r="232" spans="2:11" ht="13.8">
      <c r="B232" s="13"/>
      <c r="C232" s="19"/>
      <c r="D232" s="19"/>
      <c r="E232" s="19"/>
      <c r="F232" s="19"/>
      <c r="G232" s="19"/>
      <c r="H232" s="19"/>
      <c r="I232" s="19"/>
      <c r="J232" s="19"/>
      <c r="K232" s="19"/>
    </row>
    <row r="233" spans="2:11" ht="13.8">
      <c r="B233" s="13"/>
      <c r="C233" s="19"/>
      <c r="D233" s="19"/>
      <c r="E233" s="19"/>
      <c r="F233" s="19"/>
      <c r="G233" s="19"/>
      <c r="H233" s="19"/>
      <c r="I233" s="19"/>
      <c r="J233" s="19"/>
      <c r="K233" s="19"/>
    </row>
    <row r="234" spans="2:11" ht="13.8">
      <c r="B234" s="13"/>
      <c r="C234" s="19"/>
      <c r="D234" s="19"/>
      <c r="E234" s="19"/>
      <c r="F234" s="19"/>
      <c r="G234" s="19"/>
      <c r="H234" s="19"/>
      <c r="I234" s="19"/>
      <c r="J234" s="19"/>
      <c r="K234" s="19"/>
    </row>
    <row r="235" spans="2:11" ht="13.8">
      <c r="B235" s="13"/>
      <c r="C235" s="19"/>
      <c r="D235" s="19"/>
      <c r="E235" s="19"/>
      <c r="F235" s="19"/>
      <c r="G235" s="19"/>
      <c r="H235" s="19"/>
      <c r="I235" s="19"/>
      <c r="J235" s="19"/>
      <c r="K235" s="19"/>
    </row>
    <row r="236" spans="2:11" ht="13.8">
      <c r="B236" s="13"/>
      <c r="C236" s="19"/>
      <c r="D236" s="19"/>
      <c r="E236" s="19"/>
      <c r="F236" s="19"/>
      <c r="G236" s="19"/>
      <c r="H236" s="19"/>
      <c r="I236" s="19"/>
      <c r="J236" s="19"/>
      <c r="K236" s="19"/>
    </row>
    <row r="237" spans="2:11" ht="13.8">
      <c r="B237" s="13"/>
      <c r="C237" s="19"/>
      <c r="D237" s="19"/>
      <c r="E237" s="19"/>
      <c r="F237" s="19"/>
      <c r="G237" s="19"/>
      <c r="H237" s="19"/>
      <c r="I237" s="19"/>
      <c r="J237" s="19"/>
      <c r="K237" s="19"/>
    </row>
    <row r="238" spans="2:11" ht="13.8">
      <c r="B238" s="13"/>
      <c r="C238" s="19"/>
      <c r="D238" s="19"/>
      <c r="E238" s="19"/>
      <c r="F238" s="19"/>
      <c r="G238" s="19"/>
      <c r="H238" s="19"/>
      <c r="I238" s="19"/>
      <c r="J238" s="19"/>
      <c r="K238" s="19"/>
    </row>
    <row r="239" spans="2:11" ht="13.8">
      <c r="B239" s="13"/>
      <c r="C239" s="19"/>
      <c r="D239" s="19"/>
      <c r="E239" s="19"/>
      <c r="F239" s="19"/>
      <c r="G239" s="19"/>
      <c r="H239" s="19"/>
      <c r="I239" s="19"/>
      <c r="J239" s="19"/>
      <c r="K239" s="19"/>
    </row>
    <row r="240" spans="2:11" ht="13.8">
      <c r="B240" s="13"/>
      <c r="C240" s="19"/>
      <c r="D240" s="19"/>
      <c r="E240" s="19"/>
      <c r="F240" s="19"/>
      <c r="G240" s="19"/>
      <c r="H240" s="19"/>
      <c r="I240" s="19"/>
      <c r="J240" s="19"/>
      <c r="K240" s="19"/>
    </row>
    <row r="242" spans="2:11" ht="17.399999999999999">
      <c r="B242" s="469"/>
      <c r="C242" s="469"/>
      <c r="D242" s="469"/>
      <c r="E242" s="469"/>
      <c r="F242" s="469"/>
      <c r="G242" s="469"/>
      <c r="H242" s="469"/>
      <c r="I242" s="469"/>
      <c r="J242" s="469"/>
      <c r="K242" s="24"/>
    </row>
    <row r="243" spans="2:11" ht="13.8">
      <c r="B243" s="25"/>
      <c r="C243" s="19"/>
      <c r="D243" s="19"/>
      <c r="E243" s="19"/>
      <c r="F243" s="19"/>
      <c r="G243" s="19"/>
      <c r="H243" s="19"/>
      <c r="I243" s="19"/>
      <c r="J243" s="19"/>
      <c r="K243" s="19"/>
    </row>
    <row r="244" spans="2:11" ht="13.8">
      <c r="B244" s="473"/>
      <c r="C244" s="473"/>
      <c r="D244" s="473"/>
      <c r="E244" s="473"/>
      <c r="F244" s="473"/>
      <c r="G244" s="473"/>
      <c r="H244" s="473"/>
      <c r="I244" s="473"/>
      <c r="J244" s="473"/>
      <c r="K244" s="24"/>
    </row>
    <row r="245" spans="2:11" ht="13.8">
      <c r="B245" s="26"/>
      <c r="C245" s="27"/>
      <c r="D245" s="27"/>
      <c r="E245" s="27"/>
      <c r="F245" s="27"/>
      <c r="G245" s="27"/>
      <c r="H245" s="19"/>
      <c r="I245" s="19"/>
      <c r="J245" s="19"/>
      <c r="K245" s="19"/>
    </row>
    <row r="246" spans="2:11" ht="13.8">
      <c r="B246" s="28"/>
      <c r="C246" s="19"/>
      <c r="D246" s="22"/>
      <c r="E246" s="22"/>
      <c r="F246" s="22"/>
      <c r="G246" s="19"/>
      <c r="H246" s="19"/>
      <c r="I246" s="19"/>
      <c r="J246" s="19"/>
      <c r="K246" s="19"/>
    </row>
    <row r="247" spans="2:11" ht="13.8">
      <c r="B247" s="20"/>
      <c r="C247" s="22"/>
      <c r="D247" s="29"/>
      <c r="E247" s="22"/>
      <c r="F247" s="22"/>
      <c r="G247" s="22"/>
      <c r="H247" s="22"/>
      <c r="I247" s="22"/>
      <c r="J247" s="22"/>
      <c r="K247" s="22"/>
    </row>
    <row r="248" spans="2:11" ht="13.8">
      <c r="B248" s="13"/>
      <c r="C248" s="22"/>
      <c r="D248" s="22"/>
      <c r="E248" s="30"/>
      <c r="F248" s="30"/>
      <c r="G248" s="30"/>
      <c r="H248" s="30"/>
      <c r="I248" s="30"/>
      <c r="J248" s="30"/>
      <c r="K248" s="30"/>
    </row>
    <row r="249" spans="2:11" ht="13.8">
      <c r="B249" s="13"/>
      <c r="C249" s="22"/>
      <c r="D249" s="19"/>
      <c r="E249" s="19"/>
      <c r="F249" s="19"/>
      <c r="G249" s="19"/>
      <c r="H249" s="19"/>
      <c r="I249" s="19"/>
      <c r="J249" s="19"/>
      <c r="K249" s="19"/>
    </row>
    <row r="250" spans="2:11" ht="13.8">
      <c r="B250" s="31"/>
      <c r="C250" s="19"/>
      <c r="D250" s="19"/>
      <c r="E250" s="19"/>
      <c r="F250" s="19"/>
      <c r="G250" s="19"/>
      <c r="H250" s="19"/>
      <c r="I250" s="19"/>
      <c r="J250" s="19"/>
      <c r="K250" s="19"/>
    </row>
    <row r="251" spans="2:11" ht="13.8">
      <c r="B251" s="33"/>
      <c r="C251" s="19"/>
      <c r="D251" s="19"/>
      <c r="E251" s="19"/>
      <c r="F251" s="19"/>
      <c r="G251" s="19"/>
      <c r="H251" s="19"/>
      <c r="I251" s="19"/>
      <c r="J251" s="19"/>
      <c r="K251" s="19"/>
    </row>
    <row r="252" spans="2:11" ht="13.8">
      <c r="B252" s="33"/>
      <c r="C252" s="19"/>
      <c r="D252" s="19"/>
      <c r="E252" s="19"/>
      <c r="F252" s="19"/>
      <c r="G252" s="19"/>
      <c r="H252" s="19"/>
      <c r="I252" s="19"/>
      <c r="J252" s="19"/>
      <c r="K252" s="19"/>
    </row>
    <row r="253" spans="2:11" ht="13.8">
      <c r="B253" s="33"/>
      <c r="C253" s="19"/>
      <c r="D253" s="19"/>
      <c r="E253" s="19"/>
      <c r="F253" s="19"/>
      <c r="G253" s="19"/>
      <c r="H253" s="19"/>
      <c r="I253" s="19"/>
      <c r="J253" s="19"/>
      <c r="K253" s="19"/>
    </row>
    <row r="254" spans="2:11" ht="13.8">
      <c r="B254" s="33"/>
      <c r="C254" s="19"/>
      <c r="D254" s="19"/>
      <c r="E254" s="19"/>
      <c r="F254" s="19"/>
      <c r="G254" s="19"/>
      <c r="H254" s="19"/>
      <c r="I254" s="19"/>
      <c r="J254" s="19"/>
      <c r="K254" s="19"/>
    </row>
    <row r="255" spans="2:11" ht="13.8">
      <c r="B255" s="33"/>
      <c r="C255" s="19"/>
      <c r="D255" s="19"/>
      <c r="E255" s="19"/>
      <c r="F255" s="19"/>
      <c r="G255" s="19"/>
      <c r="H255" s="19"/>
      <c r="I255" s="19"/>
      <c r="J255" s="19"/>
      <c r="K255" s="19"/>
    </row>
    <row r="256" spans="2:11" ht="13.8">
      <c r="B256" s="33"/>
      <c r="C256" s="19"/>
      <c r="D256" s="19"/>
      <c r="E256" s="19"/>
      <c r="F256" s="19"/>
      <c r="G256" s="19"/>
      <c r="H256" s="19"/>
      <c r="I256" s="19"/>
      <c r="J256" s="19"/>
      <c r="K256" s="19"/>
    </row>
    <row r="257" spans="2:11" ht="13.8">
      <c r="B257" s="16"/>
      <c r="C257" s="19"/>
      <c r="D257" s="19"/>
      <c r="E257" s="19"/>
      <c r="F257" s="19"/>
      <c r="G257" s="19"/>
      <c r="H257" s="19"/>
      <c r="I257" s="19"/>
      <c r="J257" s="19"/>
      <c r="K257" s="19"/>
    </row>
    <row r="258" spans="2:11" ht="13.8">
      <c r="B258" s="13"/>
      <c r="C258" s="19"/>
      <c r="D258" s="19"/>
      <c r="E258" s="19"/>
      <c r="F258" s="19"/>
      <c r="G258" s="19"/>
      <c r="H258" s="19"/>
      <c r="I258" s="19"/>
      <c r="J258" s="19"/>
      <c r="K258" s="19"/>
    </row>
    <row r="259" spans="2:11" ht="13.8">
      <c r="B259" s="31"/>
      <c r="C259" s="19"/>
      <c r="D259" s="19"/>
      <c r="E259" s="19"/>
      <c r="F259" s="19"/>
      <c r="G259" s="19"/>
      <c r="H259" s="19"/>
      <c r="I259" s="19"/>
      <c r="J259" s="19"/>
      <c r="K259" s="19"/>
    </row>
    <row r="260" spans="2:11" ht="13.8">
      <c r="B260" s="15"/>
      <c r="C260" s="19"/>
      <c r="D260" s="19"/>
      <c r="E260" s="19"/>
      <c r="F260" s="19"/>
      <c r="G260" s="19"/>
      <c r="H260" s="19"/>
      <c r="I260" s="19"/>
      <c r="J260" s="19"/>
      <c r="K260" s="19"/>
    </row>
    <row r="261" spans="2:11" ht="13.8">
      <c r="B261" s="15"/>
      <c r="C261" s="19"/>
      <c r="D261" s="19"/>
      <c r="E261" s="19"/>
      <c r="F261" s="19"/>
      <c r="G261" s="19"/>
      <c r="H261" s="19"/>
      <c r="I261" s="19"/>
      <c r="J261" s="19"/>
      <c r="K261" s="19"/>
    </row>
    <row r="262" spans="2:11" ht="13.8">
      <c r="B262" s="15"/>
      <c r="C262" s="19"/>
      <c r="D262" s="19"/>
      <c r="E262" s="19"/>
      <c r="F262" s="19"/>
      <c r="G262" s="19"/>
      <c r="H262" s="19"/>
      <c r="I262" s="19"/>
      <c r="J262" s="19"/>
      <c r="K262" s="19"/>
    </row>
    <row r="263" spans="2:11" ht="13.8">
      <c r="B263" s="16"/>
      <c r="C263" s="19"/>
      <c r="D263" s="19"/>
      <c r="E263" s="19"/>
      <c r="F263" s="19"/>
      <c r="G263" s="19"/>
      <c r="H263" s="19"/>
      <c r="I263" s="19"/>
      <c r="J263" s="19"/>
      <c r="K263" s="19"/>
    </row>
    <row r="264" spans="2:11" ht="13.8">
      <c r="B264" s="16"/>
      <c r="C264" s="19"/>
      <c r="D264" s="19"/>
      <c r="E264" s="19"/>
      <c r="F264" s="19"/>
      <c r="G264" s="19"/>
      <c r="H264" s="19"/>
      <c r="I264" s="19"/>
      <c r="J264" s="19"/>
      <c r="K264" s="19"/>
    </row>
    <row r="265" spans="2:11" ht="13.8">
      <c r="B265" s="17"/>
      <c r="C265" s="19"/>
      <c r="D265" s="19"/>
      <c r="E265" s="19"/>
      <c r="F265" s="19"/>
      <c r="G265" s="19"/>
      <c r="H265" s="19"/>
      <c r="I265" s="19"/>
      <c r="J265" s="19"/>
      <c r="K265" s="19"/>
    </row>
    <row r="266" spans="2:11" ht="13.8">
      <c r="B266" s="17"/>
      <c r="C266" s="19"/>
      <c r="D266" s="19"/>
      <c r="E266" s="19"/>
      <c r="F266" s="19"/>
      <c r="G266" s="19"/>
      <c r="H266" s="19"/>
      <c r="I266" s="19"/>
      <c r="J266" s="19"/>
      <c r="K266" s="19"/>
    </row>
    <row r="267" spans="2:11" ht="13.8">
      <c r="B267" s="31"/>
      <c r="C267" s="19"/>
      <c r="D267" s="19"/>
      <c r="E267" s="19"/>
      <c r="F267" s="19"/>
      <c r="G267" s="19"/>
      <c r="H267" s="19"/>
      <c r="I267" s="19"/>
      <c r="J267" s="19"/>
      <c r="K267" s="19"/>
    </row>
    <row r="268" spans="2:11" ht="13.8">
      <c r="B268" s="18"/>
      <c r="C268" s="19"/>
      <c r="D268" s="19"/>
      <c r="E268" s="19"/>
      <c r="F268" s="19"/>
      <c r="G268" s="19"/>
      <c r="H268" s="19"/>
      <c r="I268" s="19"/>
      <c r="J268" s="19"/>
      <c r="K268" s="19"/>
    </row>
    <row r="269" spans="2:11" ht="13.8">
      <c r="B269" s="18"/>
      <c r="C269" s="19"/>
      <c r="D269" s="19"/>
      <c r="E269" s="19"/>
      <c r="F269" s="19"/>
      <c r="G269" s="19"/>
      <c r="H269" s="19"/>
      <c r="I269" s="19"/>
      <c r="J269" s="19"/>
      <c r="K269" s="19"/>
    </row>
    <row r="270" spans="2:11" ht="13.8">
      <c r="B270" s="13"/>
      <c r="C270" s="19"/>
      <c r="D270" s="19"/>
      <c r="E270" s="19"/>
      <c r="F270" s="19"/>
      <c r="G270" s="19"/>
      <c r="H270" s="19"/>
      <c r="I270" s="19"/>
      <c r="J270" s="19"/>
      <c r="K270" s="19"/>
    </row>
    <row r="271" spans="2:11" ht="13.8">
      <c r="B271" s="13"/>
      <c r="C271" s="19"/>
      <c r="D271" s="19"/>
      <c r="E271" s="19"/>
      <c r="F271" s="19"/>
      <c r="G271" s="19"/>
      <c r="H271" s="19"/>
      <c r="I271" s="19"/>
      <c r="J271" s="19"/>
      <c r="K271" s="19"/>
    </row>
    <row r="272" spans="2:11" ht="13.8">
      <c r="B272" s="13"/>
      <c r="C272" s="19"/>
      <c r="D272" s="19"/>
      <c r="E272" s="19"/>
      <c r="F272" s="19"/>
      <c r="G272" s="19"/>
      <c r="H272" s="19"/>
      <c r="I272" s="19"/>
      <c r="J272" s="19"/>
      <c r="K272" s="19"/>
    </row>
    <row r="273" spans="2:11" ht="13.8">
      <c r="B273" s="13"/>
      <c r="C273" s="19"/>
      <c r="D273" s="19"/>
      <c r="E273" s="19"/>
      <c r="F273" s="19"/>
      <c r="G273" s="19"/>
      <c r="H273" s="19"/>
      <c r="I273" s="19"/>
      <c r="J273" s="19"/>
      <c r="K273" s="19"/>
    </row>
    <row r="274" spans="2:11" ht="13.8">
      <c r="B274" s="13"/>
      <c r="C274" s="19"/>
      <c r="D274" s="19"/>
      <c r="E274" s="19"/>
      <c r="F274" s="19"/>
      <c r="G274" s="19"/>
      <c r="H274" s="19"/>
      <c r="I274" s="19"/>
      <c r="J274" s="19"/>
      <c r="K274" s="19"/>
    </row>
    <row r="275" spans="2:11" ht="13.8">
      <c r="B275" s="13"/>
      <c r="C275" s="19"/>
      <c r="D275" s="19"/>
      <c r="E275" s="19"/>
      <c r="F275" s="19"/>
      <c r="G275" s="19"/>
      <c r="H275" s="19"/>
      <c r="I275" s="19"/>
      <c r="J275" s="19"/>
      <c r="K275" s="19"/>
    </row>
    <row r="276" spans="2:11" ht="13.8">
      <c r="B276" s="13"/>
      <c r="C276" s="19"/>
      <c r="D276" s="19"/>
      <c r="E276" s="19"/>
      <c r="F276" s="19"/>
      <c r="G276" s="19"/>
      <c r="H276" s="19"/>
      <c r="I276" s="19"/>
      <c r="J276" s="19"/>
      <c r="K276" s="19"/>
    </row>
    <row r="277" spans="2:11" ht="13.8">
      <c r="B277" s="13"/>
      <c r="C277" s="19"/>
      <c r="D277" s="19"/>
      <c r="E277" s="19"/>
      <c r="F277" s="19"/>
      <c r="G277" s="19"/>
      <c r="H277" s="19"/>
      <c r="I277" s="19"/>
      <c r="J277" s="19"/>
      <c r="K277" s="19"/>
    </row>
    <row r="278" spans="2:11" ht="13.8">
      <c r="B278" s="13"/>
      <c r="C278" s="19"/>
      <c r="D278" s="19"/>
      <c r="E278" s="19"/>
      <c r="F278" s="19"/>
      <c r="G278" s="19"/>
      <c r="H278" s="19"/>
      <c r="I278" s="19"/>
      <c r="J278" s="19"/>
      <c r="K278" s="19"/>
    </row>
    <row r="279" spans="2:11" ht="13.8">
      <c r="B279" s="13"/>
      <c r="C279" s="19"/>
      <c r="D279" s="19"/>
      <c r="E279" s="19"/>
      <c r="F279" s="19"/>
      <c r="G279" s="19"/>
      <c r="H279" s="19"/>
      <c r="I279" s="19"/>
      <c r="J279" s="19"/>
      <c r="K279" s="19"/>
    </row>
    <row r="282" spans="2:11" ht="17.399999999999999">
      <c r="B282" s="469"/>
      <c r="C282" s="469"/>
      <c r="D282" s="469"/>
      <c r="E282" s="469"/>
      <c r="F282" s="469"/>
      <c r="G282" s="469"/>
      <c r="H282" s="469"/>
      <c r="I282" s="469"/>
      <c r="J282" s="469"/>
      <c r="K282" s="24"/>
    </row>
    <row r="283" spans="2:11" ht="13.8">
      <c r="B283" s="25"/>
      <c r="C283" s="19"/>
      <c r="D283" s="19"/>
      <c r="E283" s="19"/>
      <c r="F283" s="19"/>
      <c r="G283" s="19"/>
      <c r="H283" s="19"/>
      <c r="I283" s="19"/>
      <c r="J283" s="19"/>
      <c r="K283" s="19"/>
    </row>
    <row r="284" spans="2:11">
      <c r="B284" s="473"/>
      <c r="C284" s="473"/>
      <c r="D284" s="473"/>
      <c r="E284" s="473"/>
      <c r="F284" s="473"/>
      <c r="G284" s="473"/>
      <c r="H284" s="473"/>
      <c r="I284" s="473"/>
      <c r="J284" s="473"/>
      <c r="K284" s="24"/>
    </row>
    <row r="285" spans="2:11" ht="20.25" customHeight="1">
      <c r="B285" s="473"/>
      <c r="C285" s="473"/>
      <c r="D285" s="473"/>
      <c r="E285" s="473"/>
      <c r="F285" s="473"/>
      <c r="G285" s="473"/>
      <c r="H285" s="473"/>
      <c r="I285" s="473"/>
      <c r="J285" s="473"/>
      <c r="K285" s="24"/>
    </row>
    <row r="286" spans="2:11" ht="13.8">
      <c r="B286" s="26"/>
      <c r="C286" s="27"/>
      <c r="D286" s="27"/>
      <c r="E286" s="27"/>
      <c r="F286" s="27"/>
      <c r="G286" s="27"/>
      <c r="H286" s="27"/>
      <c r="I286" s="27"/>
      <c r="J286" s="27"/>
      <c r="K286" s="27"/>
    </row>
    <row r="287" spans="2:11" ht="13.8">
      <c r="B287" s="28"/>
      <c r="C287" s="19"/>
      <c r="D287" s="22"/>
      <c r="E287" s="19"/>
      <c r="F287" s="22"/>
      <c r="G287" s="19"/>
      <c r="H287" s="19"/>
      <c r="I287" s="19"/>
      <c r="J287" s="19"/>
      <c r="K287" s="19"/>
    </row>
    <row r="288" spans="2:11" ht="13.8">
      <c r="B288" s="20"/>
      <c r="C288" s="22"/>
      <c r="D288" s="22"/>
      <c r="E288" s="22"/>
      <c r="F288" s="22"/>
      <c r="G288" s="22"/>
      <c r="H288" s="22"/>
      <c r="I288" s="22"/>
      <c r="J288" s="22"/>
      <c r="K288" s="22"/>
    </row>
    <row r="289" spans="2:11" ht="13.8">
      <c r="B289" s="13"/>
      <c r="C289" s="22"/>
      <c r="D289" s="22"/>
      <c r="E289" s="30"/>
      <c r="F289" s="30"/>
      <c r="G289" s="30"/>
      <c r="H289" s="30"/>
      <c r="I289" s="30"/>
      <c r="J289" s="30"/>
      <c r="K289" s="30"/>
    </row>
    <row r="290" spans="2:11" ht="13.8">
      <c r="B290" s="13"/>
      <c r="C290" s="22"/>
      <c r="D290" s="19"/>
      <c r="E290" s="19"/>
      <c r="F290" s="19"/>
      <c r="G290" s="19"/>
      <c r="H290" s="19"/>
      <c r="I290" s="19"/>
      <c r="J290" s="19"/>
      <c r="K290" s="19"/>
    </row>
    <row r="291" spans="2:11" ht="13.8">
      <c r="B291" s="31"/>
      <c r="C291" s="19"/>
      <c r="D291" s="19"/>
      <c r="E291" s="19"/>
      <c r="F291" s="19"/>
      <c r="G291" s="19"/>
      <c r="H291" s="19"/>
      <c r="I291" s="19"/>
      <c r="J291" s="19"/>
      <c r="K291" s="19"/>
    </row>
    <row r="292" spans="2:11" ht="13.8">
      <c r="B292" s="32"/>
      <c r="C292" s="19"/>
      <c r="D292" s="19"/>
      <c r="E292" s="19"/>
      <c r="F292" s="19"/>
      <c r="G292" s="19"/>
      <c r="H292" s="19"/>
      <c r="I292" s="19"/>
      <c r="J292" s="19"/>
      <c r="K292" s="19"/>
    </row>
    <row r="293" spans="2:11" ht="13.8">
      <c r="B293" s="32"/>
      <c r="C293" s="19"/>
      <c r="D293" s="19"/>
      <c r="E293" s="19"/>
      <c r="F293" s="19"/>
      <c r="G293" s="19"/>
      <c r="H293" s="19"/>
      <c r="I293" s="19"/>
      <c r="J293" s="19"/>
      <c r="K293" s="19"/>
    </row>
    <row r="294" spans="2:11" ht="13.8">
      <c r="B294" s="33"/>
      <c r="C294" s="19"/>
      <c r="D294" s="19"/>
      <c r="E294" s="19"/>
      <c r="F294" s="19"/>
      <c r="G294" s="19"/>
      <c r="H294" s="19"/>
      <c r="I294" s="19"/>
      <c r="J294" s="19"/>
      <c r="K294" s="19"/>
    </row>
    <row r="295" spans="2:11" ht="13.8">
      <c r="B295" s="33"/>
      <c r="C295" s="19"/>
      <c r="D295" s="19"/>
      <c r="E295" s="19"/>
      <c r="F295" s="19"/>
      <c r="G295" s="19"/>
      <c r="H295" s="19"/>
      <c r="I295" s="19"/>
      <c r="J295" s="19"/>
      <c r="K295" s="19"/>
    </row>
    <row r="296" spans="2:11" ht="13.8">
      <c r="B296" s="16"/>
      <c r="C296" s="19"/>
      <c r="D296" s="19"/>
      <c r="E296" s="19"/>
      <c r="F296" s="19"/>
      <c r="G296" s="19"/>
      <c r="H296" s="19"/>
      <c r="I296" s="19"/>
      <c r="J296" s="19"/>
      <c r="K296" s="19"/>
    </row>
    <row r="297" spans="2:11" ht="13.8">
      <c r="B297" s="13"/>
      <c r="C297" s="19"/>
      <c r="D297" s="19"/>
      <c r="E297" s="19"/>
      <c r="F297" s="19"/>
      <c r="G297" s="19"/>
      <c r="H297" s="19"/>
      <c r="I297" s="19"/>
      <c r="J297" s="19"/>
      <c r="K297" s="19"/>
    </row>
    <row r="298" spans="2:11" ht="13.8">
      <c r="B298" s="31"/>
      <c r="C298" s="19"/>
      <c r="D298" s="19"/>
      <c r="E298" s="19"/>
      <c r="F298" s="19"/>
      <c r="G298" s="19"/>
      <c r="H298" s="19"/>
      <c r="I298" s="19"/>
      <c r="J298" s="19"/>
      <c r="K298" s="19"/>
    </row>
    <row r="299" spans="2:11" ht="13.8">
      <c r="B299" s="15"/>
      <c r="C299" s="19"/>
      <c r="D299" s="19"/>
      <c r="E299" s="19"/>
      <c r="F299" s="19"/>
      <c r="G299" s="19"/>
      <c r="H299" s="19"/>
      <c r="I299" s="19"/>
      <c r="J299" s="19"/>
      <c r="K299" s="19"/>
    </row>
    <row r="300" spans="2:11" ht="13.8">
      <c r="B300" s="15"/>
      <c r="C300" s="19"/>
      <c r="D300" s="19"/>
      <c r="E300" s="19"/>
      <c r="F300" s="19"/>
      <c r="G300" s="19"/>
      <c r="H300" s="19"/>
      <c r="I300" s="19"/>
      <c r="J300" s="19"/>
      <c r="K300" s="19"/>
    </row>
    <row r="301" spans="2:11" ht="13.8">
      <c r="B301" s="16"/>
      <c r="C301" s="19"/>
      <c r="D301" s="19"/>
      <c r="E301" s="19"/>
      <c r="F301" s="19"/>
      <c r="G301" s="19"/>
      <c r="H301" s="19"/>
      <c r="I301" s="19"/>
      <c r="J301" s="19"/>
      <c r="K301" s="19"/>
    </row>
    <row r="302" spans="2:11" ht="13.8">
      <c r="B302" s="16"/>
      <c r="C302" s="19"/>
      <c r="D302" s="19"/>
      <c r="E302" s="19"/>
      <c r="F302" s="19"/>
      <c r="G302" s="19"/>
      <c r="H302" s="19"/>
      <c r="I302" s="19"/>
      <c r="J302" s="19"/>
      <c r="K302" s="19"/>
    </row>
    <row r="303" spans="2:11" ht="13.8">
      <c r="B303" s="17"/>
      <c r="C303" s="19"/>
      <c r="D303" s="19"/>
      <c r="E303" s="19"/>
      <c r="F303" s="19"/>
      <c r="G303" s="19"/>
      <c r="H303" s="19"/>
      <c r="I303" s="19"/>
      <c r="J303" s="19"/>
      <c r="K303" s="19"/>
    </row>
    <row r="304" spans="2:11" ht="13.8">
      <c r="B304" s="17"/>
      <c r="C304" s="19"/>
      <c r="D304" s="19"/>
      <c r="E304" s="19"/>
      <c r="F304" s="19"/>
      <c r="G304" s="19"/>
      <c r="H304" s="19"/>
      <c r="I304" s="19"/>
      <c r="J304" s="19"/>
      <c r="K304" s="19"/>
    </row>
    <row r="305" spans="2:11" ht="13.8">
      <c r="B305" s="31"/>
      <c r="C305" s="19"/>
      <c r="D305" s="19"/>
      <c r="E305" s="19"/>
      <c r="F305" s="19"/>
      <c r="G305" s="19"/>
      <c r="H305" s="19"/>
      <c r="I305" s="19"/>
      <c r="J305" s="19"/>
      <c r="K305" s="19"/>
    </row>
    <row r="306" spans="2:11" ht="13.8">
      <c r="B306" s="18"/>
      <c r="C306" s="19"/>
      <c r="D306" s="19"/>
      <c r="E306" s="19"/>
      <c r="F306" s="19"/>
      <c r="G306" s="19"/>
      <c r="H306" s="19"/>
      <c r="I306" s="19"/>
      <c r="J306" s="19"/>
      <c r="K306" s="19"/>
    </row>
    <row r="307" spans="2:11" ht="13.8">
      <c r="B307" s="18"/>
      <c r="C307" s="19"/>
      <c r="D307" s="19"/>
      <c r="E307" s="19"/>
      <c r="F307" s="19"/>
      <c r="G307" s="19"/>
      <c r="H307" s="19"/>
      <c r="I307" s="19"/>
      <c r="J307" s="19"/>
      <c r="K307" s="19"/>
    </row>
    <row r="308" spans="2:11" ht="13.8">
      <c r="B308" s="13"/>
      <c r="C308" s="19"/>
      <c r="D308" s="19"/>
      <c r="E308" s="19"/>
      <c r="F308" s="19"/>
      <c r="G308" s="19"/>
      <c r="H308" s="19"/>
      <c r="I308" s="19"/>
      <c r="J308" s="19"/>
      <c r="K308" s="19"/>
    </row>
    <row r="309" spans="2:11" ht="13.8">
      <c r="B309" s="13"/>
      <c r="C309" s="19"/>
      <c r="D309" s="19"/>
      <c r="E309" s="19"/>
      <c r="F309" s="19"/>
      <c r="G309" s="19"/>
      <c r="H309" s="19"/>
      <c r="I309" s="19"/>
      <c r="J309" s="19"/>
      <c r="K309" s="19"/>
    </row>
    <row r="310" spans="2:11" ht="13.8">
      <c r="B310" s="13"/>
      <c r="C310" s="19"/>
      <c r="D310" s="19"/>
      <c r="E310" s="19"/>
      <c r="F310" s="19"/>
      <c r="G310" s="19"/>
      <c r="H310" s="19"/>
      <c r="I310" s="19"/>
      <c r="J310" s="19"/>
      <c r="K310" s="19"/>
    </row>
    <row r="311" spans="2:11" ht="13.8">
      <c r="B311" s="13"/>
      <c r="C311" s="19"/>
      <c r="D311" s="19"/>
      <c r="E311" s="19"/>
      <c r="F311" s="19"/>
      <c r="G311" s="19"/>
      <c r="H311" s="19"/>
      <c r="I311" s="19"/>
      <c r="J311" s="19"/>
      <c r="K311" s="19"/>
    </row>
    <row r="312" spans="2:11" ht="13.8">
      <c r="B312" s="13"/>
      <c r="C312" s="19"/>
      <c r="D312" s="19"/>
      <c r="E312" s="19"/>
      <c r="F312" s="19"/>
      <c r="G312" s="19"/>
      <c r="H312" s="19"/>
      <c r="I312" s="19"/>
      <c r="J312" s="19"/>
      <c r="K312" s="19"/>
    </row>
    <row r="313" spans="2:11" ht="13.8">
      <c r="B313" s="13"/>
      <c r="C313" s="19"/>
      <c r="D313" s="19"/>
      <c r="E313" s="19"/>
      <c r="F313" s="19"/>
      <c r="G313" s="19"/>
      <c r="H313" s="19"/>
      <c r="I313" s="19"/>
      <c r="J313" s="19"/>
      <c r="K313" s="19"/>
    </row>
    <row r="314" spans="2:11" ht="13.8">
      <c r="B314" s="13"/>
      <c r="C314" s="19"/>
      <c r="D314" s="19"/>
      <c r="E314" s="19"/>
      <c r="F314" s="19"/>
      <c r="G314" s="19"/>
      <c r="H314" s="19"/>
      <c r="I314" s="19"/>
      <c r="J314" s="19"/>
      <c r="K314" s="19"/>
    </row>
    <row r="315" spans="2:11" ht="13.8">
      <c r="B315" s="13"/>
      <c r="C315" s="19"/>
      <c r="D315" s="19"/>
      <c r="E315" s="19"/>
      <c r="F315" s="19"/>
      <c r="G315" s="19"/>
      <c r="H315" s="19"/>
      <c r="I315" s="19"/>
      <c r="J315" s="19"/>
      <c r="K315" s="19"/>
    </row>
    <row r="316" spans="2:11" ht="13.8">
      <c r="B316" s="13"/>
      <c r="C316" s="19"/>
      <c r="D316" s="19"/>
      <c r="E316" s="19"/>
      <c r="F316" s="19"/>
      <c r="G316" s="19"/>
      <c r="H316" s="19"/>
      <c r="I316" s="19"/>
      <c r="J316" s="19"/>
      <c r="K316" s="19"/>
    </row>
    <row r="317" spans="2:11" ht="13.8">
      <c r="B317" s="13"/>
      <c r="C317" s="19"/>
      <c r="D317" s="19"/>
      <c r="E317" s="19"/>
      <c r="F317" s="19"/>
      <c r="G317" s="19"/>
      <c r="H317" s="19"/>
      <c r="I317" s="19"/>
      <c r="J317" s="19"/>
      <c r="K317" s="19"/>
    </row>
    <row r="320" spans="2:11" ht="17.399999999999999">
      <c r="B320" s="469"/>
      <c r="C320" s="469"/>
      <c r="D320" s="469"/>
      <c r="E320" s="469"/>
      <c r="F320" s="469"/>
      <c r="G320" s="469"/>
      <c r="H320" s="469"/>
      <c r="I320" s="469"/>
      <c r="J320" s="469"/>
      <c r="K320" s="24"/>
    </row>
    <row r="321" spans="2:11" ht="13.8">
      <c r="B321" s="25"/>
      <c r="C321" s="19"/>
      <c r="D321" s="19"/>
      <c r="E321" s="19"/>
      <c r="F321" s="19"/>
      <c r="G321" s="19"/>
      <c r="H321" s="19"/>
      <c r="I321" s="19"/>
      <c r="J321" s="19"/>
      <c r="K321" s="19"/>
    </row>
    <row r="322" spans="2:11">
      <c r="B322" s="473"/>
      <c r="C322" s="473"/>
      <c r="D322" s="473"/>
      <c r="E322" s="473"/>
      <c r="F322" s="473"/>
      <c r="G322" s="473"/>
      <c r="H322" s="473"/>
      <c r="I322" s="473"/>
      <c r="J322" s="473"/>
      <c r="K322" s="24"/>
    </row>
    <row r="323" spans="2:11" ht="18" customHeight="1">
      <c r="B323" s="473"/>
      <c r="C323" s="473"/>
      <c r="D323" s="473"/>
      <c r="E323" s="473"/>
      <c r="F323" s="473"/>
      <c r="G323" s="473"/>
      <c r="H323" s="473"/>
      <c r="I323" s="473"/>
      <c r="J323" s="473"/>
      <c r="K323" s="24"/>
    </row>
    <row r="324" spans="2:11" ht="13.8">
      <c r="B324" s="26"/>
      <c r="C324" s="27"/>
      <c r="D324" s="27"/>
      <c r="E324" s="27"/>
      <c r="F324" s="19"/>
      <c r="G324" s="19"/>
      <c r="H324" s="19"/>
      <c r="I324" s="19"/>
      <c r="J324" s="19"/>
      <c r="K324" s="19"/>
    </row>
    <row r="325" spans="2:11" ht="13.8">
      <c r="B325" s="28"/>
      <c r="C325" s="19"/>
      <c r="D325" s="29"/>
      <c r="E325" s="19"/>
      <c r="F325" s="22"/>
      <c r="G325" s="19"/>
      <c r="H325" s="19"/>
      <c r="I325" s="19"/>
      <c r="J325" s="19"/>
      <c r="K325" s="19"/>
    </row>
    <row r="326" spans="2:11" ht="13.8">
      <c r="B326" s="20"/>
      <c r="C326" s="22"/>
      <c r="D326" s="22"/>
      <c r="E326" s="22"/>
      <c r="F326" s="22"/>
      <c r="G326" s="22"/>
      <c r="H326" s="22"/>
      <c r="I326" s="22"/>
      <c r="J326" s="22"/>
      <c r="K326" s="22"/>
    </row>
    <row r="327" spans="2:11" ht="13.8">
      <c r="B327" s="13"/>
      <c r="C327" s="22"/>
      <c r="D327" s="22"/>
      <c r="E327" s="30"/>
      <c r="F327" s="30"/>
      <c r="G327" s="30"/>
      <c r="H327" s="30"/>
      <c r="I327" s="30"/>
      <c r="J327" s="30"/>
      <c r="K327" s="30"/>
    </row>
    <row r="328" spans="2:11" ht="13.8">
      <c r="B328" s="13"/>
      <c r="C328" s="22"/>
      <c r="D328" s="19"/>
      <c r="E328" s="19"/>
      <c r="F328" s="19"/>
      <c r="G328" s="19"/>
      <c r="H328" s="19"/>
      <c r="I328" s="19"/>
      <c r="J328" s="19"/>
      <c r="K328" s="19"/>
    </row>
    <row r="329" spans="2:11" ht="13.8">
      <c r="B329" s="31"/>
      <c r="C329" s="19"/>
      <c r="D329" s="19"/>
      <c r="E329" s="19"/>
      <c r="F329" s="19"/>
      <c r="G329" s="19"/>
      <c r="H329" s="19"/>
      <c r="I329" s="19"/>
      <c r="J329" s="19"/>
      <c r="K329" s="19"/>
    </row>
    <row r="330" spans="2:11" ht="13.8">
      <c r="B330" s="33"/>
      <c r="C330" s="19"/>
      <c r="D330" s="19"/>
      <c r="E330" s="19"/>
      <c r="F330" s="19"/>
      <c r="G330" s="19"/>
      <c r="H330" s="19"/>
      <c r="I330" s="19"/>
      <c r="J330" s="19"/>
      <c r="K330" s="19"/>
    </row>
    <row r="331" spans="2:11" ht="13.8">
      <c r="B331" s="33"/>
      <c r="C331" s="19"/>
      <c r="D331" s="19"/>
      <c r="E331" s="19"/>
      <c r="F331" s="19"/>
      <c r="G331" s="19"/>
      <c r="H331" s="19"/>
      <c r="I331" s="19"/>
      <c r="J331" s="19"/>
      <c r="K331" s="19"/>
    </row>
    <row r="332" spans="2:11" ht="13.8">
      <c r="B332" s="33"/>
      <c r="C332" s="19"/>
      <c r="D332" s="19"/>
      <c r="E332" s="19"/>
      <c r="F332" s="19"/>
      <c r="G332" s="19"/>
      <c r="H332" s="19"/>
      <c r="I332" s="19"/>
      <c r="J332" s="19"/>
      <c r="K332" s="19"/>
    </row>
    <row r="333" spans="2:11" ht="13.8">
      <c r="B333" s="33"/>
      <c r="C333" s="19"/>
      <c r="D333" s="19"/>
      <c r="E333" s="19"/>
      <c r="F333" s="19"/>
      <c r="G333" s="19"/>
      <c r="H333" s="19"/>
      <c r="I333" s="19"/>
      <c r="J333" s="19"/>
      <c r="K333" s="19"/>
    </row>
    <row r="334" spans="2:11" ht="13.8">
      <c r="B334" s="33"/>
      <c r="C334" s="19"/>
      <c r="D334" s="19"/>
      <c r="E334" s="19"/>
      <c r="F334" s="19"/>
      <c r="G334" s="19"/>
      <c r="H334" s="19"/>
      <c r="I334" s="19"/>
      <c r="J334" s="19"/>
      <c r="K334" s="19"/>
    </row>
    <row r="335" spans="2:11" ht="13.8">
      <c r="B335" s="33"/>
      <c r="C335" s="19"/>
      <c r="D335" s="19"/>
      <c r="E335" s="19"/>
      <c r="F335" s="19"/>
      <c r="G335" s="19"/>
      <c r="H335" s="19"/>
      <c r="I335" s="19"/>
      <c r="J335" s="19"/>
      <c r="K335" s="19"/>
    </row>
    <row r="336" spans="2:11" ht="13.8">
      <c r="B336" s="16"/>
      <c r="C336" s="19"/>
      <c r="D336" s="19"/>
      <c r="E336" s="19"/>
      <c r="F336" s="19"/>
      <c r="G336" s="19"/>
      <c r="H336" s="19"/>
      <c r="I336" s="19"/>
      <c r="J336" s="19"/>
      <c r="K336" s="19"/>
    </row>
    <row r="337" spans="2:11" ht="13.8">
      <c r="B337" s="13"/>
      <c r="C337" s="19"/>
      <c r="D337" s="19"/>
      <c r="E337" s="19"/>
      <c r="F337" s="19"/>
      <c r="G337" s="19"/>
      <c r="H337" s="19"/>
      <c r="I337" s="19"/>
      <c r="J337" s="19"/>
      <c r="K337" s="19"/>
    </row>
    <row r="338" spans="2:11" ht="13.8">
      <c r="B338" s="31"/>
      <c r="C338" s="19"/>
      <c r="D338" s="19"/>
      <c r="E338" s="19"/>
      <c r="F338" s="19"/>
      <c r="G338" s="19"/>
      <c r="H338" s="19"/>
      <c r="I338" s="19"/>
      <c r="J338" s="19"/>
      <c r="K338" s="19"/>
    </row>
    <row r="339" spans="2:11" ht="13.8">
      <c r="B339" s="15"/>
      <c r="C339" s="19"/>
      <c r="D339" s="19"/>
      <c r="E339" s="19"/>
      <c r="F339" s="19"/>
      <c r="G339" s="19"/>
      <c r="H339" s="19"/>
      <c r="I339" s="19"/>
      <c r="J339" s="19"/>
      <c r="K339" s="19"/>
    </row>
    <row r="340" spans="2:11" ht="13.8">
      <c r="B340" s="15"/>
      <c r="C340" s="19"/>
      <c r="D340" s="19"/>
      <c r="E340" s="19"/>
      <c r="F340" s="19"/>
      <c r="G340" s="19"/>
      <c r="H340" s="19"/>
      <c r="I340" s="19"/>
      <c r="J340" s="19"/>
      <c r="K340" s="19"/>
    </row>
    <row r="341" spans="2:11" ht="13.8">
      <c r="B341" s="15"/>
      <c r="C341" s="19"/>
      <c r="D341" s="19"/>
      <c r="E341" s="19"/>
      <c r="F341" s="19"/>
      <c r="G341" s="19"/>
      <c r="H341" s="19"/>
      <c r="I341" s="19"/>
      <c r="J341" s="19"/>
      <c r="K341" s="19"/>
    </row>
    <row r="342" spans="2:11" ht="13.8">
      <c r="B342" s="15"/>
      <c r="C342" s="19"/>
      <c r="D342" s="19"/>
      <c r="E342" s="19"/>
      <c r="F342" s="19"/>
      <c r="G342" s="19"/>
      <c r="H342" s="19"/>
      <c r="I342" s="19"/>
      <c r="J342" s="19"/>
      <c r="K342" s="19"/>
    </row>
    <row r="343" spans="2:11" ht="13.8">
      <c r="B343" s="15"/>
      <c r="C343" s="19"/>
      <c r="D343" s="19"/>
      <c r="E343" s="19"/>
      <c r="F343" s="19"/>
      <c r="G343" s="19"/>
      <c r="H343" s="19"/>
      <c r="I343" s="19"/>
      <c r="J343" s="19"/>
      <c r="K343" s="19"/>
    </row>
    <row r="344" spans="2:11" ht="13.8">
      <c r="B344" s="15"/>
      <c r="C344" s="19"/>
      <c r="D344" s="19"/>
      <c r="E344" s="19"/>
      <c r="F344" s="19"/>
      <c r="G344" s="19"/>
      <c r="H344" s="19"/>
      <c r="I344" s="19"/>
      <c r="J344" s="19"/>
      <c r="K344" s="19"/>
    </row>
    <row r="345" spans="2:11" ht="13.8">
      <c r="B345" s="15"/>
      <c r="C345" s="19"/>
      <c r="D345" s="19"/>
      <c r="E345" s="19"/>
      <c r="F345" s="19"/>
      <c r="G345" s="19"/>
      <c r="H345" s="19"/>
      <c r="I345" s="19"/>
      <c r="J345" s="19"/>
      <c r="K345" s="19"/>
    </row>
    <row r="346" spans="2:11" ht="13.8">
      <c r="B346" s="15"/>
      <c r="C346" s="19"/>
      <c r="D346" s="19"/>
      <c r="E346" s="19"/>
      <c r="F346" s="19"/>
      <c r="G346" s="19"/>
      <c r="H346" s="19"/>
      <c r="I346" s="19"/>
      <c r="J346" s="19"/>
      <c r="K346" s="19"/>
    </row>
    <row r="347" spans="2:11" ht="13.8">
      <c r="B347" s="15"/>
      <c r="C347" s="19"/>
      <c r="D347" s="19"/>
      <c r="E347" s="19"/>
      <c r="F347" s="19"/>
      <c r="G347" s="19"/>
      <c r="H347" s="19"/>
      <c r="I347" s="19"/>
      <c r="J347" s="19"/>
      <c r="K347" s="19"/>
    </row>
    <row r="348" spans="2:11" ht="13.8">
      <c r="B348" s="16"/>
      <c r="C348" s="19"/>
      <c r="D348" s="19"/>
      <c r="E348" s="19"/>
      <c r="F348" s="19"/>
      <c r="G348" s="19"/>
      <c r="H348" s="19"/>
      <c r="I348" s="19"/>
      <c r="J348" s="19"/>
      <c r="K348" s="19"/>
    </row>
    <row r="349" spans="2:11" ht="13.8">
      <c r="B349" s="16"/>
      <c r="C349" s="19"/>
      <c r="D349" s="19"/>
      <c r="E349" s="19"/>
      <c r="F349" s="19"/>
      <c r="G349" s="19"/>
      <c r="H349" s="19"/>
      <c r="I349" s="19"/>
      <c r="J349" s="19"/>
      <c r="K349" s="19"/>
    </row>
    <row r="350" spans="2:11" ht="13.8">
      <c r="B350" s="17"/>
      <c r="C350" s="19"/>
      <c r="D350" s="19"/>
      <c r="E350" s="19"/>
      <c r="F350" s="19"/>
      <c r="G350" s="19"/>
      <c r="H350" s="19"/>
      <c r="I350" s="19"/>
      <c r="J350" s="19"/>
      <c r="K350" s="19"/>
    </row>
    <row r="351" spans="2:11" ht="13.8">
      <c r="B351" s="17"/>
      <c r="C351" s="19"/>
      <c r="D351" s="19"/>
      <c r="E351" s="19"/>
      <c r="F351" s="19"/>
      <c r="G351" s="19"/>
      <c r="H351" s="19"/>
      <c r="I351" s="19"/>
      <c r="J351" s="19"/>
      <c r="K351" s="19"/>
    </row>
    <row r="352" spans="2:11" ht="13.8">
      <c r="B352" s="31"/>
      <c r="C352" s="3"/>
      <c r="D352" s="3"/>
      <c r="E352" s="3"/>
      <c r="F352" s="3"/>
      <c r="G352" s="3"/>
      <c r="H352" s="3"/>
      <c r="I352" s="3"/>
      <c r="J352" s="3"/>
      <c r="K352" s="3"/>
    </row>
    <row r="353" spans="2:11" ht="13.8">
      <c r="B353" s="18"/>
      <c r="C353" s="19"/>
      <c r="D353" s="19"/>
      <c r="E353" s="19"/>
      <c r="F353" s="19"/>
      <c r="G353" s="19"/>
      <c r="H353" s="19"/>
      <c r="I353" s="19"/>
      <c r="J353" s="19"/>
      <c r="K353" s="19"/>
    </row>
    <row r="354" spans="2:11" ht="13.8">
      <c r="B354" s="18"/>
      <c r="C354" s="19"/>
      <c r="D354" s="19"/>
      <c r="E354" s="19"/>
      <c r="F354" s="19"/>
      <c r="G354" s="19"/>
      <c r="H354" s="19"/>
      <c r="I354" s="19"/>
      <c r="J354" s="19"/>
      <c r="K354" s="19"/>
    </row>
    <row r="355" spans="2:11" ht="13.8">
      <c r="B355" s="13"/>
      <c r="C355" s="19"/>
      <c r="D355" s="19"/>
      <c r="E355" s="19"/>
      <c r="F355" s="19"/>
      <c r="G355" s="19"/>
      <c r="H355" s="19"/>
      <c r="I355" s="19"/>
      <c r="J355" s="19"/>
      <c r="K355" s="19"/>
    </row>
    <row r="356" spans="2:11" ht="13.8">
      <c r="B356" s="13"/>
      <c r="C356" s="19"/>
      <c r="D356" s="19"/>
      <c r="E356" s="19"/>
      <c r="F356" s="19"/>
      <c r="G356" s="19"/>
      <c r="H356" s="19"/>
      <c r="I356" s="19"/>
      <c r="J356" s="19"/>
      <c r="K356" s="19"/>
    </row>
    <row r="357" spans="2:11" ht="13.8">
      <c r="B357" s="13"/>
      <c r="C357" s="19"/>
      <c r="D357" s="19"/>
      <c r="E357" s="19"/>
      <c r="F357" s="19"/>
      <c r="G357" s="19"/>
      <c r="H357" s="19"/>
      <c r="I357" s="19"/>
      <c r="J357" s="19"/>
      <c r="K357" s="19"/>
    </row>
    <row r="358" spans="2:11" ht="13.8">
      <c r="B358" s="13"/>
      <c r="C358" s="19"/>
      <c r="D358" s="19"/>
      <c r="E358" s="19"/>
      <c r="F358" s="19"/>
      <c r="G358" s="19"/>
      <c r="H358" s="19"/>
      <c r="I358" s="19"/>
      <c r="J358" s="19"/>
      <c r="K358" s="19"/>
    </row>
    <row r="359" spans="2:11" ht="13.8">
      <c r="B359" s="13"/>
      <c r="C359" s="19"/>
      <c r="D359" s="19"/>
      <c r="E359" s="19"/>
      <c r="F359" s="19"/>
      <c r="G359" s="19"/>
      <c r="H359" s="19"/>
      <c r="I359" s="19"/>
      <c r="J359" s="19"/>
      <c r="K359" s="19"/>
    </row>
    <row r="360" spans="2:11" ht="13.8">
      <c r="B360" s="13"/>
      <c r="C360" s="19"/>
      <c r="D360" s="19"/>
      <c r="E360" s="19"/>
      <c r="F360" s="19"/>
      <c r="G360" s="19"/>
      <c r="H360" s="19"/>
      <c r="I360" s="19"/>
      <c r="J360" s="19"/>
      <c r="K360" s="19"/>
    </row>
    <row r="361" spans="2:11" ht="13.8">
      <c r="B361" s="13"/>
      <c r="C361" s="19"/>
      <c r="D361" s="19"/>
      <c r="E361" s="19"/>
      <c r="F361" s="19"/>
      <c r="G361" s="19"/>
      <c r="H361" s="19"/>
      <c r="I361" s="19"/>
      <c r="J361" s="19"/>
      <c r="K361" s="19"/>
    </row>
    <row r="362" spans="2:11" ht="13.8">
      <c r="B362" s="13"/>
      <c r="C362" s="19"/>
      <c r="D362" s="19"/>
      <c r="E362" s="19"/>
      <c r="F362" s="19"/>
      <c r="G362" s="19"/>
      <c r="H362" s="19"/>
      <c r="I362" s="19"/>
      <c r="J362" s="19"/>
      <c r="K362" s="19"/>
    </row>
    <row r="363" spans="2:11" ht="13.8">
      <c r="B363" s="13"/>
      <c r="C363" s="19"/>
      <c r="D363" s="19"/>
      <c r="E363" s="19"/>
      <c r="F363" s="19"/>
      <c r="G363" s="19"/>
      <c r="H363" s="19"/>
      <c r="I363" s="19"/>
      <c r="J363" s="19"/>
      <c r="K363" s="19"/>
    </row>
    <row r="364" spans="2:11" ht="13.8">
      <c r="B364" s="13"/>
      <c r="C364" s="19"/>
      <c r="D364" s="19"/>
      <c r="E364" s="19"/>
      <c r="F364" s="19"/>
      <c r="G364" s="19"/>
      <c r="H364" s="19"/>
      <c r="I364" s="19"/>
      <c r="J364" s="19"/>
      <c r="K364" s="19"/>
    </row>
    <row r="365" spans="2:11" ht="13.8">
      <c r="B365" s="13"/>
      <c r="C365" s="19"/>
      <c r="D365" s="19"/>
      <c r="E365" s="19"/>
      <c r="F365" s="19"/>
      <c r="G365" s="19"/>
      <c r="H365" s="19"/>
      <c r="I365" s="19"/>
      <c r="J365" s="19"/>
      <c r="K365" s="19"/>
    </row>
    <row r="368" spans="2:11" ht="17.399999999999999">
      <c r="B368" s="469"/>
      <c r="C368" s="469"/>
      <c r="D368" s="469"/>
      <c r="E368" s="469"/>
      <c r="F368" s="469"/>
      <c r="G368" s="469"/>
      <c r="H368" s="469"/>
      <c r="I368" s="469"/>
      <c r="J368" s="469"/>
      <c r="K368" s="24"/>
    </row>
    <row r="369" spans="2:11" ht="13.8">
      <c r="B369" s="25"/>
      <c r="C369" s="19"/>
      <c r="D369" s="19"/>
      <c r="E369" s="19"/>
      <c r="F369" s="19"/>
      <c r="G369" s="19"/>
      <c r="H369" s="19"/>
      <c r="I369" s="19"/>
      <c r="J369" s="19"/>
      <c r="K369" s="19"/>
    </row>
    <row r="370" spans="2:11">
      <c r="B370" s="473"/>
      <c r="C370" s="473"/>
      <c r="D370" s="473"/>
      <c r="E370" s="473"/>
      <c r="F370" s="473"/>
      <c r="G370" s="473"/>
      <c r="H370" s="473"/>
      <c r="I370" s="473"/>
      <c r="J370" s="473"/>
      <c r="K370" s="24"/>
    </row>
    <row r="371" spans="2:11" ht="18" customHeight="1">
      <c r="B371" s="473"/>
      <c r="C371" s="473"/>
      <c r="D371" s="473"/>
      <c r="E371" s="473"/>
      <c r="F371" s="473"/>
      <c r="G371" s="473"/>
      <c r="H371" s="473"/>
      <c r="I371" s="473"/>
      <c r="J371" s="473"/>
      <c r="K371" s="24"/>
    </row>
    <row r="372" spans="2:11" ht="13.8">
      <c r="B372" s="26"/>
      <c r="C372" s="27"/>
      <c r="D372" s="27"/>
      <c r="E372" s="27"/>
      <c r="F372" s="19"/>
      <c r="G372" s="19"/>
      <c r="H372" s="19"/>
      <c r="I372" s="19"/>
      <c r="J372" s="19"/>
      <c r="K372" s="19"/>
    </row>
    <row r="373" spans="2:11" ht="13.8">
      <c r="B373" s="28"/>
      <c r="C373" s="19"/>
      <c r="D373" s="22"/>
      <c r="E373" s="22"/>
      <c r="F373" s="22"/>
      <c r="G373" s="19"/>
      <c r="H373" s="19"/>
      <c r="I373" s="19"/>
      <c r="J373" s="19"/>
      <c r="K373" s="19"/>
    </row>
    <row r="374" spans="2:11" ht="13.8">
      <c r="B374" s="20"/>
      <c r="C374" s="22"/>
      <c r="D374" s="22"/>
      <c r="E374" s="22"/>
      <c r="F374" s="22"/>
      <c r="G374" s="22"/>
      <c r="H374" s="22"/>
      <c r="I374" s="22"/>
      <c r="J374" s="22"/>
      <c r="K374" s="22"/>
    </row>
    <row r="375" spans="2:11" ht="13.8">
      <c r="B375" s="13"/>
      <c r="C375" s="22"/>
      <c r="D375" s="22"/>
      <c r="E375" s="30"/>
      <c r="F375" s="30"/>
      <c r="G375" s="30"/>
      <c r="H375" s="30"/>
      <c r="I375" s="30"/>
      <c r="J375" s="30"/>
      <c r="K375" s="30"/>
    </row>
    <row r="376" spans="2:11" ht="13.8">
      <c r="B376" s="13"/>
      <c r="C376" s="22"/>
      <c r="D376" s="19"/>
      <c r="E376" s="19"/>
      <c r="F376" s="19"/>
      <c r="G376" s="19"/>
      <c r="H376" s="19"/>
      <c r="I376" s="19"/>
      <c r="J376" s="19"/>
      <c r="K376" s="19"/>
    </row>
    <row r="377" spans="2:11" ht="13.8">
      <c r="B377" s="31"/>
      <c r="C377" s="19"/>
      <c r="D377" s="19"/>
      <c r="E377" s="19"/>
      <c r="F377" s="19"/>
      <c r="G377" s="19"/>
      <c r="H377" s="19"/>
      <c r="I377" s="19"/>
      <c r="J377" s="19"/>
      <c r="K377" s="19"/>
    </row>
    <row r="378" spans="2:11" ht="13.8">
      <c r="B378" s="33"/>
      <c r="C378" s="19"/>
      <c r="D378" s="19"/>
      <c r="E378" s="19"/>
      <c r="F378" s="19"/>
      <c r="G378" s="19"/>
      <c r="H378" s="19"/>
      <c r="I378" s="19"/>
      <c r="J378" s="19"/>
      <c r="K378" s="19"/>
    </row>
    <row r="379" spans="2:11" ht="13.8">
      <c r="B379" s="33"/>
      <c r="C379" s="19"/>
      <c r="D379" s="19"/>
      <c r="E379" s="19"/>
      <c r="F379" s="19"/>
      <c r="G379" s="19"/>
      <c r="H379" s="19"/>
      <c r="I379" s="19"/>
      <c r="J379" s="19"/>
      <c r="K379" s="19"/>
    </row>
    <row r="380" spans="2:11" ht="13.8">
      <c r="B380" s="33"/>
      <c r="C380" s="19"/>
      <c r="D380" s="19"/>
      <c r="E380" s="19"/>
      <c r="F380" s="19"/>
      <c r="G380" s="19"/>
      <c r="H380" s="19"/>
      <c r="I380" s="19"/>
      <c r="J380" s="19"/>
      <c r="K380" s="19"/>
    </row>
    <row r="381" spans="2:11" ht="13.8">
      <c r="B381" s="33"/>
      <c r="C381" s="19"/>
      <c r="D381" s="19"/>
      <c r="E381" s="19"/>
      <c r="F381" s="19"/>
      <c r="G381" s="19"/>
      <c r="H381" s="19"/>
      <c r="I381" s="19"/>
      <c r="J381" s="19"/>
      <c r="K381" s="19"/>
    </row>
    <row r="382" spans="2:11" ht="13.8">
      <c r="B382" s="33"/>
      <c r="C382" s="19"/>
      <c r="D382" s="19"/>
      <c r="E382" s="19"/>
      <c r="F382" s="19"/>
      <c r="G382" s="19"/>
      <c r="H382" s="19"/>
      <c r="I382" s="19"/>
      <c r="J382" s="19"/>
      <c r="K382" s="19"/>
    </row>
    <row r="383" spans="2:11" ht="13.8">
      <c r="B383" s="16"/>
      <c r="C383" s="19"/>
      <c r="D383" s="19"/>
      <c r="E383" s="19"/>
      <c r="F383" s="19"/>
      <c r="G383" s="19"/>
      <c r="H383" s="19"/>
      <c r="I383" s="19"/>
      <c r="J383" s="19"/>
      <c r="K383" s="19"/>
    </row>
    <row r="384" spans="2:11" ht="13.8">
      <c r="B384" s="13"/>
      <c r="C384" s="19"/>
      <c r="D384" s="19"/>
      <c r="E384" s="19"/>
      <c r="F384" s="19"/>
      <c r="G384" s="19"/>
      <c r="H384" s="19"/>
      <c r="I384" s="19"/>
      <c r="J384" s="19"/>
      <c r="K384" s="19"/>
    </row>
    <row r="385" spans="2:11" ht="13.8">
      <c r="B385" s="31"/>
      <c r="C385" s="19"/>
      <c r="D385" s="19"/>
      <c r="E385" s="19"/>
      <c r="F385" s="19"/>
      <c r="G385" s="19"/>
      <c r="H385" s="19"/>
      <c r="I385" s="19"/>
      <c r="J385" s="19"/>
      <c r="K385" s="19"/>
    </row>
    <row r="386" spans="2:11" ht="13.8">
      <c r="B386" s="15"/>
      <c r="C386" s="19"/>
      <c r="D386" s="19"/>
      <c r="E386" s="19"/>
      <c r="F386" s="19"/>
      <c r="G386" s="19"/>
      <c r="H386" s="19"/>
      <c r="I386" s="19"/>
      <c r="J386" s="19"/>
      <c r="K386" s="19"/>
    </row>
    <row r="387" spans="2:11" ht="13.8">
      <c r="B387" s="15"/>
      <c r="C387" s="19"/>
      <c r="D387" s="19"/>
      <c r="E387" s="19"/>
      <c r="F387" s="19"/>
      <c r="G387" s="19"/>
      <c r="H387" s="19"/>
      <c r="I387" s="19"/>
      <c r="J387" s="19"/>
      <c r="K387" s="19"/>
    </row>
    <row r="388" spans="2:11" ht="13.8">
      <c r="B388" s="15"/>
      <c r="C388" s="19"/>
      <c r="D388" s="19"/>
      <c r="E388" s="19"/>
      <c r="F388" s="19"/>
      <c r="G388" s="19"/>
      <c r="H388" s="19"/>
      <c r="I388" s="19"/>
      <c r="J388" s="19"/>
      <c r="K388" s="19"/>
    </row>
    <row r="389" spans="2:11" ht="13.8">
      <c r="B389" s="15"/>
      <c r="C389" s="19"/>
      <c r="D389" s="19"/>
      <c r="E389" s="19"/>
      <c r="F389" s="19"/>
      <c r="G389" s="19"/>
      <c r="H389" s="19"/>
      <c r="I389" s="19"/>
      <c r="J389" s="19"/>
      <c r="K389" s="19"/>
    </row>
    <row r="390" spans="2:11" ht="13.8">
      <c r="B390" s="15"/>
      <c r="C390" s="19"/>
      <c r="D390" s="19"/>
      <c r="E390" s="19"/>
      <c r="F390" s="19"/>
      <c r="G390" s="19"/>
      <c r="H390" s="19"/>
      <c r="I390" s="19"/>
      <c r="J390" s="19"/>
      <c r="K390" s="19"/>
    </row>
    <row r="391" spans="2:11" ht="13.8">
      <c r="B391" s="15"/>
      <c r="C391" s="19"/>
      <c r="D391" s="19"/>
      <c r="E391" s="19"/>
      <c r="F391" s="19"/>
      <c r="G391" s="19"/>
      <c r="H391" s="19"/>
      <c r="I391" s="19"/>
      <c r="J391" s="19"/>
      <c r="K391" s="19"/>
    </row>
    <row r="392" spans="2:11" ht="13.8">
      <c r="B392" s="15"/>
      <c r="C392" s="19"/>
      <c r="D392" s="19"/>
      <c r="E392" s="19"/>
      <c r="F392" s="19"/>
      <c r="G392" s="19"/>
      <c r="H392" s="19"/>
      <c r="I392" s="19"/>
      <c r="J392" s="19"/>
      <c r="K392" s="19"/>
    </row>
    <row r="393" spans="2:11" ht="13.8">
      <c r="B393" s="15"/>
      <c r="C393" s="19"/>
      <c r="D393" s="19"/>
      <c r="E393" s="19"/>
      <c r="F393" s="19"/>
      <c r="G393" s="19"/>
      <c r="H393" s="19"/>
      <c r="I393" s="19"/>
      <c r="J393" s="19"/>
      <c r="K393" s="19"/>
    </row>
    <row r="394" spans="2:11" ht="13.8">
      <c r="B394" s="15"/>
      <c r="C394" s="19"/>
      <c r="D394" s="19"/>
      <c r="E394" s="19"/>
      <c r="F394" s="19"/>
      <c r="G394" s="19"/>
      <c r="H394" s="19"/>
      <c r="I394" s="19"/>
      <c r="J394" s="19"/>
      <c r="K394" s="19"/>
    </row>
    <row r="395" spans="2:11" ht="13.8">
      <c r="B395" s="16"/>
      <c r="C395" s="19"/>
      <c r="D395" s="19"/>
      <c r="E395" s="19"/>
      <c r="F395" s="19"/>
      <c r="G395" s="19"/>
      <c r="H395" s="19"/>
      <c r="I395" s="19"/>
      <c r="J395" s="19"/>
      <c r="K395" s="19"/>
    </row>
    <row r="396" spans="2:11" ht="13.8">
      <c r="B396" s="16"/>
      <c r="C396" s="19"/>
      <c r="D396" s="19"/>
      <c r="E396" s="19"/>
      <c r="F396" s="19"/>
      <c r="G396" s="19"/>
      <c r="H396" s="19"/>
      <c r="I396" s="19"/>
      <c r="J396" s="19"/>
      <c r="K396" s="19"/>
    </row>
    <row r="397" spans="2:11" ht="13.8">
      <c r="B397" s="17"/>
      <c r="C397" s="19"/>
      <c r="D397" s="19"/>
      <c r="E397" s="19"/>
      <c r="F397" s="19"/>
      <c r="G397" s="19"/>
      <c r="H397" s="19"/>
      <c r="I397" s="19"/>
      <c r="J397" s="19"/>
      <c r="K397" s="19"/>
    </row>
    <row r="398" spans="2:11" ht="13.8">
      <c r="B398" s="17"/>
      <c r="C398" s="19"/>
      <c r="D398" s="19"/>
      <c r="E398" s="19"/>
      <c r="F398" s="19"/>
      <c r="G398" s="19"/>
      <c r="H398" s="19"/>
      <c r="I398" s="19"/>
      <c r="J398" s="19"/>
      <c r="K398" s="19"/>
    </row>
    <row r="399" spans="2:11" ht="13.8">
      <c r="B399" s="31"/>
      <c r="C399" s="19"/>
      <c r="D399" s="19"/>
      <c r="E399" s="19"/>
      <c r="F399" s="19"/>
      <c r="G399" s="19"/>
      <c r="H399" s="19"/>
      <c r="I399" s="19"/>
      <c r="J399" s="19"/>
      <c r="K399" s="19"/>
    </row>
    <row r="400" spans="2:11" ht="13.8">
      <c r="B400" s="18"/>
      <c r="C400" s="19"/>
      <c r="D400" s="19"/>
      <c r="E400" s="19"/>
      <c r="F400" s="19"/>
      <c r="G400" s="19"/>
      <c r="H400" s="19"/>
      <c r="I400" s="19"/>
      <c r="J400" s="19"/>
      <c r="K400" s="19"/>
    </row>
    <row r="401" spans="2:11" ht="13.8">
      <c r="B401" s="18"/>
      <c r="C401" s="19"/>
      <c r="D401" s="19"/>
      <c r="E401" s="19"/>
      <c r="F401" s="19"/>
      <c r="G401" s="19"/>
      <c r="H401" s="19"/>
      <c r="I401" s="19"/>
      <c r="J401" s="19"/>
      <c r="K401" s="19"/>
    </row>
    <row r="402" spans="2:11" ht="13.8">
      <c r="B402" s="13"/>
      <c r="C402" s="19"/>
      <c r="D402" s="19"/>
      <c r="E402" s="19"/>
      <c r="F402" s="19"/>
      <c r="G402" s="19"/>
      <c r="H402" s="19"/>
      <c r="I402" s="19"/>
      <c r="J402" s="19"/>
      <c r="K402" s="19"/>
    </row>
    <row r="403" spans="2:11" ht="13.8">
      <c r="B403" s="13"/>
      <c r="C403" s="19"/>
      <c r="D403" s="19"/>
      <c r="E403" s="19"/>
      <c r="F403" s="19"/>
      <c r="G403" s="19"/>
      <c r="H403" s="19"/>
      <c r="I403" s="19"/>
      <c r="J403" s="19"/>
      <c r="K403" s="19"/>
    </row>
    <row r="404" spans="2:11" ht="13.8">
      <c r="B404" s="13"/>
      <c r="C404" s="19"/>
      <c r="D404" s="19"/>
      <c r="E404" s="19"/>
      <c r="F404" s="19"/>
      <c r="G404" s="19"/>
      <c r="H404" s="19"/>
      <c r="I404" s="19"/>
      <c r="J404" s="19"/>
      <c r="K404" s="19"/>
    </row>
    <row r="405" spans="2:11" ht="13.8">
      <c r="B405" s="13"/>
      <c r="C405" s="19"/>
      <c r="D405" s="19"/>
      <c r="E405" s="19"/>
      <c r="F405" s="19"/>
      <c r="G405" s="19"/>
      <c r="H405" s="19"/>
      <c r="I405" s="19"/>
      <c r="J405" s="19"/>
      <c r="K405" s="19"/>
    </row>
    <row r="406" spans="2:11" ht="13.8">
      <c r="B406" s="13"/>
      <c r="C406" s="19"/>
      <c r="D406" s="19"/>
      <c r="E406" s="19"/>
      <c r="F406" s="19"/>
      <c r="G406" s="19"/>
      <c r="H406" s="19"/>
      <c r="I406" s="19"/>
      <c r="J406" s="19"/>
      <c r="K406" s="19"/>
    </row>
    <row r="407" spans="2:11" ht="13.8">
      <c r="B407" s="13"/>
      <c r="C407" s="19"/>
      <c r="D407" s="19"/>
      <c r="E407" s="19"/>
      <c r="F407" s="19"/>
      <c r="G407" s="19"/>
      <c r="H407" s="19"/>
      <c r="I407" s="19"/>
      <c r="J407" s="19"/>
      <c r="K407" s="19"/>
    </row>
    <row r="408" spans="2:11" ht="13.8">
      <c r="B408" s="13"/>
      <c r="C408" s="19"/>
      <c r="D408" s="19"/>
      <c r="E408" s="19"/>
      <c r="F408" s="19"/>
      <c r="G408" s="19"/>
      <c r="H408" s="19"/>
      <c r="I408" s="19"/>
      <c r="J408" s="19"/>
      <c r="K408" s="19"/>
    </row>
    <row r="409" spans="2:11" ht="13.8">
      <c r="B409" s="13"/>
      <c r="C409" s="19"/>
      <c r="D409" s="19"/>
      <c r="E409" s="19"/>
      <c r="F409" s="19"/>
      <c r="G409" s="19"/>
      <c r="H409" s="19"/>
      <c r="I409" s="19"/>
      <c r="J409" s="19"/>
      <c r="K409" s="19"/>
    </row>
    <row r="410" spans="2:11" ht="13.8">
      <c r="B410" s="13"/>
      <c r="C410" s="19"/>
      <c r="D410" s="19"/>
      <c r="E410" s="19"/>
      <c r="F410" s="19"/>
      <c r="G410" s="19"/>
      <c r="H410" s="19"/>
      <c r="I410" s="19"/>
      <c r="J410" s="19"/>
      <c r="K410" s="19"/>
    </row>
    <row r="411" spans="2:11" ht="13.8">
      <c r="B411" s="13"/>
      <c r="C411" s="19"/>
      <c r="D411" s="19"/>
      <c r="E411" s="19"/>
      <c r="F411" s="19"/>
      <c r="G411" s="19"/>
      <c r="H411" s="19"/>
      <c r="I411" s="19"/>
      <c r="J411" s="19"/>
      <c r="K411" s="19"/>
    </row>
    <row r="414" spans="2:11" ht="17.399999999999999">
      <c r="B414" s="469"/>
      <c r="C414" s="469"/>
      <c r="D414" s="469"/>
      <c r="E414" s="469"/>
      <c r="F414" s="469"/>
      <c r="G414" s="469"/>
      <c r="H414" s="469"/>
      <c r="I414" s="469"/>
      <c r="J414" s="469"/>
      <c r="K414" s="24"/>
    </row>
    <row r="415" spans="2:11" ht="13.8">
      <c r="B415" s="25"/>
      <c r="C415" s="19"/>
      <c r="D415" s="19"/>
      <c r="E415" s="19"/>
      <c r="F415" s="19"/>
      <c r="G415" s="19"/>
      <c r="H415" s="19"/>
      <c r="I415" s="19"/>
      <c r="J415" s="19"/>
      <c r="K415" s="19"/>
    </row>
    <row r="416" spans="2:11">
      <c r="B416" s="475"/>
      <c r="C416" s="475"/>
      <c r="D416" s="475"/>
      <c r="E416" s="475"/>
      <c r="F416" s="475"/>
      <c r="G416" s="475"/>
      <c r="H416" s="475"/>
      <c r="I416" s="475"/>
      <c r="J416" s="475"/>
      <c r="K416" s="24"/>
    </row>
    <row r="417" spans="2:11">
      <c r="B417" s="475"/>
      <c r="C417" s="475"/>
      <c r="D417" s="475"/>
      <c r="E417" s="475"/>
      <c r="F417" s="475"/>
      <c r="G417" s="475"/>
      <c r="H417" s="475"/>
      <c r="I417" s="475"/>
      <c r="J417" s="475"/>
      <c r="K417" s="24"/>
    </row>
    <row r="418" spans="2:11" ht="18.75" customHeight="1">
      <c r="B418" s="475"/>
      <c r="C418" s="475"/>
      <c r="D418" s="475"/>
      <c r="E418" s="475"/>
      <c r="F418" s="475"/>
      <c r="G418" s="475"/>
      <c r="H418" s="475"/>
      <c r="I418" s="475"/>
      <c r="J418" s="475"/>
      <c r="K418" s="24"/>
    </row>
    <row r="419" spans="2:11" ht="13.8">
      <c r="B419" s="28"/>
      <c r="C419" s="19"/>
      <c r="D419" s="22"/>
      <c r="E419" s="22"/>
      <c r="F419" s="22"/>
      <c r="G419" s="19"/>
      <c r="H419" s="19"/>
      <c r="I419" s="19"/>
      <c r="J419" s="19"/>
      <c r="K419" s="19"/>
    </row>
    <row r="420" spans="2:11" ht="13.8">
      <c r="B420" s="20"/>
      <c r="C420" s="22"/>
      <c r="D420" s="22"/>
      <c r="E420" s="22"/>
      <c r="F420" s="22"/>
      <c r="G420" s="22"/>
      <c r="H420" s="22"/>
      <c r="I420" s="22"/>
      <c r="J420" s="22"/>
      <c r="K420" s="22"/>
    </row>
    <row r="421" spans="2:11" ht="13.8">
      <c r="B421" s="13"/>
      <c r="C421" s="22"/>
      <c r="D421" s="22"/>
      <c r="E421" s="30"/>
      <c r="F421" s="30"/>
      <c r="G421" s="30"/>
      <c r="H421" s="30"/>
      <c r="I421" s="30"/>
      <c r="J421" s="30"/>
      <c r="K421" s="30"/>
    </row>
    <row r="422" spans="2:11" ht="13.8">
      <c r="B422" s="13"/>
      <c r="C422" s="22"/>
      <c r="D422" s="19"/>
      <c r="E422" s="19"/>
      <c r="F422" s="19"/>
      <c r="G422" s="19"/>
      <c r="H422" s="19"/>
      <c r="I422" s="19"/>
      <c r="J422" s="19"/>
      <c r="K422" s="19"/>
    </row>
    <row r="423" spans="2:11" ht="13.8">
      <c r="B423" s="31"/>
      <c r="C423" s="19"/>
      <c r="D423" s="19"/>
      <c r="E423" s="19"/>
      <c r="F423" s="19"/>
      <c r="G423" s="19"/>
      <c r="H423" s="19"/>
      <c r="I423" s="19"/>
      <c r="J423" s="19"/>
      <c r="K423" s="19"/>
    </row>
    <row r="424" spans="2:11" ht="13.8">
      <c r="B424" s="33"/>
      <c r="C424" s="19"/>
      <c r="D424" s="19"/>
      <c r="E424" s="19"/>
      <c r="F424" s="19"/>
      <c r="G424" s="19"/>
      <c r="H424" s="19"/>
      <c r="I424" s="19"/>
      <c r="J424" s="19"/>
      <c r="K424" s="19"/>
    </row>
    <row r="425" spans="2:11" ht="13.8">
      <c r="B425" s="33"/>
      <c r="C425" s="19"/>
      <c r="D425" s="19"/>
      <c r="E425" s="19"/>
      <c r="F425" s="19"/>
      <c r="G425" s="19"/>
      <c r="H425" s="19"/>
      <c r="I425" s="19"/>
      <c r="J425" s="19"/>
      <c r="K425" s="19"/>
    </row>
    <row r="426" spans="2:11" ht="13.8">
      <c r="B426" s="16"/>
      <c r="C426" s="19"/>
      <c r="D426" s="19"/>
      <c r="E426" s="19"/>
      <c r="F426" s="19"/>
      <c r="G426" s="19"/>
      <c r="H426" s="19"/>
      <c r="I426" s="19"/>
      <c r="J426" s="19"/>
      <c r="K426" s="19"/>
    </row>
    <row r="427" spans="2:11" ht="13.8">
      <c r="B427" s="13"/>
      <c r="C427" s="19"/>
      <c r="D427" s="19"/>
      <c r="E427" s="19"/>
      <c r="F427" s="19"/>
      <c r="G427" s="19"/>
      <c r="H427" s="19"/>
      <c r="I427" s="19"/>
      <c r="J427" s="19"/>
      <c r="K427" s="19"/>
    </row>
    <row r="428" spans="2:11" ht="13.8">
      <c r="B428" s="31"/>
      <c r="C428" s="19"/>
      <c r="D428" s="19"/>
      <c r="E428" s="19"/>
      <c r="F428" s="19"/>
      <c r="G428" s="19"/>
      <c r="H428" s="19"/>
      <c r="I428" s="19"/>
      <c r="J428" s="19"/>
      <c r="K428" s="19"/>
    </row>
    <row r="429" spans="2:11" ht="13.8">
      <c r="B429" s="15"/>
      <c r="C429" s="19"/>
      <c r="D429" s="19"/>
      <c r="E429" s="19"/>
      <c r="F429" s="19"/>
      <c r="G429" s="19"/>
      <c r="H429" s="19"/>
      <c r="I429" s="19"/>
      <c r="J429" s="19"/>
      <c r="K429" s="19"/>
    </row>
    <row r="430" spans="2:11" ht="13.8">
      <c r="B430" s="15"/>
      <c r="C430" s="19"/>
      <c r="D430" s="19"/>
      <c r="E430" s="19"/>
      <c r="F430" s="19"/>
      <c r="G430" s="19"/>
      <c r="H430" s="19"/>
      <c r="I430" s="19"/>
      <c r="J430" s="19"/>
      <c r="K430" s="19"/>
    </row>
    <row r="431" spans="2:11" ht="13.8">
      <c r="B431" s="16"/>
      <c r="C431" s="19"/>
      <c r="D431" s="19"/>
      <c r="E431" s="19"/>
      <c r="F431" s="19"/>
      <c r="G431" s="19"/>
      <c r="H431" s="19"/>
      <c r="I431" s="19"/>
      <c r="J431" s="19"/>
      <c r="K431" s="19"/>
    </row>
    <row r="432" spans="2:11" ht="13.8">
      <c r="B432" s="16"/>
      <c r="C432" s="19"/>
      <c r="D432" s="19"/>
      <c r="E432" s="19"/>
      <c r="F432" s="19"/>
      <c r="G432" s="19"/>
      <c r="H432" s="19"/>
      <c r="I432" s="19"/>
      <c r="J432" s="19"/>
      <c r="K432" s="19"/>
    </row>
    <row r="433" spans="2:11" ht="13.8">
      <c r="B433" s="17"/>
      <c r="C433" s="19"/>
      <c r="D433" s="19"/>
      <c r="E433" s="19"/>
      <c r="F433" s="19"/>
      <c r="G433" s="19"/>
      <c r="H433" s="19"/>
      <c r="I433" s="19"/>
      <c r="J433" s="19"/>
      <c r="K433" s="19"/>
    </row>
    <row r="434" spans="2:11" ht="13.8">
      <c r="B434" s="17"/>
      <c r="C434" s="19"/>
      <c r="D434" s="19"/>
      <c r="E434" s="19"/>
      <c r="F434" s="19"/>
      <c r="G434" s="19"/>
      <c r="H434" s="19"/>
      <c r="I434" s="19"/>
      <c r="J434" s="19"/>
      <c r="K434" s="19"/>
    </row>
    <row r="435" spans="2:11" ht="13.8">
      <c r="B435" s="31"/>
      <c r="C435" s="19"/>
      <c r="D435" s="19"/>
      <c r="E435" s="19"/>
      <c r="F435" s="19"/>
      <c r="G435" s="19"/>
      <c r="H435" s="19"/>
      <c r="I435" s="19"/>
      <c r="J435" s="19"/>
      <c r="K435" s="19"/>
    </row>
    <row r="436" spans="2:11" ht="13.8">
      <c r="B436" s="18"/>
      <c r="C436" s="19"/>
      <c r="D436" s="19"/>
      <c r="E436" s="19"/>
      <c r="F436" s="19"/>
      <c r="G436" s="19"/>
      <c r="H436" s="19"/>
      <c r="I436" s="19"/>
      <c r="J436" s="19"/>
      <c r="K436" s="19"/>
    </row>
    <row r="437" spans="2:11" ht="13.8">
      <c r="B437" s="18"/>
      <c r="C437" s="19"/>
      <c r="D437" s="19"/>
      <c r="E437" s="19"/>
      <c r="F437" s="19"/>
      <c r="G437" s="19"/>
      <c r="H437" s="19"/>
      <c r="I437" s="19"/>
      <c r="J437" s="19"/>
      <c r="K437" s="19"/>
    </row>
    <row r="438" spans="2:11" ht="13.8">
      <c r="B438" s="13"/>
      <c r="C438" s="19"/>
      <c r="D438" s="19"/>
      <c r="E438" s="19"/>
      <c r="F438" s="19"/>
      <c r="G438" s="19"/>
      <c r="H438" s="19"/>
      <c r="I438" s="19"/>
      <c r="J438" s="19"/>
      <c r="K438" s="19"/>
    </row>
    <row r="439" spans="2:11" ht="13.8">
      <c r="B439" s="13"/>
      <c r="C439" s="19"/>
      <c r="D439" s="19"/>
      <c r="E439" s="19"/>
      <c r="F439" s="19"/>
      <c r="G439" s="19"/>
      <c r="H439" s="19"/>
      <c r="I439" s="19"/>
      <c r="J439" s="19"/>
      <c r="K439" s="19"/>
    </row>
    <row r="440" spans="2:11" ht="13.8">
      <c r="B440" s="13"/>
      <c r="C440" s="19"/>
      <c r="D440" s="19"/>
      <c r="E440" s="19"/>
      <c r="F440" s="19"/>
      <c r="G440" s="19"/>
      <c r="H440" s="19"/>
      <c r="I440" s="19"/>
      <c r="J440" s="19"/>
      <c r="K440" s="19"/>
    </row>
    <row r="441" spans="2:11" ht="13.8">
      <c r="B441" s="13"/>
      <c r="C441" s="19"/>
      <c r="D441" s="19"/>
      <c r="E441" s="19"/>
      <c r="F441" s="19"/>
      <c r="G441" s="19"/>
      <c r="H441" s="19"/>
      <c r="I441" s="19"/>
      <c r="J441" s="19"/>
      <c r="K441" s="19"/>
    </row>
    <row r="442" spans="2:11" ht="13.8">
      <c r="B442" s="13"/>
      <c r="C442" s="19"/>
      <c r="D442" s="19"/>
      <c r="E442" s="19"/>
      <c r="F442" s="19"/>
      <c r="G442" s="19"/>
      <c r="H442" s="19"/>
      <c r="I442" s="19"/>
      <c r="J442" s="19"/>
      <c r="K442" s="19"/>
    </row>
    <row r="443" spans="2:11" ht="13.8">
      <c r="B443" s="13"/>
      <c r="C443" s="19"/>
      <c r="D443" s="19"/>
      <c r="E443" s="19"/>
      <c r="F443" s="19"/>
      <c r="G443" s="19"/>
      <c r="H443" s="19"/>
      <c r="I443" s="19"/>
      <c r="J443" s="19"/>
      <c r="K443" s="19"/>
    </row>
    <row r="444" spans="2:11" ht="13.8">
      <c r="B444" s="13"/>
      <c r="C444" s="19"/>
      <c r="D444" s="19"/>
      <c r="E444" s="19"/>
      <c r="F444" s="19"/>
      <c r="G444" s="19"/>
      <c r="H444" s="19"/>
      <c r="I444" s="19"/>
      <c r="J444" s="19"/>
      <c r="K444" s="19"/>
    </row>
    <row r="445" spans="2:11" ht="13.8">
      <c r="B445" s="13"/>
      <c r="C445" s="19"/>
      <c r="D445" s="19"/>
      <c r="E445" s="19"/>
      <c r="F445" s="19"/>
      <c r="G445" s="19"/>
      <c r="H445" s="19"/>
      <c r="I445" s="19"/>
      <c r="J445" s="19"/>
      <c r="K445" s="19"/>
    </row>
    <row r="446" spans="2:11" ht="13.8">
      <c r="B446" s="13"/>
      <c r="C446" s="19"/>
      <c r="D446" s="19"/>
      <c r="E446" s="19"/>
      <c r="F446" s="19"/>
      <c r="G446" s="19"/>
      <c r="H446" s="19"/>
      <c r="I446" s="19"/>
      <c r="J446" s="19"/>
      <c r="K446" s="19"/>
    </row>
    <row r="447" spans="2:11" ht="13.8">
      <c r="B447" s="13"/>
      <c r="C447" s="19"/>
      <c r="D447" s="19"/>
      <c r="E447" s="19"/>
      <c r="F447" s="19"/>
      <c r="G447" s="19"/>
      <c r="H447" s="19"/>
      <c r="I447" s="19"/>
      <c r="J447" s="19"/>
      <c r="K447" s="19"/>
    </row>
    <row r="450" spans="2:11" ht="17.399999999999999">
      <c r="B450" s="469"/>
      <c r="C450" s="469"/>
      <c r="D450" s="469"/>
      <c r="E450" s="469"/>
      <c r="F450" s="469"/>
      <c r="G450" s="469"/>
      <c r="H450" s="469"/>
      <c r="I450" s="469"/>
      <c r="J450" s="469"/>
      <c r="K450" s="24"/>
    </row>
    <row r="451" spans="2:11" ht="13.8">
      <c r="B451" s="25"/>
      <c r="C451" s="19"/>
      <c r="D451" s="19"/>
      <c r="E451" s="19"/>
      <c r="F451" s="19"/>
      <c r="G451" s="19"/>
      <c r="H451" s="19"/>
      <c r="I451" s="19"/>
      <c r="J451" s="19"/>
      <c r="K451" s="19"/>
    </row>
    <row r="452" spans="2:11">
      <c r="B452" s="473"/>
      <c r="C452" s="473"/>
      <c r="D452" s="473"/>
      <c r="E452" s="473"/>
      <c r="F452" s="473"/>
      <c r="G452" s="473"/>
      <c r="H452" s="473"/>
      <c r="I452" s="473"/>
      <c r="J452" s="473"/>
      <c r="K452" s="24"/>
    </row>
    <row r="453" spans="2:11">
      <c r="B453" s="473"/>
      <c r="C453" s="473"/>
      <c r="D453" s="473"/>
      <c r="E453" s="473"/>
      <c r="F453" s="473"/>
      <c r="G453" s="473"/>
      <c r="H453" s="473"/>
      <c r="I453" s="473"/>
      <c r="J453" s="473"/>
      <c r="K453" s="24"/>
    </row>
    <row r="454" spans="2:11">
      <c r="B454" s="473"/>
      <c r="C454" s="473"/>
      <c r="D454" s="473"/>
      <c r="E454" s="473"/>
      <c r="F454" s="473"/>
      <c r="G454" s="473"/>
      <c r="H454" s="473"/>
      <c r="I454" s="473"/>
      <c r="J454" s="473"/>
      <c r="K454" s="24"/>
    </row>
    <row r="455" spans="2:11" ht="23.25" customHeight="1">
      <c r="B455" s="473"/>
      <c r="C455" s="473"/>
      <c r="D455" s="473"/>
      <c r="E455" s="473"/>
      <c r="F455" s="473"/>
      <c r="G455" s="473"/>
      <c r="H455" s="473"/>
      <c r="I455" s="473"/>
      <c r="J455" s="473"/>
      <c r="K455" s="24"/>
    </row>
    <row r="456" spans="2:11" ht="13.8">
      <c r="B456" s="28"/>
      <c r="C456" s="19"/>
      <c r="D456" s="22"/>
      <c r="E456" s="22"/>
      <c r="F456" s="22"/>
      <c r="G456" s="19"/>
      <c r="H456" s="19"/>
      <c r="I456" s="19"/>
      <c r="J456" s="19"/>
      <c r="K456" s="19"/>
    </row>
    <row r="457" spans="2:11" ht="13.8">
      <c r="B457" s="20"/>
      <c r="C457" s="22"/>
      <c r="D457" s="22"/>
      <c r="E457" s="22"/>
      <c r="F457" s="22"/>
      <c r="G457" s="22"/>
      <c r="H457" s="22"/>
      <c r="I457" s="22"/>
      <c r="J457" s="22"/>
      <c r="K457" s="22"/>
    </row>
    <row r="458" spans="2:11" ht="13.8">
      <c r="B458" s="13"/>
      <c r="C458" s="22"/>
      <c r="D458" s="22"/>
      <c r="E458" s="30"/>
      <c r="F458" s="30"/>
      <c r="G458" s="30"/>
      <c r="H458" s="30"/>
      <c r="I458" s="30"/>
      <c r="J458" s="30"/>
      <c r="K458" s="30"/>
    </row>
    <row r="459" spans="2:11" ht="13.8">
      <c r="B459" s="13"/>
      <c r="C459" s="22"/>
      <c r="D459" s="19"/>
      <c r="E459" s="19"/>
      <c r="F459" s="19"/>
      <c r="G459" s="19"/>
      <c r="H459" s="19"/>
      <c r="I459" s="19"/>
      <c r="J459" s="19"/>
      <c r="K459" s="19"/>
    </row>
    <row r="460" spans="2:11" ht="13.8">
      <c r="B460" s="31"/>
      <c r="C460" s="19"/>
      <c r="D460" s="19"/>
      <c r="E460" s="19"/>
      <c r="F460" s="19"/>
      <c r="G460" s="19"/>
      <c r="H460" s="19"/>
      <c r="I460" s="19"/>
      <c r="J460" s="19"/>
      <c r="K460" s="19"/>
    </row>
    <row r="461" spans="2:11" ht="13.8">
      <c r="B461" s="32"/>
      <c r="C461" s="19"/>
      <c r="D461" s="19"/>
      <c r="E461" s="19"/>
      <c r="F461" s="19"/>
      <c r="G461" s="19"/>
      <c r="H461" s="19"/>
      <c r="I461" s="19"/>
      <c r="J461" s="19"/>
      <c r="K461" s="19"/>
    </row>
    <row r="462" spans="2:11" ht="13.8">
      <c r="B462" s="33"/>
      <c r="C462" s="19"/>
      <c r="D462" s="19"/>
      <c r="E462" s="19"/>
      <c r="F462" s="19"/>
      <c r="G462" s="19"/>
      <c r="H462" s="19"/>
      <c r="I462" s="19"/>
      <c r="J462" s="19"/>
      <c r="K462" s="19"/>
    </row>
    <row r="463" spans="2:11" ht="13.8">
      <c r="B463" s="33"/>
      <c r="C463" s="19"/>
      <c r="D463" s="19"/>
      <c r="E463" s="19"/>
      <c r="F463" s="19"/>
      <c r="G463" s="19"/>
      <c r="H463" s="19"/>
      <c r="I463" s="19"/>
      <c r="J463" s="19"/>
      <c r="K463" s="19"/>
    </row>
    <row r="464" spans="2:11" ht="13.8">
      <c r="B464" s="33"/>
      <c r="C464" s="19"/>
      <c r="D464" s="19"/>
      <c r="E464" s="19"/>
      <c r="F464" s="19"/>
      <c r="G464" s="19"/>
      <c r="H464" s="19"/>
      <c r="I464" s="19"/>
      <c r="J464" s="19"/>
      <c r="K464" s="19"/>
    </row>
    <row r="465" spans="2:11" ht="13.8">
      <c r="B465" s="33"/>
      <c r="C465" s="19"/>
      <c r="D465" s="19"/>
      <c r="E465" s="19"/>
      <c r="F465" s="19"/>
      <c r="G465" s="19"/>
      <c r="H465" s="19"/>
      <c r="I465" s="19"/>
      <c r="J465" s="19"/>
      <c r="K465" s="19"/>
    </row>
    <row r="466" spans="2:11" ht="13.8">
      <c r="B466" s="33"/>
      <c r="C466" s="19"/>
      <c r="D466" s="19"/>
      <c r="E466" s="19"/>
      <c r="F466" s="19"/>
      <c r="G466" s="19"/>
      <c r="H466" s="19"/>
      <c r="I466" s="19"/>
      <c r="J466" s="19"/>
      <c r="K466" s="19"/>
    </row>
    <row r="467" spans="2:11" ht="13.8">
      <c r="B467" s="16"/>
      <c r="C467" s="19"/>
      <c r="D467" s="19"/>
      <c r="E467" s="19"/>
      <c r="F467" s="19"/>
      <c r="G467" s="19"/>
      <c r="H467" s="19"/>
      <c r="I467" s="19"/>
      <c r="J467" s="19"/>
      <c r="K467" s="19"/>
    </row>
    <row r="468" spans="2:11" ht="13.8">
      <c r="B468" s="13"/>
      <c r="C468" s="19"/>
      <c r="D468" s="19"/>
      <c r="E468" s="19"/>
      <c r="F468" s="19"/>
      <c r="G468" s="19"/>
      <c r="H468" s="19"/>
      <c r="I468" s="19"/>
      <c r="J468" s="19"/>
      <c r="K468" s="19"/>
    </row>
    <row r="469" spans="2:11" ht="13.8">
      <c r="B469" s="31"/>
      <c r="C469" s="19"/>
      <c r="D469" s="19"/>
      <c r="E469" s="19"/>
      <c r="F469" s="19"/>
      <c r="G469" s="19"/>
      <c r="H469" s="19"/>
      <c r="I469" s="19"/>
      <c r="J469" s="19"/>
      <c r="K469" s="19"/>
    </row>
    <row r="470" spans="2:11" ht="13.8">
      <c r="B470" s="15"/>
      <c r="C470" s="19"/>
      <c r="D470" s="19"/>
      <c r="E470" s="19"/>
      <c r="F470" s="19"/>
      <c r="G470" s="19"/>
      <c r="H470" s="19"/>
      <c r="I470" s="19"/>
      <c r="J470" s="19"/>
      <c r="K470" s="19"/>
    </row>
    <row r="471" spans="2:11" ht="13.8">
      <c r="B471" s="15"/>
      <c r="C471" s="19"/>
      <c r="D471" s="19"/>
      <c r="E471" s="19"/>
      <c r="F471" s="19"/>
      <c r="G471" s="19"/>
      <c r="H471" s="19"/>
      <c r="I471" s="19"/>
      <c r="J471" s="19"/>
      <c r="K471" s="19"/>
    </row>
    <row r="472" spans="2:11" ht="13.8">
      <c r="B472" s="15"/>
      <c r="C472" s="19"/>
      <c r="D472" s="19"/>
      <c r="E472" s="19"/>
      <c r="F472" s="19"/>
      <c r="G472" s="19"/>
      <c r="H472" s="19"/>
      <c r="I472" s="19"/>
      <c r="J472" s="19"/>
      <c r="K472" s="19"/>
    </row>
    <row r="473" spans="2:11" ht="13.8">
      <c r="B473" s="15"/>
      <c r="C473" s="19"/>
      <c r="D473" s="19"/>
      <c r="E473" s="19"/>
      <c r="F473" s="19"/>
      <c r="G473" s="19"/>
      <c r="H473" s="19"/>
      <c r="I473" s="19"/>
      <c r="J473" s="19"/>
      <c r="K473" s="19"/>
    </row>
    <row r="474" spans="2:11" ht="13.8">
      <c r="B474" s="15"/>
      <c r="C474" s="19"/>
      <c r="D474" s="19"/>
      <c r="E474" s="19"/>
      <c r="F474" s="19"/>
      <c r="G474" s="19"/>
      <c r="H474" s="19"/>
      <c r="I474" s="19"/>
      <c r="J474" s="19"/>
      <c r="K474" s="19"/>
    </row>
    <row r="475" spans="2:11" ht="13.8">
      <c r="B475" s="16"/>
      <c r="C475" s="19"/>
      <c r="D475" s="19"/>
      <c r="E475" s="19"/>
      <c r="F475" s="19"/>
      <c r="G475" s="19"/>
      <c r="H475" s="19"/>
      <c r="I475" s="19"/>
      <c r="J475" s="19"/>
      <c r="K475" s="19"/>
    </row>
    <row r="476" spans="2:11" ht="13.8">
      <c r="B476" s="16"/>
      <c r="C476" s="19"/>
      <c r="D476" s="19"/>
      <c r="E476" s="19"/>
      <c r="F476" s="19"/>
      <c r="G476" s="19"/>
      <c r="H476" s="19"/>
      <c r="I476" s="19"/>
      <c r="J476" s="19"/>
      <c r="K476" s="19"/>
    </row>
    <row r="477" spans="2:11" ht="13.8">
      <c r="B477" s="17"/>
      <c r="C477" s="19"/>
      <c r="D477" s="19"/>
      <c r="E477" s="19"/>
      <c r="F477" s="19"/>
      <c r="G477" s="19"/>
      <c r="H477" s="19"/>
      <c r="I477" s="19"/>
      <c r="J477" s="19"/>
      <c r="K477" s="19"/>
    </row>
    <row r="478" spans="2:11" ht="13.8">
      <c r="B478" s="17"/>
      <c r="C478" s="19"/>
      <c r="D478" s="19"/>
      <c r="E478" s="19"/>
      <c r="F478" s="19"/>
      <c r="G478" s="19"/>
      <c r="H478" s="19"/>
      <c r="I478" s="19"/>
      <c r="J478" s="19"/>
      <c r="K478" s="19"/>
    </row>
    <row r="479" spans="2:11" ht="13.8">
      <c r="B479" s="31"/>
      <c r="C479" s="19"/>
      <c r="D479" s="19"/>
      <c r="E479" s="19"/>
      <c r="F479" s="19"/>
      <c r="G479" s="19"/>
      <c r="H479" s="19"/>
      <c r="I479" s="19"/>
      <c r="J479" s="19"/>
      <c r="K479" s="19"/>
    </row>
    <row r="480" spans="2:11" ht="13.8">
      <c r="B480" s="18"/>
      <c r="C480" s="19"/>
      <c r="D480" s="19"/>
      <c r="E480" s="19"/>
      <c r="F480" s="19"/>
      <c r="G480" s="19"/>
      <c r="H480" s="19"/>
      <c r="I480" s="19"/>
      <c r="J480" s="19"/>
      <c r="K480" s="19"/>
    </row>
    <row r="481" spans="2:11" ht="13.8">
      <c r="B481" s="18"/>
      <c r="C481" s="19"/>
      <c r="D481" s="19"/>
      <c r="E481" s="19"/>
      <c r="F481" s="19"/>
      <c r="G481" s="19"/>
      <c r="H481" s="19"/>
      <c r="I481" s="19"/>
      <c r="J481" s="19"/>
      <c r="K481" s="19"/>
    </row>
    <row r="482" spans="2:11" ht="13.8">
      <c r="B482" s="13"/>
      <c r="C482" s="19"/>
      <c r="D482" s="19"/>
      <c r="E482" s="19"/>
      <c r="F482" s="19"/>
      <c r="G482" s="19"/>
      <c r="H482" s="19"/>
      <c r="I482" s="19"/>
      <c r="J482" s="19"/>
      <c r="K482" s="19"/>
    </row>
    <row r="483" spans="2:11" ht="13.8">
      <c r="B483" s="13"/>
      <c r="C483" s="19"/>
      <c r="D483" s="19"/>
      <c r="E483" s="19"/>
      <c r="F483" s="19"/>
      <c r="G483" s="19"/>
      <c r="H483" s="19"/>
      <c r="I483" s="19"/>
      <c r="J483" s="19"/>
      <c r="K483" s="19"/>
    </row>
    <row r="484" spans="2:11" ht="13.8">
      <c r="B484" s="13"/>
      <c r="C484" s="19"/>
      <c r="D484" s="19"/>
      <c r="E484" s="19"/>
      <c r="F484" s="19"/>
      <c r="G484" s="19"/>
      <c r="H484" s="19"/>
      <c r="I484" s="19"/>
      <c r="J484" s="19"/>
      <c r="K484" s="19"/>
    </row>
    <row r="485" spans="2:11" ht="13.8">
      <c r="B485" s="13"/>
      <c r="C485" s="19"/>
      <c r="D485" s="19"/>
      <c r="E485" s="19"/>
      <c r="F485" s="19"/>
      <c r="G485" s="19"/>
      <c r="H485" s="19"/>
      <c r="I485" s="19"/>
      <c r="J485" s="19"/>
      <c r="K485" s="19"/>
    </row>
    <row r="486" spans="2:11" ht="13.8">
      <c r="B486" s="13"/>
      <c r="C486" s="19"/>
      <c r="D486" s="19"/>
      <c r="E486" s="19"/>
      <c r="F486" s="19"/>
      <c r="G486" s="19"/>
      <c r="H486" s="19"/>
      <c r="I486" s="19"/>
      <c r="J486" s="19"/>
      <c r="K486" s="19"/>
    </row>
    <row r="487" spans="2:11" ht="13.8">
      <c r="B487" s="13"/>
      <c r="C487" s="19"/>
      <c r="D487" s="19"/>
      <c r="E487" s="19"/>
      <c r="F487" s="19"/>
      <c r="G487" s="19"/>
      <c r="H487" s="19"/>
      <c r="I487" s="19"/>
      <c r="J487" s="19"/>
      <c r="K487" s="19"/>
    </row>
    <row r="488" spans="2:11" ht="13.8">
      <c r="B488" s="13"/>
      <c r="C488" s="19"/>
      <c r="D488" s="19"/>
      <c r="E488" s="19"/>
      <c r="F488" s="19"/>
      <c r="G488" s="19"/>
      <c r="H488" s="19"/>
      <c r="I488" s="19"/>
      <c r="J488" s="19"/>
      <c r="K488" s="19"/>
    </row>
    <row r="489" spans="2:11" ht="13.8">
      <c r="B489" s="13"/>
      <c r="C489" s="19"/>
      <c r="D489" s="19"/>
      <c r="E489" s="19"/>
      <c r="F489" s="19"/>
      <c r="G489" s="19"/>
      <c r="H489" s="19"/>
      <c r="I489" s="19"/>
      <c r="J489" s="19"/>
      <c r="K489" s="19"/>
    </row>
    <row r="490" spans="2:11" ht="13.8">
      <c r="B490" s="13"/>
      <c r="C490" s="19"/>
      <c r="D490" s="19"/>
      <c r="E490" s="19"/>
      <c r="F490" s="19"/>
      <c r="G490" s="19"/>
      <c r="H490" s="19"/>
      <c r="I490" s="19"/>
      <c r="J490" s="19"/>
      <c r="K490" s="19"/>
    </row>
    <row r="491" spans="2:11" ht="13.8">
      <c r="B491" s="13"/>
      <c r="C491" s="19"/>
      <c r="D491" s="19"/>
      <c r="E491" s="19"/>
      <c r="F491" s="19"/>
      <c r="G491" s="19"/>
      <c r="H491" s="19"/>
      <c r="I491" s="19"/>
      <c r="J491" s="19"/>
      <c r="K491" s="19"/>
    </row>
    <row r="492" spans="2:11" ht="13.8">
      <c r="B492" s="13"/>
      <c r="C492" s="19"/>
      <c r="D492" s="19"/>
      <c r="E492" s="19"/>
      <c r="F492" s="19"/>
      <c r="G492" s="19"/>
      <c r="H492" s="19"/>
      <c r="I492" s="19"/>
      <c r="J492" s="19"/>
      <c r="K492" s="19"/>
    </row>
    <row r="495" spans="2:11" ht="17.399999999999999">
      <c r="B495" s="469"/>
      <c r="C495" s="469"/>
      <c r="D495" s="469"/>
      <c r="E495" s="469"/>
      <c r="F495" s="469"/>
      <c r="G495" s="469"/>
      <c r="H495" s="469"/>
      <c r="I495" s="469"/>
      <c r="J495" s="469"/>
      <c r="K495" s="24"/>
    </row>
    <row r="496" spans="2:11" ht="13.8">
      <c r="B496" s="25"/>
      <c r="C496" s="19"/>
      <c r="D496" s="19"/>
      <c r="E496" s="19"/>
      <c r="F496" s="19"/>
      <c r="G496" s="19"/>
      <c r="H496" s="19"/>
      <c r="I496" s="19"/>
      <c r="J496" s="19"/>
      <c r="K496" s="19"/>
    </row>
    <row r="497" spans="2:11">
      <c r="B497" s="473"/>
      <c r="C497" s="473"/>
      <c r="D497" s="473"/>
      <c r="E497" s="473"/>
      <c r="F497" s="473"/>
      <c r="G497" s="473"/>
      <c r="H497" s="473"/>
      <c r="I497" s="473"/>
      <c r="J497" s="473"/>
      <c r="K497" s="24"/>
    </row>
    <row r="498" spans="2:11">
      <c r="B498" s="473"/>
      <c r="C498" s="473"/>
      <c r="D498" s="473"/>
      <c r="E498" s="473"/>
      <c r="F498" s="473"/>
      <c r="G498" s="473"/>
      <c r="H498" s="473"/>
      <c r="I498" s="473"/>
      <c r="J498" s="473"/>
      <c r="K498" s="24"/>
    </row>
    <row r="499" spans="2:11">
      <c r="B499" s="473"/>
      <c r="C499" s="473"/>
      <c r="D499" s="473"/>
      <c r="E499" s="473"/>
      <c r="F499" s="473"/>
      <c r="G499" s="473"/>
      <c r="H499" s="473"/>
      <c r="I499" s="473"/>
      <c r="J499" s="473"/>
      <c r="K499" s="24"/>
    </row>
    <row r="500" spans="2:11">
      <c r="B500" s="473"/>
      <c r="C500" s="473"/>
      <c r="D500" s="473"/>
      <c r="E500" s="473"/>
      <c r="F500" s="473"/>
      <c r="G500" s="473"/>
      <c r="H500" s="473"/>
      <c r="I500" s="473"/>
      <c r="J500" s="473"/>
      <c r="K500" s="24"/>
    </row>
    <row r="501" spans="2:11" ht="13.8">
      <c r="B501" s="26"/>
      <c r="C501" s="27"/>
      <c r="D501" s="27"/>
      <c r="E501" s="27"/>
      <c r="F501" s="27"/>
      <c r="G501" s="27"/>
      <c r="H501" s="19"/>
      <c r="I501" s="19"/>
      <c r="J501" s="19"/>
      <c r="K501" s="19"/>
    </row>
    <row r="502" spans="2:11" ht="13.8">
      <c r="B502" s="28"/>
      <c r="C502" s="19"/>
      <c r="D502" s="22"/>
      <c r="E502" s="22"/>
      <c r="F502" s="22"/>
      <c r="G502" s="19"/>
      <c r="H502" s="19"/>
      <c r="I502" s="19"/>
      <c r="J502" s="19"/>
      <c r="K502" s="19"/>
    </row>
    <row r="503" spans="2:11" ht="13.8">
      <c r="B503" s="20"/>
      <c r="C503" s="22"/>
      <c r="D503" s="22"/>
      <c r="E503" s="22"/>
      <c r="F503" s="22"/>
      <c r="G503" s="22"/>
      <c r="H503" s="22"/>
      <c r="I503" s="22"/>
      <c r="J503" s="22"/>
      <c r="K503" s="22"/>
    </row>
    <row r="504" spans="2:11" ht="13.8">
      <c r="B504" s="13"/>
      <c r="C504" s="22"/>
      <c r="D504" s="22"/>
      <c r="E504" s="30"/>
      <c r="F504" s="30"/>
      <c r="G504" s="30"/>
      <c r="H504" s="30"/>
      <c r="I504" s="30"/>
      <c r="J504" s="30"/>
      <c r="K504" s="30"/>
    </row>
    <row r="505" spans="2:11" ht="13.8">
      <c r="B505" s="13"/>
      <c r="C505" s="22"/>
      <c r="D505" s="19"/>
      <c r="E505" s="19"/>
      <c r="F505" s="19"/>
      <c r="G505" s="19"/>
      <c r="H505" s="19"/>
      <c r="I505" s="19"/>
      <c r="J505" s="19"/>
      <c r="K505" s="19"/>
    </row>
    <row r="506" spans="2:11" ht="13.8">
      <c r="B506" s="31"/>
      <c r="C506" s="19"/>
      <c r="D506" s="19"/>
      <c r="E506" s="19"/>
      <c r="F506" s="19"/>
      <c r="G506" s="19"/>
      <c r="H506" s="19"/>
      <c r="I506" s="19"/>
      <c r="J506" s="19"/>
      <c r="K506" s="19"/>
    </row>
    <row r="507" spans="2:11" ht="13.8">
      <c r="B507" s="33"/>
      <c r="C507" s="19"/>
      <c r="D507" s="19"/>
      <c r="E507" s="19"/>
      <c r="F507" s="19"/>
      <c r="G507" s="19"/>
      <c r="H507" s="19"/>
      <c r="I507" s="19"/>
      <c r="J507" s="19"/>
      <c r="K507" s="19"/>
    </row>
    <row r="508" spans="2:11" ht="13.8">
      <c r="B508" s="33"/>
      <c r="C508" s="19"/>
      <c r="D508" s="19"/>
      <c r="E508" s="19"/>
      <c r="F508" s="19"/>
      <c r="G508" s="19"/>
      <c r="H508" s="19"/>
      <c r="I508" s="19"/>
      <c r="J508" s="19"/>
      <c r="K508" s="19"/>
    </row>
    <row r="509" spans="2:11" ht="13.8">
      <c r="B509" s="16"/>
      <c r="C509" s="19"/>
      <c r="D509" s="19"/>
      <c r="E509" s="19"/>
      <c r="F509" s="19"/>
      <c r="G509" s="19"/>
      <c r="H509" s="19"/>
      <c r="I509" s="19"/>
      <c r="J509" s="19"/>
      <c r="K509" s="19"/>
    </row>
    <row r="510" spans="2:11" ht="13.8">
      <c r="B510" s="13"/>
      <c r="C510" s="19"/>
      <c r="D510" s="19"/>
      <c r="E510" s="19"/>
      <c r="F510" s="19"/>
      <c r="G510" s="19"/>
      <c r="H510" s="19"/>
      <c r="I510" s="19"/>
      <c r="J510" s="19"/>
      <c r="K510" s="19"/>
    </row>
    <row r="511" spans="2:11" ht="13.8">
      <c r="B511" s="31"/>
      <c r="C511" s="19"/>
      <c r="D511" s="19"/>
      <c r="E511" s="19"/>
      <c r="F511" s="19"/>
      <c r="G511" s="19"/>
      <c r="H511" s="19"/>
      <c r="I511" s="19"/>
      <c r="J511" s="19"/>
      <c r="K511" s="19"/>
    </row>
    <row r="512" spans="2:11" ht="13.8">
      <c r="B512" s="15"/>
      <c r="C512" s="19"/>
      <c r="D512" s="19"/>
      <c r="E512" s="19"/>
      <c r="F512" s="19"/>
      <c r="G512" s="19"/>
      <c r="H512" s="19"/>
      <c r="I512" s="19"/>
      <c r="J512" s="19"/>
      <c r="K512" s="19"/>
    </row>
    <row r="513" spans="2:11" ht="13.8">
      <c r="B513" s="15"/>
      <c r="C513" s="19"/>
      <c r="D513" s="19"/>
      <c r="E513" s="19"/>
      <c r="F513" s="19"/>
      <c r="G513" s="19"/>
      <c r="H513" s="19"/>
      <c r="I513" s="19"/>
      <c r="J513" s="19"/>
      <c r="K513" s="19"/>
    </row>
    <row r="514" spans="2:11" ht="13.8">
      <c r="B514" s="15"/>
      <c r="C514" s="19"/>
      <c r="D514" s="19"/>
      <c r="E514" s="19"/>
      <c r="F514" s="19"/>
      <c r="G514" s="19"/>
      <c r="H514" s="19"/>
      <c r="I514" s="19"/>
      <c r="J514" s="19"/>
      <c r="K514" s="19"/>
    </row>
    <row r="515" spans="2:11" ht="13.8">
      <c r="B515" s="15"/>
      <c r="C515" s="19"/>
      <c r="D515" s="19"/>
      <c r="E515" s="19"/>
      <c r="F515" s="19"/>
      <c r="G515" s="19"/>
      <c r="H515" s="19"/>
      <c r="I515" s="19"/>
      <c r="J515" s="19"/>
      <c r="K515" s="19"/>
    </row>
    <row r="516" spans="2:11" ht="13.8">
      <c r="B516" s="16"/>
      <c r="C516" s="19"/>
      <c r="D516" s="19"/>
      <c r="E516" s="19"/>
      <c r="F516" s="19"/>
      <c r="G516" s="19"/>
      <c r="H516" s="19"/>
      <c r="I516" s="19"/>
      <c r="J516" s="19"/>
      <c r="K516" s="19"/>
    </row>
    <row r="517" spans="2:11" ht="13.8">
      <c r="B517" s="16"/>
      <c r="C517" s="19"/>
      <c r="D517" s="19"/>
      <c r="E517" s="19"/>
      <c r="F517" s="19"/>
      <c r="G517" s="19"/>
      <c r="H517" s="19"/>
      <c r="I517" s="19"/>
      <c r="J517" s="19"/>
      <c r="K517" s="19"/>
    </row>
    <row r="518" spans="2:11" ht="13.8">
      <c r="B518" s="17"/>
      <c r="C518" s="19"/>
      <c r="D518" s="19"/>
      <c r="E518" s="19"/>
      <c r="F518" s="19"/>
      <c r="G518" s="19"/>
      <c r="H518" s="19"/>
      <c r="I518" s="19"/>
      <c r="J518" s="19"/>
      <c r="K518" s="19"/>
    </row>
    <row r="519" spans="2:11" ht="13.8">
      <c r="B519" s="17"/>
      <c r="C519" s="19"/>
      <c r="D519" s="19"/>
      <c r="E519" s="19"/>
      <c r="F519" s="19"/>
      <c r="G519" s="19"/>
      <c r="H519" s="19"/>
      <c r="I519" s="19"/>
      <c r="J519" s="19"/>
      <c r="K519" s="19"/>
    </row>
    <row r="520" spans="2:11" ht="13.8">
      <c r="B520" s="31"/>
      <c r="C520" s="19"/>
      <c r="D520" s="19"/>
      <c r="E520" s="19"/>
      <c r="F520" s="19"/>
      <c r="G520" s="19"/>
      <c r="H520" s="19"/>
      <c r="I520" s="19"/>
      <c r="J520" s="19"/>
      <c r="K520" s="19"/>
    </row>
    <row r="521" spans="2:11" ht="13.8">
      <c r="B521" s="18"/>
      <c r="C521" s="19"/>
      <c r="D521" s="19"/>
      <c r="E521" s="19"/>
      <c r="F521" s="19"/>
      <c r="G521" s="19"/>
      <c r="H521" s="19"/>
      <c r="I521" s="19"/>
      <c r="J521" s="19"/>
      <c r="K521" s="19"/>
    </row>
    <row r="522" spans="2:11" ht="13.8">
      <c r="B522" s="18"/>
      <c r="C522" s="19"/>
      <c r="D522" s="19"/>
      <c r="E522" s="19"/>
      <c r="F522" s="19"/>
      <c r="G522" s="19"/>
      <c r="H522" s="19"/>
      <c r="I522" s="19"/>
      <c r="J522" s="19"/>
      <c r="K522" s="19"/>
    </row>
    <row r="523" spans="2:11" ht="13.8">
      <c r="B523" s="13"/>
      <c r="C523" s="19"/>
      <c r="D523" s="19"/>
      <c r="E523" s="19"/>
      <c r="F523" s="19"/>
      <c r="G523" s="19"/>
      <c r="H523" s="19"/>
      <c r="I523" s="19"/>
      <c r="J523" s="19"/>
      <c r="K523" s="19"/>
    </row>
    <row r="524" spans="2:11" ht="13.8">
      <c r="B524" s="13"/>
      <c r="C524" s="19"/>
      <c r="D524" s="19"/>
      <c r="E524" s="19"/>
      <c r="F524" s="19"/>
      <c r="G524" s="19"/>
      <c r="H524" s="19"/>
      <c r="I524" s="19"/>
      <c r="J524" s="19"/>
      <c r="K524" s="19"/>
    </row>
    <row r="525" spans="2:11" ht="13.8">
      <c r="B525" s="13"/>
      <c r="C525" s="19"/>
      <c r="D525" s="19"/>
      <c r="E525" s="19"/>
      <c r="F525" s="19"/>
      <c r="G525" s="19"/>
      <c r="H525" s="19"/>
      <c r="I525" s="19"/>
      <c r="J525" s="19"/>
      <c r="K525" s="19"/>
    </row>
    <row r="526" spans="2:11" ht="13.8">
      <c r="B526" s="13"/>
      <c r="C526" s="19"/>
      <c r="D526" s="19"/>
      <c r="E526" s="19"/>
      <c r="F526" s="19"/>
      <c r="G526" s="19"/>
      <c r="H526" s="19"/>
      <c r="I526" s="19"/>
      <c r="J526" s="19"/>
      <c r="K526" s="19"/>
    </row>
    <row r="527" spans="2:11" ht="13.8">
      <c r="B527" s="13"/>
      <c r="C527" s="19"/>
      <c r="D527" s="19"/>
      <c r="E527" s="19"/>
      <c r="F527" s="19"/>
      <c r="G527" s="19"/>
      <c r="H527" s="19"/>
      <c r="I527" s="19"/>
      <c r="J527" s="19"/>
      <c r="K527" s="19"/>
    </row>
    <row r="528" spans="2:11" ht="13.8">
      <c r="B528" s="13"/>
      <c r="C528" s="19"/>
      <c r="D528" s="19"/>
      <c r="E528" s="19"/>
      <c r="F528" s="19"/>
      <c r="G528" s="19"/>
      <c r="H528" s="19"/>
      <c r="I528" s="19"/>
      <c r="J528" s="19"/>
      <c r="K528" s="19"/>
    </row>
    <row r="529" spans="2:11" ht="13.8">
      <c r="B529" s="13"/>
      <c r="C529" s="19"/>
      <c r="D529" s="19"/>
      <c r="E529" s="19"/>
      <c r="F529" s="19"/>
      <c r="G529" s="19"/>
      <c r="H529" s="19"/>
      <c r="I529" s="19"/>
      <c r="J529" s="19"/>
      <c r="K529" s="19"/>
    </row>
    <row r="530" spans="2:11" ht="13.8">
      <c r="B530" s="13"/>
      <c r="C530" s="19"/>
      <c r="D530" s="19"/>
      <c r="E530" s="19"/>
      <c r="F530" s="19"/>
      <c r="G530" s="19"/>
      <c r="H530" s="19"/>
      <c r="I530" s="19"/>
      <c r="J530" s="19"/>
      <c r="K530" s="19"/>
    </row>
    <row r="531" spans="2:11" ht="13.8">
      <c r="B531" s="13"/>
      <c r="C531" s="19"/>
      <c r="D531" s="19"/>
      <c r="E531" s="19"/>
      <c r="F531" s="19"/>
      <c r="G531" s="19"/>
      <c r="H531" s="19"/>
      <c r="I531" s="19"/>
      <c r="J531" s="19"/>
      <c r="K531" s="19"/>
    </row>
    <row r="532" spans="2:11" ht="13.8">
      <c r="B532" s="13"/>
      <c r="C532" s="19"/>
      <c r="D532" s="19"/>
      <c r="E532" s="19"/>
      <c r="F532" s="19"/>
      <c r="G532" s="19"/>
      <c r="H532" s="19"/>
      <c r="I532" s="19"/>
      <c r="J532" s="19"/>
      <c r="K532" s="19"/>
    </row>
    <row r="535" spans="2:11" ht="17.399999999999999">
      <c r="B535" s="469"/>
      <c r="C535" s="469"/>
      <c r="D535" s="469"/>
      <c r="E535" s="469"/>
      <c r="F535" s="469"/>
      <c r="G535" s="469"/>
      <c r="H535" s="469"/>
      <c r="I535" s="469"/>
      <c r="J535" s="469"/>
      <c r="K535" s="24"/>
    </row>
    <row r="536" spans="2:11" ht="13.8">
      <c r="B536" s="25"/>
      <c r="C536" s="19"/>
      <c r="D536" s="19"/>
      <c r="E536" s="19"/>
      <c r="F536" s="19"/>
      <c r="G536" s="19"/>
      <c r="H536" s="19"/>
      <c r="I536" s="19"/>
      <c r="J536" s="19"/>
      <c r="K536" s="19"/>
    </row>
    <row r="537" spans="2:11">
      <c r="B537" s="473"/>
      <c r="C537" s="473"/>
      <c r="D537" s="473"/>
      <c r="E537" s="473"/>
      <c r="F537" s="473"/>
      <c r="G537" s="473"/>
      <c r="H537" s="473"/>
      <c r="I537" s="473"/>
      <c r="J537" s="473"/>
      <c r="K537" s="24"/>
    </row>
    <row r="538" spans="2:11">
      <c r="B538" s="473"/>
      <c r="C538" s="473"/>
      <c r="D538" s="473"/>
      <c r="E538" s="473"/>
      <c r="F538" s="473"/>
      <c r="G538" s="473"/>
      <c r="H538" s="473"/>
      <c r="I538" s="473"/>
      <c r="J538" s="473"/>
      <c r="K538" s="24"/>
    </row>
    <row r="539" spans="2:11">
      <c r="B539" s="473"/>
      <c r="C539" s="473"/>
      <c r="D539" s="473"/>
      <c r="E539" s="473"/>
      <c r="F539" s="473"/>
      <c r="G539" s="473"/>
      <c r="H539" s="473"/>
      <c r="I539" s="473"/>
      <c r="J539" s="473"/>
      <c r="K539" s="24"/>
    </row>
    <row r="540" spans="2:11" ht="13.8">
      <c r="B540" s="28"/>
      <c r="C540" s="19"/>
      <c r="D540" s="22"/>
      <c r="E540" s="19"/>
      <c r="F540" s="22"/>
      <c r="G540" s="19"/>
      <c r="H540" s="19"/>
      <c r="I540" s="19"/>
      <c r="J540" s="19"/>
      <c r="K540" s="19"/>
    </row>
    <row r="541" spans="2:11" ht="13.8">
      <c r="B541" s="20"/>
      <c r="C541" s="22"/>
      <c r="D541" s="22"/>
      <c r="E541" s="22"/>
      <c r="F541" s="22"/>
      <c r="G541" s="22"/>
      <c r="H541" s="22"/>
      <c r="I541" s="22"/>
      <c r="J541" s="22"/>
      <c r="K541" s="22"/>
    </row>
    <row r="542" spans="2:11" ht="13.8">
      <c r="B542" s="13"/>
      <c r="C542" s="22"/>
      <c r="D542" s="22"/>
      <c r="E542" s="30"/>
      <c r="F542" s="30"/>
      <c r="G542" s="30"/>
      <c r="H542" s="30"/>
      <c r="I542" s="30"/>
      <c r="J542" s="30"/>
      <c r="K542" s="30"/>
    </row>
    <row r="543" spans="2:11" ht="13.8">
      <c r="B543" s="13"/>
      <c r="C543" s="22"/>
      <c r="D543" s="19"/>
      <c r="E543" s="19"/>
      <c r="F543" s="19"/>
      <c r="G543" s="19"/>
      <c r="H543" s="19"/>
      <c r="I543" s="19"/>
      <c r="J543" s="19"/>
      <c r="K543" s="19"/>
    </row>
    <row r="544" spans="2:11" ht="13.8">
      <c r="B544" s="31"/>
      <c r="C544" s="19"/>
      <c r="D544" s="19"/>
      <c r="E544" s="19"/>
      <c r="F544" s="19"/>
      <c r="G544" s="19"/>
      <c r="H544" s="19"/>
      <c r="I544" s="19"/>
      <c r="J544" s="19"/>
      <c r="K544" s="19"/>
    </row>
    <row r="545" spans="2:11" ht="13.8">
      <c r="B545" s="32"/>
      <c r="C545" s="19"/>
      <c r="D545" s="19"/>
      <c r="E545" s="19"/>
      <c r="F545" s="19"/>
      <c r="G545" s="19"/>
      <c r="H545" s="19"/>
      <c r="I545" s="19"/>
      <c r="J545" s="19"/>
      <c r="K545" s="19"/>
    </row>
    <row r="546" spans="2:11" ht="13.8">
      <c r="B546" s="32"/>
      <c r="C546" s="19"/>
      <c r="D546" s="19"/>
      <c r="E546" s="19"/>
      <c r="F546" s="19"/>
      <c r="G546" s="19"/>
      <c r="H546" s="19"/>
      <c r="I546" s="19"/>
      <c r="J546" s="19"/>
      <c r="K546" s="19"/>
    </row>
    <row r="547" spans="2:11" ht="13.8">
      <c r="B547" s="33"/>
      <c r="C547" s="19"/>
      <c r="D547" s="19"/>
      <c r="E547" s="19"/>
      <c r="F547" s="19"/>
      <c r="G547" s="19"/>
      <c r="H547" s="19"/>
      <c r="I547" s="19"/>
      <c r="J547" s="19"/>
      <c r="K547" s="19"/>
    </row>
    <row r="548" spans="2:11" ht="13.8">
      <c r="B548" s="33"/>
      <c r="C548" s="19"/>
      <c r="D548" s="19"/>
      <c r="E548" s="19"/>
      <c r="F548" s="19"/>
      <c r="G548" s="19"/>
      <c r="H548" s="19"/>
      <c r="I548" s="19"/>
      <c r="J548" s="19"/>
      <c r="K548" s="19"/>
    </row>
    <row r="549" spans="2:11" ht="13.8">
      <c r="B549" s="33"/>
      <c r="C549" s="19"/>
      <c r="D549" s="19"/>
      <c r="E549" s="19"/>
      <c r="F549" s="19"/>
      <c r="G549" s="19"/>
      <c r="H549" s="19"/>
      <c r="I549" s="19"/>
      <c r="J549" s="19"/>
      <c r="K549" s="19"/>
    </row>
    <row r="550" spans="2:11" ht="13.8">
      <c r="B550" s="33"/>
      <c r="C550" s="19"/>
      <c r="D550" s="19"/>
      <c r="E550" s="19"/>
      <c r="F550" s="19"/>
      <c r="G550" s="19"/>
      <c r="H550" s="19"/>
      <c r="I550" s="19"/>
      <c r="J550" s="19"/>
      <c r="K550" s="19"/>
    </row>
    <row r="551" spans="2:11" ht="13.8">
      <c r="B551" s="33"/>
      <c r="C551" s="19"/>
      <c r="D551" s="19"/>
      <c r="E551" s="19"/>
      <c r="F551" s="19"/>
      <c r="G551" s="19"/>
      <c r="H551" s="19"/>
      <c r="I551" s="19"/>
      <c r="J551" s="19"/>
      <c r="K551" s="19"/>
    </row>
    <row r="552" spans="2:11" ht="13.8">
      <c r="B552" s="33"/>
      <c r="C552" s="19"/>
      <c r="D552" s="19"/>
      <c r="E552" s="19"/>
      <c r="F552" s="19"/>
      <c r="G552" s="19"/>
      <c r="H552" s="19"/>
      <c r="I552" s="19"/>
      <c r="J552" s="19"/>
      <c r="K552" s="19"/>
    </row>
    <row r="553" spans="2:11" ht="13.8">
      <c r="B553" s="15"/>
      <c r="C553" s="19"/>
      <c r="D553" s="19"/>
      <c r="E553" s="19"/>
      <c r="F553" s="19"/>
      <c r="G553" s="19"/>
      <c r="H553" s="19"/>
      <c r="I553" s="19"/>
      <c r="J553" s="19"/>
      <c r="K553" s="19"/>
    </row>
    <row r="554" spans="2:11" ht="13.8">
      <c r="B554" s="16"/>
      <c r="C554" s="19"/>
      <c r="D554" s="19"/>
      <c r="E554" s="19"/>
      <c r="F554" s="19"/>
      <c r="G554" s="19"/>
      <c r="H554" s="19"/>
      <c r="I554" s="19"/>
      <c r="J554" s="19"/>
      <c r="K554" s="19"/>
    </row>
    <row r="555" spans="2:11" ht="13.8">
      <c r="B555" s="13"/>
      <c r="C555" s="19"/>
      <c r="D555" s="19"/>
      <c r="E555" s="19"/>
      <c r="F555" s="19"/>
      <c r="G555" s="19"/>
      <c r="H555" s="19"/>
      <c r="I555" s="19"/>
      <c r="J555" s="19"/>
      <c r="K555" s="19"/>
    </row>
    <row r="556" spans="2:11" ht="13.8">
      <c r="B556" s="31"/>
      <c r="C556" s="19"/>
      <c r="D556" s="19"/>
      <c r="E556" s="19"/>
      <c r="F556" s="19"/>
      <c r="G556" s="19"/>
      <c r="H556" s="19"/>
      <c r="I556" s="19"/>
      <c r="J556" s="19"/>
      <c r="K556" s="19"/>
    </row>
    <row r="557" spans="2:11" ht="13.8">
      <c r="B557" s="15"/>
      <c r="C557" s="19"/>
      <c r="D557" s="19"/>
      <c r="E557" s="19"/>
      <c r="F557" s="19"/>
      <c r="G557" s="19"/>
      <c r="H557" s="19"/>
      <c r="I557" s="19"/>
      <c r="J557" s="19"/>
      <c r="K557" s="19"/>
    </row>
    <row r="558" spans="2:11" ht="13.8">
      <c r="B558" s="15"/>
      <c r="C558" s="19"/>
      <c r="D558" s="19"/>
      <c r="E558" s="19"/>
      <c r="F558" s="19"/>
      <c r="G558" s="19"/>
      <c r="H558" s="19"/>
      <c r="I558" s="19"/>
      <c r="J558" s="19"/>
      <c r="K558" s="19"/>
    </row>
    <row r="559" spans="2:11" ht="13.8">
      <c r="B559" s="15"/>
      <c r="C559" s="19"/>
      <c r="D559" s="19"/>
      <c r="E559" s="19"/>
      <c r="F559" s="19"/>
      <c r="G559" s="19"/>
      <c r="H559" s="19"/>
      <c r="I559" s="19"/>
      <c r="J559" s="19"/>
      <c r="K559" s="19"/>
    </row>
    <row r="560" spans="2:11" ht="13.8">
      <c r="B560" s="15"/>
      <c r="C560" s="19"/>
      <c r="D560" s="19"/>
      <c r="E560" s="19"/>
      <c r="F560" s="19"/>
      <c r="G560" s="19"/>
      <c r="H560" s="19"/>
      <c r="I560" s="19"/>
      <c r="J560" s="19"/>
      <c r="K560" s="19"/>
    </row>
    <row r="561" spans="2:11" ht="13.8">
      <c r="B561" s="15"/>
      <c r="C561" s="19"/>
      <c r="D561" s="19"/>
      <c r="E561" s="19"/>
      <c r="F561" s="19"/>
      <c r="G561" s="19"/>
      <c r="H561" s="19"/>
      <c r="I561" s="19"/>
      <c r="J561" s="19"/>
      <c r="K561" s="19"/>
    </row>
    <row r="562" spans="2:11" ht="13.8">
      <c r="B562" s="15"/>
      <c r="C562" s="19"/>
      <c r="D562" s="19"/>
      <c r="E562" s="19"/>
      <c r="F562" s="19"/>
      <c r="G562" s="19"/>
      <c r="H562" s="19"/>
      <c r="I562" s="19"/>
      <c r="J562" s="19"/>
      <c r="K562" s="19"/>
    </row>
    <row r="563" spans="2:11" ht="13.8">
      <c r="B563" s="15"/>
      <c r="C563" s="19"/>
      <c r="D563" s="19"/>
      <c r="E563" s="19"/>
      <c r="F563" s="19"/>
      <c r="G563" s="19"/>
      <c r="H563" s="19"/>
      <c r="I563" s="19"/>
      <c r="J563" s="19"/>
      <c r="K563" s="19"/>
    </row>
    <row r="564" spans="2:11" ht="13.8">
      <c r="B564" s="16"/>
      <c r="C564" s="19"/>
      <c r="D564" s="19"/>
      <c r="E564" s="19"/>
      <c r="F564" s="19"/>
      <c r="G564" s="19"/>
      <c r="H564" s="19"/>
      <c r="I564" s="19"/>
      <c r="J564" s="19"/>
      <c r="K564" s="19"/>
    </row>
    <row r="565" spans="2:11" ht="13.8">
      <c r="B565" s="16"/>
      <c r="C565" s="19"/>
      <c r="D565" s="19"/>
      <c r="E565" s="19"/>
      <c r="F565" s="19"/>
      <c r="G565" s="19"/>
      <c r="H565" s="19"/>
      <c r="I565" s="19"/>
      <c r="J565" s="19"/>
      <c r="K565" s="19"/>
    </row>
    <row r="566" spans="2:11" ht="13.8">
      <c r="B566" s="17"/>
      <c r="C566" s="19"/>
      <c r="D566" s="19"/>
      <c r="E566" s="19"/>
      <c r="F566" s="19"/>
      <c r="G566" s="19"/>
      <c r="H566" s="19"/>
      <c r="I566" s="19"/>
      <c r="J566" s="19"/>
      <c r="K566" s="19"/>
    </row>
    <row r="567" spans="2:11" ht="13.8">
      <c r="B567" s="17"/>
      <c r="C567" s="19"/>
      <c r="D567" s="19"/>
      <c r="E567" s="19"/>
      <c r="F567" s="19"/>
      <c r="G567" s="19"/>
      <c r="H567" s="19"/>
      <c r="I567" s="19"/>
      <c r="J567" s="19"/>
      <c r="K567" s="19"/>
    </row>
    <row r="568" spans="2:11" ht="13.8">
      <c r="B568" s="31"/>
      <c r="C568" s="19"/>
      <c r="D568" s="19"/>
      <c r="E568" s="19"/>
      <c r="F568" s="19"/>
      <c r="G568" s="19"/>
      <c r="H568" s="19"/>
      <c r="I568" s="19"/>
      <c r="J568" s="19"/>
      <c r="K568" s="19"/>
    </row>
    <row r="569" spans="2:11" ht="13.8">
      <c r="B569" s="18"/>
      <c r="C569" s="19"/>
      <c r="D569" s="19"/>
      <c r="E569" s="19"/>
      <c r="F569" s="19"/>
      <c r="G569" s="19"/>
      <c r="H569" s="19"/>
      <c r="I569" s="19"/>
      <c r="J569" s="19"/>
      <c r="K569" s="19"/>
    </row>
    <row r="570" spans="2:11" ht="13.8">
      <c r="B570" s="18"/>
      <c r="C570" s="19"/>
      <c r="D570" s="19"/>
      <c r="E570" s="19"/>
      <c r="F570" s="19"/>
      <c r="G570" s="19"/>
      <c r="H570" s="19"/>
      <c r="I570" s="19"/>
      <c r="J570" s="19"/>
      <c r="K570" s="19"/>
    </row>
    <row r="571" spans="2:11" ht="13.8">
      <c r="B571" s="13"/>
      <c r="C571" s="19"/>
      <c r="D571" s="19"/>
      <c r="E571" s="19"/>
      <c r="F571" s="19"/>
      <c r="G571" s="19"/>
      <c r="H571" s="19"/>
      <c r="I571" s="19"/>
      <c r="J571" s="19"/>
      <c r="K571" s="19"/>
    </row>
    <row r="572" spans="2:11" ht="13.8">
      <c r="B572" s="13"/>
      <c r="C572" s="19"/>
      <c r="D572" s="19"/>
      <c r="E572" s="19"/>
      <c r="F572" s="19"/>
      <c r="G572" s="19"/>
      <c r="H572" s="19"/>
      <c r="I572" s="19"/>
      <c r="J572" s="19"/>
      <c r="K572" s="19"/>
    </row>
    <row r="573" spans="2:11" ht="13.8">
      <c r="B573" s="13"/>
      <c r="C573" s="19"/>
      <c r="D573" s="19"/>
      <c r="E573" s="19"/>
      <c r="F573" s="19"/>
      <c r="G573" s="19"/>
      <c r="H573" s="19"/>
      <c r="I573" s="19"/>
      <c r="J573" s="19"/>
      <c r="K573" s="19"/>
    </row>
    <row r="574" spans="2:11" ht="13.8">
      <c r="B574" s="13"/>
      <c r="C574" s="19"/>
      <c r="D574" s="19"/>
      <c r="E574" s="19"/>
      <c r="F574" s="19"/>
      <c r="G574" s="19"/>
      <c r="H574" s="19"/>
      <c r="I574" s="19"/>
      <c r="J574" s="19"/>
      <c r="K574" s="19"/>
    </row>
    <row r="575" spans="2:11" ht="13.8">
      <c r="B575" s="13"/>
      <c r="C575" s="19"/>
      <c r="D575" s="19"/>
      <c r="E575" s="19"/>
      <c r="F575" s="19"/>
      <c r="G575" s="19"/>
      <c r="H575" s="19"/>
      <c r="I575" s="19"/>
      <c r="J575" s="19"/>
      <c r="K575" s="19"/>
    </row>
    <row r="576" spans="2:11" ht="13.8">
      <c r="B576" s="13"/>
      <c r="C576" s="19"/>
      <c r="D576" s="19"/>
      <c r="E576" s="19"/>
      <c r="F576" s="19"/>
      <c r="G576" s="19"/>
      <c r="H576" s="19"/>
      <c r="I576" s="19"/>
      <c r="J576" s="19"/>
      <c r="K576" s="19"/>
    </row>
    <row r="577" spans="2:11" ht="13.8">
      <c r="B577" s="13"/>
      <c r="C577" s="19"/>
      <c r="D577" s="19"/>
      <c r="E577" s="19"/>
      <c r="F577" s="19"/>
      <c r="G577" s="19"/>
      <c r="H577" s="19"/>
      <c r="I577" s="19"/>
      <c r="J577" s="19"/>
      <c r="K577" s="19"/>
    </row>
    <row r="578" spans="2:11" ht="13.8">
      <c r="B578" s="13"/>
      <c r="C578" s="19"/>
      <c r="D578" s="19"/>
      <c r="E578" s="19"/>
      <c r="F578" s="19"/>
      <c r="G578" s="19"/>
      <c r="H578" s="19"/>
      <c r="I578" s="19"/>
      <c r="J578" s="19"/>
      <c r="K578" s="19"/>
    </row>
    <row r="579" spans="2:11" ht="13.8">
      <c r="B579" s="13"/>
      <c r="C579" s="19"/>
      <c r="D579" s="19"/>
      <c r="E579" s="19"/>
      <c r="F579" s="19"/>
      <c r="G579" s="19"/>
      <c r="H579" s="19"/>
      <c r="I579" s="19"/>
      <c r="J579" s="19"/>
      <c r="K579" s="19"/>
    </row>
    <row r="580" spans="2:11" ht="13.8">
      <c r="B580" s="13"/>
      <c r="C580" s="19"/>
      <c r="D580" s="19"/>
      <c r="E580" s="19"/>
      <c r="F580" s="19"/>
      <c r="G580" s="19"/>
      <c r="H580" s="19"/>
      <c r="I580" s="19"/>
      <c r="J580" s="19"/>
      <c r="K580" s="19"/>
    </row>
    <row r="581" spans="2:11" ht="13.8">
      <c r="B581" s="13"/>
      <c r="C581" s="19"/>
      <c r="D581" s="19"/>
      <c r="E581" s="19"/>
      <c r="F581" s="19"/>
      <c r="G581" s="19"/>
      <c r="H581" s="19"/>
      <c r="I581" s="19"/>
      <c r="J581" s="19"/>
      <c r="K581" s="19"/>
    </row>
    <row r="582" spans="2:11" ht="13.8">
      <c r="B582" s="13"/>
      <c r="C582" s="19"/>
      <c r="D582" s="19"/>
      <c r="E582" s="19"/>
      <c r="F582" s="19"/>
      <c r="G582" s="19"/>
      <c r="H582" s="19"/>
      <c r="I582" s="19"/>
      <c r="J582" s="19"/>
      <c r="K582" s="19"/>
    </row>
    <row r="584" spans="2:11" ht="17.399999999999999">
      <c r="B584" s="469"/>
      <c r="C584" s="469"/>
      <c r="D584" s="469"/>
      <c r="E584" s="469"/>
      <c r="F584" s="469"/>
      <c r="G584" s="469"/>
      <c r="H584" s="469"/>
      <c r="I584" s="469"/>
      <c r="J584" s="469"/>
      <c r="K584" s="24"/>
    </row>
    <row r="585" spans="2:11" ht="13.8">
      <c r="B585" s="25"/>
      <c r="C585" s="19"/>
      <c r="D585" s="19"/>
      <c r="E585" s="19"/>
      <c r="F585" s="19"/>
      <c r="G585" s="19"/>
      <c r="H585" s="19"/>
      <c r="I585" s="19"/>
      <c r="J585" s="19"/>
      <c r="K585" s="19"/>
    </row>
    <row r="586" spans="2:11">
      <c r="B586" s="473"/>
      <c r="C586" s="473"/>
      <c r="D586" s="473"/>
      <c r="E586" s="473"/>
      <c r="F586" s="473"/>
      <c r="G586" s="473"/>
      <c r="H586" s="473"/>
      <c r="I586" s="473"/>
      <c r="J586" s="473"/>
      <c r="K586" s="24"/>
    </row>
    <row r="587" spans="2:11">
      <c r="B587" s="473"/>
      <c r="C587" s="473"/>
      <c r="D587" s="473"/>
      <c r="E587" s="473"/>
      <c r="F587" s="473"/>
      <c r="G587" s="473"/>
      <c r="H587" s="473"/>
      <c r="I587" s="473"/>
      <c r="J587" s="473"/>
      <c r="K587" s="24"/>
    </row>
    <row r="588" spans="2:11" ht="13.8">
      <c r="B588" s="26"/>
      <c r="C588" s="27"/>
      <c r="D588" s="27"/>
      <c r="E588" s="27"/>
      <c r="F588" s="27"/>
      <c r="G588" s="27"/>
      <c r="H588" s="19"/>
      <c r="I588" s="19"/>
      <c r="J588" s="19"/>
      <c r="K588" s="19"/>
    </row>
    <row r="589" spans="2:11" ht="13.8">
      <c r="B589" s="28"/>
      <c r="C589" s="19"/>
      <c r="D589" s="22"/>
      <c r="E589" s="19"/>
      <c r="F589" s="22"/>
      <c r="G589" s="19"/>
      <c r="H589" s="19"/>
      <c r="I589" s="19"/>
      <c r="J589" s="19"/>
      <c r="K589" s="19"/>
    </row>
    <row r="590" spans="2:11" ht="13.8">
      <c r="B590" s="20"/>
      <c r="C590" s="22"/>
      <c r="D590" s="29"/>
      <c r="E590" s="22"/>
      <c r="F590" s="22"/>
      <c r="G590" s="22"/>
      <c r="H590" s="22"/>
      <c r="I590" s="22"/>
      <c r="J590" s="22"/>
      <c r="K590" s="22"/>
    </row>
    <row r="591" spans="2:11" ht="13.8">
      <c r="B591" s="13"/>
      <c r="C591" s="22"/>
      <c r="D591" s="22"/>
      <c r="E591" s="30"/>
      <c r="F591" s="30"/>
      <c r="G591" s="30"/>
      <c r="H591" s="30"/>
      <c r="I591" s="30"/>
      <c r="J591" s="30"/>
      <c r="K591" s="30"/>
    </row>
    <row r="592" spans="2:11" ht="13.8">
      <c r="B592" s="13"/>
      <c r="C592" s="22"/>
      <c r="D592" s="19"/>
      <c r="E592" s="19"/>
      <c r="F592" s="19"/>
      <c r="G592" s="19"/>
      <c r="H592" s="19"/>
      <c r="I592" s="19"/>
      <c r="J592" s="19"/>
      <c r="K592" s="19"/>
    </row>
    <row r="593" spans="2:11" ht="13.8">
      <c r="B593" s="31"/>
      <c r="C593" s="19"/>
      <c r="D593" s="19"/>
      <c r="E593" s="19"/>
      <c r="F593" s="19"/>
      <c r="G593" s="19"/>
      <c r="H593" s="19"/>
      <c r="I593" s="19"/>
      <c r="J593" s="19"/>
      <c r="K593" s="19"/>
    </row>
    <row r="594" spans="2:11" ht="13.8">
      <c r="B594" s="32"/>
      <c r="C594" s="19"/>
      <c r="D594" s="19"/>
      <c r="E594" s="19"/>
      <c r="F594" s="19"/>
      <c r="G594" s="19"/>
      <c r="H594" s="19"/>
      <c r="I594" s="19"/>
      <c r="J594" s="19"/>
      <c r="K594" s="19"/>
    </row>
    <row r="595" spans="2:11" ht="13.8">
      <c r="B595" s="33"/>
      <c r="C595" s="19"/>
      <c r="D595" s="19"/>
      <c r="E595" s="19"/>
      <c r="F595" s="19"/>
      <c r="G595" s="19"/>
      <c r="H595" s="19"/>
      <c r="I595" s="19"/>
      <c r="J595" s="19"/>
      <c r="K595" s="19"/>
    </row>
    <row r="596" spans="2:11" ht="13.8">
      <c r="B596" s="15"/>
      <c r="C596" s="19"/>
      <c r="D596" s="19"/>
      <c r="E596" s="19"/>
      <c r="F596" s="19"/>
      <c r="G596" s="19"/>
      <c r="H596" s="19"/>
      <c r="I596" s="19"/>
      <c r="J596" s="19"/>
      <c r="K596" s="19"/>
    </row>
    <row r="597" spans="2:11" ht="13.8">
      <c r="B597" s="16"/>
      <c r="C597" s="19"/>
      <c r="D597" s="19"/>
      <c r="E597" s="19"/>
      <c r="F597" s="19"/>
      <c r="G597" s="19"/>
      <c r="H597" s="19"/>
      <c r="I597" s="19"/>
      <c r="J597" s="19"/>
      <c r="K597" s="19"/>
    </row>
    <row r="598" spans="2:11" ht="13.8">
      <c r="B598" s="13"/>
      <c r="C598" s="19"/>
      <c r="D598" s="19"/>
      <c r="E598" s="19"/>
      <c r="F598" s="19"/>
      <c r="G598" s="19"/>
      <c r="H598" s="19"/>
      <c r="I598" s="19"/>
      <c r="J598" s="19"/>
      <c r="K598" s="19"/>
    </row>
    <row r="599" spans="2:11" ht="13.8">
      <c r="B599" s="31"/>
      <c r="C599" s="19"/>
      <c r="D599" s="19"/>
      <c r="E599" s="19"/>
      <c r="F599" s="19"/>
      <c r="G599" s="19"/>
      <c r="H599" s="19"/>
      <c r="I599" s="19"/>
      <c r="J599" s="19"/>
      <c r="K599" s="19"/>
    </row>
    <row r="600" spans="2:11" ht="13.8">
      <c r="B600" s="15"/>
      <c r="C600" s="19"/>
      <c r="D600" s="19"/>
      <c r="E600" s="19"/>
      <c r="F600" s="19"/>
      <c r="G600" s="19"/>
      <c r="H600" s="19"/>
      <c r="I600" s="19"/>
      <c r="J600" s="19"/>
      <c r="K600" s="19"/>
    </row>
    <row r="601" spans="2:11" ht="13.8">
      <c r="B601" s="16"/>
      <c r="C601" s="19"/>
      <c r="D601" s="19"/>
      <c r="E601" s="19"/>
      <c r="F601" s="19"/>
      <c r="G601" s="19"/>
      <c r="H601" s="19"/>
      <c r="I601" s="19"/>
      <c r="J601" s="19"/>
      <c r="K601" s="19"/>
    </row>
    <row r="602" spans="2:11" ht="13.8">
      <c r="B602" s="16"/>
      <c r="C602" s="19"/>
      <c r="D602" s="19"/>
      <c r="E602" s="19"/>
      <c r="F602" s="19"/>
      <c r="G602" s="19"/>
      <c r="H602" s="19"/>
      <c r="I602" s="19"/>
      <c r="J602" s="19"/>
      <c r="K602" s="19"/>
    </row>
    <row r="603" spans="2:11" ht="13.8">
      <c r="B603" s="17"/>
      <c r="C603" s="19"/>
      <c r="D603" s="19"/>
      <c r="E603" s="19"/>
      <c r="F603" s="19"/>
      <c r="G603" s="19"/>
      <c r="H603" s="19"/>
      <c r="I603" s="19"/>
      <c r="J603" s="19"/>
      <c r="K603" s="19"/>
    </row>
    <row r="604" spans="2:11" ht="13.8">
      <c r="B604" s="17"/>
      <c r="C604" s="19"/>
      <c r="D604" s="19"/>
      <c r="E604" s="19"/>
      <c r="F604" s="19"/>
      <c r="G604" s="19"/>
      <c r="H604" s="19"/>
      <c r="I604" s="19"/>
      <c r="J604" s="19"/>
      <c r="K604" s="19"/>
    </row>
    <row r="605" spans="2:11" ht="13.8">
      <c r="B605" s="31"/>
      <c r="C605" s="19"/>
      <c r="D605" s="19"/>
      <c r="E605" s="19"/>
      <c r="F605" s="19"/>
      <c r="G605" s="19"/>
      <c r="H605" s="19"/>
      <c r="I605" s="19"/>
      <c r="J605" s="19"/>
      <c r="K605" s="19"/>
    </row>
    <row r="606" spans="2:11" ht="13.8">
      <c r="B606" s="18"/>
      <c r="C606" s="19"/>
      <c r="D606" s="19"/>
      <c r="E606" s="19"/>
      <c r="F606" s="19"/>
      <c r="G606" s="19"/>
      <c r="H606" s="19"/>
      <c r="I606" s="19"/>
      <c r="J606" s="19"/>
      <c r="K606" s="19"/>
    </row>
    <row r="607" spans="2:11" ht="13.8">
      <c r="B607" s="18"/>
      <c r="C607" s="19"/>
      <c r="D607" s="19"/>
      <c r="E607" s="19"/>
      <c r="F607" s="19"/>
      <c r="G607" s="19"/>
      <c r="H607" s="19"/>
      <c r="I607" s="19"/>
      <c r="J607" s="19"/>
      <c r="K607" s="19"/>
    </row>
    <row r="608" spans="2:11" ht="13.8">
      <c r="B608" s="13"/>
      <c r="C608" s="19"/>
      <c r="D608" s="19"/>
      <c r="E608" s="19"/>
      <c r="F608" s="19"/>
      <c r="G608" s="19"/>
      <c r="H608" s="19"/>
      <c r="I608" s="19"/>
      <c r="J608" s="19"/>
      <c r="K608" s="19"/>
    </row>
    <row r="609" spans="2:11" ht="13.8">
      <c r="B609" s="13"/>
      <c r="C609" s="19"/>
      <c r="D609" s="19"/>
      <c r="E609" s="19"/>
      <c r="F609" s="19"/>
      <c r="G609" s="19"/>
      <c r="H609" s="19"/>
      <c r="I609" s="19"/>
      <c r="J609" s="19"/>
      <c r="K609" s="19"/>
    </row>
    <row r="610" spans="2:11" ht="13.8">
      <c r="B610" s="13"/>
      <c r="C610" s="19"/>
      <c r="D610" s="19"/>
      <c r="E610" s="19"/>
      <c r="F610" s="19"/>
      <c r="G610" s="19"/>
      <c r="H610" s="19"/>
      <c r="I610" s="19"/>
      <c r="J610" s="19"/>
      <c r="K610" s="19"/>
    </row>
    <row r="611" spans="2:11" ht="13.8">
      <c r="B611" s="13"/>
      <c r="C611" s="19"/>
      <c r="D611" s="19"/>
      <c r="E611" s="19"/>
      <c r="F611" s="19"/>
      <c r="G611" s="19"/>
      <c r="H611" s="19"/>
      <c r="I611" s="19"/>
      <c r="J611" s="19"/>
      <c r="K611" s="19"/>
    </row>
    <row r="612" spans="2:11" ht="13.8">
      <c r="B612" s="13"/>
      <c r="C612" s="19"/>
      <c r="D612" s="19"/>
      <c r="E612" s="19"/>
      <c r="F612" s="19"/>
      <c r="G612" s="19"/>
      <c r="H612" s="19"/>
      <c r="I612" s="19"/>
      <c r="J612" s="19"/>
      <c r="K612" s="19"/>
    </row>
    <row r="613" spans="2:11" ht="13.8">
      <c r="B613" s="13"/>
      <c r="C613" s="19"/>
      <c r="D613" s="19"/>
      <c r="E613" s="19"/>
      <c r="F613" s="19"/>
      <c r="G613" s="19"/>
      <c r="H613" s="19"/>
      <c r="I613" s="19"/>
      <c r="J613" s="19"/>
      <c r="K613" s="19"/>
    </row>
    <row r="614" spans="2:11" ht="13.8">
      <c r="B614" s="13"/>
      <c r="C614" s="19"/>
      <c r="D614" s="19"/>
      <c r="E614" s="19"/>
      <c r="F614" s="19"/>
      <c r="G614" s="19"/>
      <c r="H614" s="19"/>
      <c r="I614" s="19"/>
      <c r="J614" s="19"/>
      <c r="K614" s="19"/>
    </row>
    <row r="615" spans="2:11" ht="13.8">
      <c r="B615" s="13"/>
      <c r="C615" s="19"/>
      <c r="D615" s="19"/>
      <c r="E615" s="19"/>
      <c r="F615" s="19"/>
      <c r="G615" s="19"/>
      <c r="H615" s="19"/>
      <c r="I615" s="19"/>
      <c r="J615" s="19"/>
      <c r="K615" s="19"/>
    </row>
    <row r="616" spans="2:11" ht="13.8">
      <c r="B616" s="13"/>
      <c r="C616" s="19"/>
      <c r="D616" s="19"/>
      <c r="E616" s="19"/>
      <c r="F616" s="19"/>
      <c r="G616" s="19"/>
      <c r="H616" s="19"/>
      <c r="I616" s="19"/>
      <c r="J616" s="19"/>
      <c r="K616" s="19"/>
    </row>
    <row r="617" spans="2:11" ht="13.8">
      <c r="B617" s="13"/>
      <c r="C617" s="19"/>
      <c r="D617" s="19"/>
      <c r="E617" s="19"/>
      <c r="F617" s="19"/>
      <c r="G617" s="19"/>
      <c r="H617" s="19"/>
      <c r="I617" s="19"/>
      <c r="J617" s="19"/>
      <c r="K617" s="19"/>
    </row>
    <row r="618" spans="2:11" ht="13.8">
      <c r="B618" s="13"/>
      <c r="C618" s="19"/>
      <c r="D618" s="19"/>
      <c r="E618" s="19"/>
      <c r="F618" s="19"/>
      <c r="G618" s="19"/>
      <c r="H618" s="19"/>
      <c r="I618" s="19"/>
      <c r="J618" s="19"/>
      <c r="K618" s="19"/>
    </row>
    <row r="621" spans="2:11" ht="17.399999999999999">
      <c r="B621" s="469"/>
      <c r="C621" s="469"/>
      <c r="D621" s="469"/>
      <c r="E621" s="469"/>
      <c r="F621" s="469"/>
      <c r="G621" s="469"/>
      <c r="H621" s="469"/>
      <c r="I621" s="469"/>
      <c r="J621" s="469"/>
      <c r="K621" s="24"/>
    </row>
    <row r="622" spans="2:11" ht="13.8">
      <c r="B622" s="25"/>
      <c r="C622" s="19"/>
      <c r="D622" s="19"/>
      <c r="E622" s="19"/>
      <c r="F622" s="19"/>
      <c r="G622" s="19"/>
      <c r="H622" s="19"/>
      <c r="I622" s="19"/>
      <c r="J622" s="19"/>
      <c r="K622" s="19"/>
    </row>
    <row r="623" spans="2:11">
      <c r="B623" s="473"/>
      <c r="C623" s="473"/>
      <c r="D623" s="473"/>
      <c r="E623" s="473"/>
      <c r="F623" s="473"/>
      <c r="G623" s="473"/>
      <c r="H623" s="473"/>
      <c r="I623" s="473"/>
      <c r="J623" s="473"/>
      <c r="K623" s="24"/>
    </row>
    <row r="624" spans="2:11">
      <c r="B624" s="473"/>
      <c r="C624" s="473"/>
      <c r="D624" s="473"/>
      <c r="E624" s="473"/>
      <c r="F624" s="473"/>
      <c r="G624" s="473"/>
      <c r="H624" s="473"/>
      <c r="I624" s="473"/>
      <c r="J624" s="473"/>
      <c r="K624" s="24"/>
    </row>
    <row r="625" spans="2:11" ht="13.8">
      <c r="B625" s="26"/>
      <c r="C625" s="27"/>
      <c r="D625" s="27"/>
      <c r="E625" s="27"/>
      <c r="F625" s="27"/>
      <c r="G625" s="27"/>
      <c r="H625" s="19"/>
      <c r="I625" s="19"/>
      <c r="J625" s="19"/>
      <c r="K625" s="19"/>
    </row>
    <row r="626" spans="2:11" ht="13.8">
      <c r="B626" s="28"/>
      <c r="C626" s="19"/>
      <c r="D626" s="22"/>
      <c r="E626" s="19"/>
      <c r="F626" s="22"/>
      <c r="G626" s="19"/>
      <c r="H626" s="19"/>
      <c r="I626" s="19"/>
      <c r="J626" s="19"/>
      <c r="K626" s="19"/>
    </row>
    <row r="627" spans="2:11" ht="13.8">
      <c r="B627" s="20"/>
      <c r="C627" s="22"/>
      <c r="D627" s="22"/>
      <c r="E627" s="22"/>
      <c r="F627" s="22"/>
      <c r="G627" s="22"/>
      <c r="H627" s="22"/>
      <c r="I627" s="22"/>
      <c r="J627" s="22"/>
      <c r="K627" s="22"/>
    </row>
    <row r="628" spans="2:11" ht="13.8">
      <c r="B628" s="13"/>
      <c r="C628" s="22"/>
      <c r="D628" s="22"/>
      <c r="E628" s="30"/>
      <c r="F628" s="30"/>
      <c r="G628" s="30"/>
      <c r="H628" s="30"/>
      <c r="I628" s="30"/>
      <c r="J628" s="30"/>
      <c r="K628" s="30"/>
    </row>
    <row r="629" spans="2:11" ht="13.8">
      <c r="B629" s="13"/>
      <c r="C629" s="22"/>
      <c r="D629" s="19"/>
      <c r="E629" s="19"/>
      <c r="F629" s="19"/>
      <c r="G629" s="19"/>
      <c r="H629" s="19"/>
      <c r="I629" s="19"/>
      <c r="J629" s="19"/>
      <c r="K629" s="19"/>
    </row>
    <row r="630" spans="2:11" ht="13.8">
      <c r="B630" s="31"/>
      <c r="C630" s="19"/>
      <c r="D630" s="19"/>
      <c r="E630" s="19"/>
      <c r="F630" s="19"/>
      <c r="G630" s="19"/>
      <c r="H630" s="19"/>
      <c r="I630" s="19"/>
      <c r="J630" s="19"/>
      <c r="K630" s="19"/>
    </row>
    <row r="631" spans="2:11" ht="13.8">
      <c r="B631" s="33"/>
      <c r="C631" s="19"/>
      <c r="D631" s="19"/>
      <c r="E631" s="19"/>
      <c r="F631" s="19"/>
      <c r="G631" s="19"/>
      <c r="H631" s="19"/>
      <c r="I631" s="19"/>
      <c r="J631" s="19"/>
      <c r="K631" s="19"/>
    </row>
    <row r="632" spans="2:11" ht="13.8">
      <c r="B632" s="33"/>
      <c r="C632" s="19"/>
      <c r="D632" s="19"/>
      <c r="E632" s="19"/>
      <c r="F632" s="19"/>
      <c r="G632" s="19"/>
      <c r="H632" s="19"/>
      <c r="I632" s="19"/>
      <c r="J632" s="19"/>
      <c r="K632" s="19"/>
    </row>
    <row r="633" spans="2:11" ht="13.8">
      <c r="B633" s="33"/>
      <c r="C633" s="19"/>
      <c r="D633" s="19"/>
      <c r="E633" s="19"/>
      <c r="F633" s="19"/>
      <c r="G633" s="19"/>
      <c r="H633" s="19"/>
      <c r="I633" s="19"/>
      <c r="J633" s="19"/>
      <c r="K633" s="19"/>
    </row>
    <row r="634" spans="2:11" ht="13.8">
      <c r="B634" s="16"/>
      <c r="C634" s="19"/>
      <c r="D634" s="19"/>
      <c r="E634" s="19"/>
      <c r="F634" s="19"/>
      <c r="G634" s="19"/>
      <c r="H634" s="19"/>
      <c r="I634" s="19"/>
      <c r="J634" s="19"/>
      <c r="K634" s="19"/>
    </row>
    <row r="635" spans="2:11" ht="13.8">
      <c r="B635" s="13"/>
      <c r="C635" s="19"/>
      <c r="D635" s="19"/>
      <c r="E635" s="19"/>
      <c r="F635" s="19"/>
      <c r="G635" s="19"/>
      <c r="H635" s="19"/>
      <c r="I635" s="19"/>
      <c r="J635" s="19"/>
      <c r="K635" s="19"/>
    </row>
    <row r="636" spans="2:11" ht="13.8">
      <c r="B636" s="31"/>
      <c r="C636" s="19"/>
      <c r="D636" s="19"/>
      <c r="E636" s="19"/>
      <c r="F636" s="19"/>
      <c r="G636" s="19"/>
      <c r="H636" s="19"/>
      <c r="I636" s="19"/>
      <c r="J636" s="19"/>
      <c r="K636" s="19"/>
    </row>
    <row r="637" spans="2:11" ht="13.8">
      <c r="B637" s="15"/>
      <c r="C637" s="19"/>
      <c r="D637" s="19"/>
      <c r="E637" s="19"/>
      <c r="F637" s="19"/>
      <c r="G637" s="19"/>
      <c r="H637" s="19"/>
      <c r="I637" s="19"/>
      <c r="J637" s="19"/>
      <c r="K637" s="19"/>
    </row>
    <row r="638" spans="2:11" ht="13.8">
      <c r="B638" s="33"/>
      <c r="C638" s="19"/>
      <c r="D638" s="19"/>
      <c r="E638" s="19"/>
      <c r="F638" s="19"/>
      <c r="G638" s="19"/>
      <c r="H638" s="19"/>
      <c r="I638" s="19"/>
      <c r="J638" s="19"/>
      <c r="K638" s="19"/>
    </row>
    <row r="639" spans="2:11" ht="13.8">
      <c r="B639" s="16"/>
      <c r="C639" s="19"/>
      <c r="D639" s="19"/>
      <c r="E639" s="19"/>
      <c r="F639" s="19"/>
      <c r="G639" s="19"/>
      <c r="H639" s="19"/>
      <c r="I639" s="19"/>
      <c r="J639" s="19"/>
      <c r="K639" s="19"/>
    </row>
    <row r="640" spans="2:11" ht="13.8">
      <c r="B640" s="16"/>
      <c r="C640" s="19"/>
      <c r="D640" s="19"/>
      <c r="E640" s="19"/>
      <c r="F640" s="19"/>
      <c r="G640" s="19"/>
      <c r="H640" s="19"/>
      <c r="I640" s="19"/>
      <c r="J640" s="19"/>
      <c r="K640" s="19"/>
    </row>
    <row r="641" spans="2:11" ht="13.8">
      <c r="B641" s="17"/>
      <c r="C641" s="19"/>
      <c r="D641" s="19"/>
      <c r="E641" s="19"/>
      <c r="F641" s="19"/>
      <c r="G641" s="19"/>
      <c r="H641" s="19"/>
      <c r="I641" s="19"/>
      <c r="J641" s="19"/>
      <c r="K641" s="19"/>
    </row>
    <row r="642" spans="2:11" ht="13.8">
      <c r="B642" s="17"/>
      <c r="C642" s="19"/>
      <c r="D642" s="19"/>
      <c r="E642" s="19"/>
      <c r="F642" s="19"/>
      <c r="G642" s="19"/>
      <c r="H642" s="19"/>
      <c r="I642" s="19"/>
      <c r="J642" s="19"/>
      <c r="K642" s="19"/>
    </row>
    <row r="643" spans="2:11" ht="13.8">
      <c r="B643" s="31"/>
      <c r="C643" s="19"/>
      <c r="D643" s="19"/>
      <c r="E643" s="19"/>
      <c r="F643" s="19"/>
      <c r="G643" s="19"/>
      <c r="H643" s="19"/>
      <c r="I643" s="19"/>
      <c r="J643" s="19"/>
      <c r="K643" s="19"/>
    </row>
    <row r="644" spans="2:11" ht="13.8">
      <c r="B644" s="18"/>
      <c r="C644" s="19"/>
      <c r="D644" s="19"/>
      <c r="E644" s="19"/>
      <c r="F644" s="19"/>
      <c r="G644" s="19"/>
      <c r="H644" s="19"/>
      <c r="I644" s="19"/>
      <c r="J644" s="19"/>
      <c r="K644" s="19"/>
    </row>
    <row r="645" spans="2:11" ht="13.8">
      <c r="B645" s="18"/>
      <c r="C645" s="19"/>
      <c r="D645" s="19"/>
      <c r="E645" s="19"/>
      <c r="F645" s="19"/>
      <c r="G645" s="19"/>
      <c r="H645" s="19"/>
      <c r="I645" s="19"/>
      <c r="J645" s="19"/>
      <c r="K645" s="19"/>
    </row>
    <row r="646" spans="2:11" ht="13.8">
      <c r="B646" s="13"/>
      <c r="C646" s="19"/>
      <c r="D646" s="19"/>
      <c r="E646" s="19"/>
      <c r="F646" s="19"/>
      <c r="G646" s="19"/>
      <c r="H646" s="19"/>
      <c r="I646" s="19"/>
      <c r="J646" s="19"/>
      <c r="K646" s="19"/>
    </row>
    <row r="647" spans="2:11" ht="13.8">
      <c r="B647" s="13"/>
      <c r="C647" s="19"/>
      <c r="D647" s="19"/>
      <c r="E647" s="19"/>
      <c r="F647" s="19"/>
      <c r="G647" s="19"/>
      <c r="H647" s="19"/>
      <c r="I647" s="19"/>
      <c r="J647" s="19"/>
      <c r="K647" s="19"/>
    </row>
    <row r="648" spans="2:11" ht="13.8">
      <c r="B648" s="13"/>
      <c r="C648" s="19"/>
      <c r="D648" s="19"/>
      <c r="E648" s="19"/>
      <c r="F648" s="19"/>
      <c r="G648" s="19"/>
      <c r="H648" s="19"/>
      <c r="I648" s="19"/>
      <c r="J648" s="19"/>
      <c r="K648" s="19"/>
    </row>
    <row r="649" spans="2:11" ht="13.8">
      <c r="B649" s="13"/>
      <c r="C649" s="19"/>
      <c r="D649" s="19"/>
      <c r="E649" s="19"/>
      <c r="F649" s="19"/>
      <c r="G649" s="19"/>
      <c r="H649" s="19"/>
      <c r="I649" s="19"/>
      <c r="J649" s="19"/>
      <c r="K649" s="19"/>
    </row>
    <row r="650" spans="2:11" ht="13.8">
      <c r="B650" s="13"/>
      <c r="C650" s="19"/>
      <c r="D650" s="19"/>
      <c r="E650" s="19"/>
      <c r="F650" s="19"/>
      <c r="G650" s="19"/>
      <c r="H650" s="19"/>
      <c r="I650" s="19"/>
      <c r="J650" s="19"/>
      <c r="K650" s="19"/>
    </row>
    <row r="651" spans="2:11" ht="13.8">
      <c r="B651" s="13"/>
      <c r="C651" s="19"/>
      <c r="D651" s="19"/>
      <c r="E651" s="19"/>
      <c r="F651" s="19"/>
      <c r="G651" s="19"/>
      <c r="H651" s="19"/>
      <c r="I651" s="19"/>
      <c r="J651" s="19"/>
      <c r="K651" s="19"/>
    </row>
    <row r="652" spans="2:11" ht="13.8">
      <c r="B652" s="13"/>
      <c r="C652" s="19"/>
      <c r="D652" s="19"/>
      <c r="E652" s="19"/>
      <c r="F652" s="19"/>
      <c r="G652" s="19"/>
      <c r="H652" s="19"/>
      <c r="I652" s="19"/>
      <c r="J652" s="19"/>
      <c r="K652" s="19"/>
    </row>
    <row r="653" spans="2:11" ht="13.8">
      <c r="B653" s="13"/>
      <c r="C653" s="19"/>
      <c r="D653" s="19"/>
      <c r="E653" s="19"/>
      <c r="F653" s="19"/>
      <c r="G653" s="19"/>
      <c r="H653" s="19"/>
      <c r="I653" s="19"/>
      <c r="J653" s="19"/>
      <c r="K653" s="19"/>
    </row>
    <row r="654" spans="2:11" ht="13.8">
      <c r="B654" s="13"/>
      <c r="C654" s="19"/>
      <c r="D654" s="19"/>
      <c r="E654" s="19"/>
      <c r="F654" s="19"/>
      <c r="G654" s="19"/>
      <c r="H654" s="19"/>
      <c r="I654" s="19"/>
      <c r="J654" s="19"/>
      <c r="K654" s="19"/>
    </row>
    <row r="655" spans="2:11" ht="13.8">
      <c r="B655" s="13"/>
      <c r="C655" s="19"/>
      <c r="D655" s="19"/>
      <c r="E655" s="19"/>
      <c r="F655" s="19"/>
      <c r="G655" s="19"/>
      <c r="H655" s="19"/>
      <c r="I655" s="19"/>
      <c r="J655" s="19"/>
      <c r="K655" s="19"/>
    </row>
    <row r="656" spans="2:11" ht="13.8">
      <c r="B656" s="13"/>
      <c r="C656" s="19"/>
      <c r="D656" s="19"/>
      <c r="E656" s="19"/>
      <c r="F656" s="19"/>
      <c r="G656" s="19"/>
      <c r="H656" s="19"/>
      <c r="I656" s="19"/>
      <c r="J656" s="19"/>
      <c r="K656" s="19"/>
    </row>
    <row r="657" spans="2:11" ht="13.8">
      <c r="B657" s="13"/>
      <c r="C657" s="19"/>
      <c r="D657" s="19"/>
      <c r="E657" s="19"/>
      <c r="F657" s="19"/>
      <c r="G657" s="19"/>
      <c r="H657" s="19"/>
      <c r="I657" s="19"/>
      <c r="J657" s="19"/>
      <c r="K657" s="19"/>
    </row>
    <row r="659" spans="2:11" ht="17.399999999999999">
      <c r="B659" s="469"/>
      <c r="C659" s="469"/>
      <c r="D659" s="469"/>
      <c r="E659" s="469"/>
      <c r="F659" s="469"/>
      <c r="G659" s="469"/>
      <c r="H659" s="469"/>
      <c r="I659" s="469"/>
      <c r="J659" s="469"/>
      <c r="K659" s="24"/>
    </row>
    <row r="660" spans="2:11" ht="13.8">
      <c r="B660" s="25"/>
      <c r="C660" s="19"/>
      <c r="D660" s="19"/>
      <c r="E660" s="19"/>
      <c r="F660" s="19"/>
      <c r="G660" s="19"/>
      <c r="H660" s="19"/>
      <c r="I660" s="19"/>
      <c r="J660" s="19"/>
      <c r="K660" s="19"/>
    </row>
    <row r="661" spans="2:11">
      <c r="B661" s="473"/>
      <c r="C661" s="473"/>
      <c r="D661" s="473"/>
      <c r="E661" s="473"/>
      <c r="F661" s="473"/>
      <c r="G661" s="473"/>
      <c r="H661" s="473"/>
      <c r="I661" s="473"/>
      <c r="J661" s="473"/>
      <c r="K661" s="24"/>
    </row>
    <row r="662" spans="2:11" ht="18" customHeight="1">
      <c r="B662" s="473"/>
      <c r="C662" s="473"/>
      <c r="D662" s="473"/>
      <c r="E662" s="473"/>
      <c r="F662" s="473"/>
      <c r="G662" s="473"/>
      <c r="H662" s="473"/>
      <c r="I662" s="473"/>
      <c r="J662" s="473"/>
      <c r="K662" s="24"/>
    </row>
    <row r="663" spans="2:11" ht="13.8">
      <c r="B663" s="28"/>
      <c r="C663" s="19"/>
      <c r="D663" s="29"/>
      <c r="E663" s="19"/>
      <c r="F663" s="22"/>
      <c r="G663" s="19"/>
      <c r="H663" s="19"/>
      <c r="I663" s="19"/>
      <c r="J663" s="19"/>
      <c r="K663" s="19"/>
    </row>
    <row r="664" spans="2:11" ht="13.8">
      <c r="B664" s="20"/>
      <c r="C664" s="22"/>
      <c r="D664" s="22"/>
      <c r="E664" s="22"/>
      <c r="F664" s="22"/>
      <c r="G664" s="22"/>
      <c r="H664" s="22"/>
      <c r="I664" s="22"/>
      <c r="J664" s="22"/>
      <c r="K664" s="22"/>
    </row>
    <row r="665" spans="2:11" ht="13.8">
      <c r="B665" s="13"/>
      <c r="C665" s="22"/>
      <c r="D665" s="22"/>
      <c r="E665" s="30"/>
      <c r="F665" s="30"/>
      <c r="G665" s="30"/>
      <c r="H665" s="30"/>
      <c r="I665" s="30"/>
      <c r="J665" s="30"/>
      <c r="K665" s="30"/>
    </row>
    <row r="666" spans="2:11" ht="13.8">
      <c r="B666" s="13"/>
      <c r="C666" s="22"/>
      <c r="D666" s="19"/>
      <c r="E666" s="19"/>
      <c r="F666" s="19"/>
      <c r="G666" s="19"/>
      <c r="H666" s="19"/>
      <c r="I666" s="19"/>
      <c r="J666" s="19"/>
      <c r="K666" s="19"/>
    </row>
    <row r="667" spans="2:11" ht="13.8">
      <c r="B667" s="31"/>
      <c r="C667" s="19"/>
      <c r="D667" s="19"/>
      <c r="E667" s="19"/>
      <c r="F667" s="19"/>
      <c r="G667" s="19"/>
      <c r="H667" s="19"/>
      <c r="I667" s="19"/>
      <c r="J667" s="19"/>
      <c r="K667" s="19"/>
    </row>
    <row r="668" spans="2:11" ht="13.8">
      <c r="B668" s="32"/>
      <c r="C668" s="19"/>
      <c r="D668" s="19"/>
      <c r="E668" s="19"/>
      <c r="F668" s="19"/>
      <c r="G668" s="19"/>
      <c r="H668" s="19"/>
      <c r="I668" s="19"/>
      <c r="J668" s="19"/>
      <c r="K668" s="19"/>
    </row>
    <row r="669" spans="2:11" ht="13.8">
      <c r="B669" s="33"/>
      <c r="C669" s="19"/>
      <c r="D669" s="19"/>
      <c r="E669" s="19"/>
      <c r="F669" s="19"/>
      <c r="G669" s="19"/>
      <c r="H669" s="19"/>
      <c r="I669" s="19"/>
      <c r="J669" s="19"/>
      <c r="K669" s="19"/>
    </row>
    <row r="670" spans="2:11" ht="13.8">
      <c r="B670" s="16"/>
      <c r="C670" s="19"/>
      <c r="D670" s="19"/>
      <c r="E670" s="19"/>
      <c r="F670" s="19"/>
      <c r="G670" s="19"/>
      <c r="H670" s="19"/>
      <c r="I670" s="19"/>
      <c r="J670" s="19"/>
      <c r="K670" s="19"/>
    </row>
    <row r="671" spans="2:11" ht="13.8">
      <c r="B671" s="13"/>
      <c r="C671" s="19"/>
      <c r="D671" s="19"/>
      <c r="E671" s="19"/>
      <c r="F671" s="19"/>
      <c r="G671" s="19"/>
      <c r="H671" s="19"/>
      <c r="I671" s="19"/>
      <c r="J671" s="19"/>
      <c r="K671" s="19"/>
    </row>
    <row r="672" spans="2:11" ht="13.8">
      <c r="B672" s="31"/>
      <c r="C672" s="19"/>
      <c r="D672" s="19"/>
      <c r="E672" s="19"/>
      <c r="F672" s="19"/>
      <c r="G672" s="19"/>
      <c r="H672" s="19"/>
      <c r="I672" s="19"/>
      <c r="J672" s="19"/>
      <c r="K672" s="19"/>
    </row>
    <row r="673" spans="2:11" ht="13.8">
      <c r="B673" s="15"/>
      <c r="C673" s="19"/>
      <c r="D673" s="19"/>
      <c r="E673" s="19"/>
      <c r="F673" s="19"/>
      <c r="G673" s="19"/>
      <c r="H673" s="19"/>
      <c r="I673" s="19"/>
      <c r="J673" s="19"/>
      <c r="K673" s="19"/>
    </row>
    <row r="674" spans="2:11" ht="13.8">
      <c r="B674" s="15"/>
      <c r="C674" s="19"/>
      <c r="D674" s="19"/>
      <c r="E674" s="19"/>
      <c r="F674" s="19"/>
      <c r="G674" s="19"/>
      <c r="H674" s="19"/>
      <c r="I674" s="19"/>
      <c r="J674" s="19"/>
      <c r="K674" s="19"/>
    </row>
    <row r="675" spans="2:11" ht="13.8">
      <c r="B675" s="15"/>
      <c r="C675" s="19"/>
      <c r="D675" s="19"/>
      <c r="E675" s="19"/>
      <c r="F675" s="19"/>
      <c r="G675" s="19"/>
      <c r="H675" s="19"/>
      <c r="I675" s="19"/>
      <c r="J675" s="19"/>
      <c r="K675" s="19"/>
    </row>
    <row r="676" spans="2:11" ht="13.8">
      <c r="B676" s="15"/>
      <c r="C676" s="19"/>
      <c r="D676" s="19"/>
      <c r="E676" s="19"/>
      <c r="F676" s="19"/>
      <c r="G676" s="19"/>
      <c r="H676" s="19"/>
      <c r="I676" s="19"/>
      <c r="J676" s="19"/>
      <c r="K676" s="19"/>
    </row>
    <row r="677" spans="2:11" ht="13.8">
      <c r="B677" s="16"/>
      <c r="C677" s="19"/>
      <c r="D677" s="19"/>
      <c r="E677" s="19"/>
      <c r="F677" s="19"/>
      <c r="G677" s="19"/>
      <c r="H677" s="19"/>
      <c r="I677" s="19"/>
      <c r="J677" s="19"/>
      <c r="K677" s="19"/>
    </row>
    <row r="678" spans="2:11" ht="13.8">
      <c r="B678" s="16"/>
      <c r="C678" s="19"/>
      <c r="D678" s="19"/>
      <c r="E678" s="19"/>
      <c r="F678" s="19"/>
      <c r="G678" s="19"/>
      <c r="H678" s="19"/>
      <c r="I678" s="19"/>
      <c r="J678" s="19"/>
      <c r="K678" s="19"/>
    </row>
    <row r="679" spans="2:11" ht="13.8">
      <c r="B679" s="17"/>
      <c r="C679" s="19"/>
      <c r="D679" s="19"/>
      <c r="E679" s="19"/>
      <c r="F679" s="19"/>
      <c r="G679" s="19"/>
      <c r="H679" s="19"/>
      <c r="I679" s="19"/>
      <c r="J679" s="19"/>
      <c r="K679" s="19"/>
    </row>
    <row r="680" spans="2:11" ht="13.8">
      <c r="B680" s="17"/>
      <c r="C680" s="19"/>
      <c r="D680" s="19"/>
      <c r="E680" s="19"/>
      <c r="F680" s="19"/>
      <c r="G680" s="19"/>
      <c r="H680" s="19"/>
      <c r="I680" s="19"/>
      <c r="J680" s="19"/>
      <c r="K680" s="19"/>
    </row>
    <row r="681" spans="2:11" ht="13.8">
      <c r="B681" s="31"/>
      <c r="C681" s="19"/>
      <c r="D681" s="19"/>
      <c r="E681" s="19"/>
      <c r="F681" s="19"/>
      <c r="G681" s="19"/>
      <c r="H681" s="19"/>
      <c r="I681" s="19"/>
      <c r="J681" s="19"/>
      <c r="K681" s="19"/>
    </row>
    <row r="682" spans="2:11" ht="13.8">
      <c r="B682" s="18"/>
      <c r="C682" s="19"/>
      <c r="D682" s="19"/>
      <c r="E682" s="19"/>
      <c r="F682" s="19"/>
      <c r="G682" s="19"/>
      <c r="H682" s="19"/>
      <c r="I682" s="19"/>
      <c r="J682" s="19"/>
      <c r="K682" s="19"/>
    </row>
    <row r="683" spans="2:11" ht="13.8">
      <c r="B683" s="18"/>
      <c r="C683" s="19"/>
      <c r="D683" s="19"/>
      <c r="E683" s="19"/>
      <c r="F683" s="19"/>
      <c r="G683" s="19"/>
      <c r="H683" s="19"/>
      <c r="I683" s="19"/>
      <c r="J683" s="19"/>
      <c r="K683" s="19"/>
    </row>
    <row r="684" spans="2:11" ht="13.8">
      <c r="B684" s="13"/>
      <c r="C684" s="19"/>
      <c r="D684" s="19"/>
      <c r="E684" s="19"/>
      <c r="F684" s="19"/>
      <c r="G684" s="19"/>
      <c r="H684" s="19"/>
      <c r="I684" s="19"/>
      <c r="J684" s="19"/>
      <c r="K684" s="19"/>
    </row>
    <row r="685" spans="2:11" ht="13.8">
      <c r="B685" s="13"/>
      <c r="C685" s="19"/>
      <c r="D685" s="19"/>
      <c r="E685" s="19"/>
      <c r="F685" s="19"/>
      <c r="G685" s="19"/>
      <c r="H685" s="19"/>
      <c r="I685" s="19"/>
      <c r="J685" s="19"/>
      <c r="K685" s="19"/>
    </row>
    <row r="686" spans="2:11" ht="13.8">
      <c r="B686" s="13"/>
      <c r="C686" s="19"/>
      <c r="D686" s="19"/>
      <c r="E686" s="19"/>
      <c r="F686" s="19"/>
      <c r="G686" s="19"/>
      <c r="H686" s="19"/>
      <c r="I686" s="19"/>
      <c r="J686" s="19"/>
      <c r="K686" s="19"/>
    </row>
    <row r="687" spans="2:11" ht="13.8">
      <c r="B687" s="13"/>
      <c r="C687" s="19"/>
      <c r="D687" s="19"/>
      <c r="E687" s="19"/>
      <c r="F687" s="19"/>
      <c r="G687" s="19"/>
      <c r="H687" s="19"/>
      <c r="I687" s="19"/>
      <c r="J687" s="19"/>
      <c r="K687" s="19"/>
    </row>
    <row r="688" spans="2:11" ht="13.8">
      <c r="B688" s="13"/>
      <c r="C688" s="19"/>
      <c r="D688" s="19"/>
      <c r="E688" s="19"/>
      <c r="F688" s="19"/>
      <c r="G688" s="19"/>
      <c r="H688" s="19"/>
      <c r="I688" s="19"/>
      <c r="J688" s="19"/>
      <c r="K688" s="19"/>
    </row>
    <row r="689" spans="2:11" ht="13.8">
      <c r="B689" s="13"/>
      <c r="C689" s="19"/>
      <c r="D689" s="19"/>
      <c r="E689" s="19"/>
      <c r="F689" s="19"/>
      <c r="G689" s="19"/>
      <c r="H689" s="19"/>
      <c r="I689" s="19"/>
      <c r="J689" s="19"/>
      <c r="K689" s="19"/>
    </row>
    <row r="690" spans="2:11" ht="13.8">
      <c r="B690" s="13"/>
      <c r="C690" s="19"/>
      <c r="D690" s="19"/>
      <c r="E690" s="19"/>
      <c r="F690" s="19"/>
      <c r="G690" s="19"/>
      <c r="H690" s="19"/>
      <c r="I690" s="19"/>
      <c r="J690" s="19"/>
      <c r="K690" s="19"/>
    </row>
    <row r="691" spans="2:11" ht="13.8">
      <c r="B691" s="13"/>
      <c r="C691" s="19"/>
      <c r="D691" s="19"/>
      <c r="E691" s="19"/>
      <c r="F691" s="19"/>
      <c r="G691" s="19"/>
      <c r="H691" s="19"/>
      <c r="I691" s="19"/>
      <c r="J691" s="19"/>
      <c r="K691" s="19"/>
    </row>
    <row r="692" spans="2:11" ht="13.8">
      <c r="B692" s="13"/>
      <c r="C692" s="19"/>
      <c r="D692" s="19"/>
      <c r="E692" s="19"/>
      <c r="F692" s="19"/>
      <c r="G692" s="19"/>
      <c r="H692" s="19"/>
      <c r="I692" s="19"/>
      <c r="J692" s="19"/>
      <c r="K692" s="19"/>
    </row>
    <row r="693" spans="2:11" ht="13.8">
      <c r="B693" s="13"/>
      <c r="C693" s="19"/>
      <c r="D693" s="19"/>
      <c r="E693" s="19"/>
      <c r="F693" s="19"/>
      <c r="G693" s="19"/>
      <c r="H693" s="19"/>
      <c r="I693" s="19"/>
      <c r="J693" s="19"/>
      <c r="K693" s="19"/>
    </row>
    <row r="694" spans="2:11" ht="13.8">
      <c r="B694" s="13"/>
      <c r="C694" s="19"/>
      <c r="D694" s="19"/>
      <c r="E694" s="19"/>
      <c r="F694" s="19"/>
      <c r="G694" s="19"/>
      <c r="H694" s="19"/>
      <c r="I694" s="19"/>
      <c r="J694" s="19"/>
      <c r="K694" s="19"/>
    </row>
    <row r="696" spans="2:11" ht="17.399999999999999">
      <c r="B696" s="469"/>
      <c r="C696" s="469"/>
      <c r="D696" s="469"/>
      <c r="E696" s="469"/>
      <c r="F696" s="469"/>
      <c r="G696" s="469"/>
      <c r="H696" s="469"/>
      <c r="I696" s="469"/>
      <c r="J696" s="469"/>
      <c r="K696" s="24"/>
    </row>
    <row r="697" spans="2:11" ht="13.8">
      <c r="B697" s="25"/>
      <c r="C697" s="19"/>
      <c r="D697" s="19"/>
      <c r="E697" s="19"/>
      <c r="F697" s="19"/>
      <c r="G697" s="19"/>
      <c r="H697" s="19"/>
      <c r="I697" s="19"/>
      <c r="J697" s="19"/>
      <c r="K697" s="19"/>
    </row>
    <row r="698" spans="2:11">
      <c r="B698" s="473"/>
      <c r="C698" s="473"/>
      <c r="D698" s="473"/>
      <c r="E698" s="473"/>
      <c r="F698" s="473"/>
      <c r="G698" s="473"/>
      <c r="H698" s="473"/>
      <c r="I698" s="473"/>
      <c r="J698" s="473"/>
      <c r="K698" s="24"/>
    </row>
    <row r="699" spans="2:11" ht="18.75" customHeight="1">
      <c r="B699" s="473"/>
      <c r="C699" s="473"/>
      <c r="D699" s="473"/>
      <c r="E699" s="473"/>
      <c r="F699" s="473"/>
      <c r="G699" s="473"/>
      <c r="H699" s="473"/>
      <c r="I699" s="473"/>
      <c r="J699" s="473"/>
      <c r="K699" s="24"/>
    </row>
    <row r="700" spans="2:11" ht="13.8">
      <c r="B700" s="26"/>
      <c r="C700" s="27"/>
      <c r="D700" s="27"/>
      <c r="E700" s="27"/>
      <c r="F700" s="27"/>
      <c r="G700" s="27"/>
      <c r="H700" s="27"/>
      <c r="I700" s="19"/>
      <c r="J700" s="19"/>
      <c r="K700" s="19"/>
    </row>
    <row r="701" spans="2:11" ht="13.8">
      <c r="B701" s="28"/>
      <c r="C701" s="19"/>
      <c r="D701" s="29"/>
      <c r="E701" s="29"/>
      <c r="F701" s="22"/>
      <c r="G701" s="19"/>
      <c r="H701" s="19"/>
      <c r="I701" s="19"/>
      <c r="J701" s="19"/>
      <c r="K701" s="19"/>
    </row>
    <row r="702" spans="2:11" ht="13.8">
      <c r="B702" s="20"/>
      <c r="C702" s="22"/>
      <c r="D702" s="22"/>
      <c r="E702" s="22"/>
      <c r="F702" s="22"/>
      <c r="G702" s="22"/>
      <c r="H702" s="22"/>
      <c r="I702" s="22"/>
      <c r="J702" s="22"/>
      <c r="K702" s="22"/>
    </row>
    <row r="703" spans="2:11" ht="13.8">
      <c r="B703" s="13"/>
      <c r="C703" s="22"/>
      <c r="D703" s="22"/>
      <c r="E703" s="30"/>
      <c r="F703" s="30"/>
      <c r="G703" s="30"/>
      <c r="H703" s="30"/>
      <c r="I703" s="30"/>
      <c r="J703" s="30"/>
      <c r="K703" s="30"/>
    </row>
    <row r="704" spans="2:11" ht="13.8">
      <c r="B704" s="13"/>
      <c r="C704" s="22"/>
      <c r="D704" s="19"/>
      <c r="E704" s="19"/>
      <c r="F704" s="19"/>
      <c r="G704" s="19"/>
      <c r="H704" s="19"/>
      <c r="I704" s="19"/>
      <c r="J704" s="19"/>
      <c r="K704" s="19"/>
    </row>
    <row r="705" spans="2:11" ht="13.8">
      <c r="B705" s="31"/>
      <c r="C705" s="19"/>
      <c r="D705" s="19"/>
      <c r="E705" s="19"/>
      <c r="F705" s="19"/>
      <c r="G705" s="19"/>
      <c r="H705" s="19"/>
      <c r="I705" s="19"/>
      <c r="J705" s="19"/>
      <c r="K705" s="19"/>
    </row>
    <row r="706" spans="2:11" ht="13.8">
      <c r="B706" s="32"/>
      <c r="C706" s="19"/>
      <c r="D706" s="19"/>
      <c r="E706" s="19"/>
      <c r="F706" s="19"/>
      <c r="G706" s="19"/>
      <c r="H706" s="19"/>
      <c r="I706" s="19"/>
      <c r="J706" s="19"/>
      <c r="K706" s="19"/>
    </row>
    <row r="707" spans="2:11" ht="13.8">
      <c r="B707" s="33"/>
      <c r="C707" s="19"/>
      <c r="D707" s="19"/>
      <c r="E707" s="19"/>
      <c r="F707" s="19"/>
      <c r="G707" s="19"/>
      <c r="H707" s="19"/>
      <c r="I707" s="19"/>
      <c r="J707" s="19"/>
      <c r="K707" s="19"/>
    </row>
    <row r="708" spans="2:11" ht="13.8">
      <c r="B708" s="16"/>
      <c r="C708" s="19"/>
      <c r="D708" s="19"/>
      <c r="E708" s="19"/>
      <c r="F708" s="19"/>
      <c r="G708" s="19"/>
      <c r="H708" s="19"/>
      <c r="I708" s="19"/>
      <c r="J708" s="19"/>
      <c r="K708" s="19"/>
    </row>
    <row r="709" spans="2:11" ht="13.8">
      <c r="B709" s="13"/>
      <c r="C709" s="19"/>
      <c r="D709" s="19"/>
      <c r="E709" s="19"/>
      <c r="F709" s="19"/>
      <c r="G709" s="19"/>
      <c r="H709" s="19"/>
      <c r="I709" s="19"/>
      <c r="J709" s="19"/>
      <c r="K709" s="19"/>
    </row>
    <row r="710" spans="2:11" ht="13.8">
      <c r="B710" s="31"/>
      <c r="C710" s="19"/>
      <c r="D710" s="19"/>
      <c r="E710" s="19"/>
      <c r="F710" s="19"/>
      <c r="G710" s="19"/>
      <c r="H710" s="19"/>
      <c r="I710" s="19"/>
      <c r="J710" s="19"/>
      <c r="K710" s="19"/>
    </row>
    <row r="711" spans="2:11" ht="13.8">
      <c r="B711" s="15"/>
      <c r="C711" s="19"/>
      <c r="D711" s="19"/>
      <c r="E711" s="19"/>
      <c r="F711" s="19"/>
      <c r="G711" s="19"/>
      <c r="H711" s="19"/>
      <c r="I711" s="19"/>
      <c r="J711" s="19"/>
      <c r="K711" s="19"/>
    </row>
    <row r="712" spans="2:11" ht="13.8">
      <c r="B712" s="15"/>
      <c r="C712" s="19"/>
      <c r="D712" s="19"/>
      <c r="E712" s="19"/>
      <c r="F712" s="19"/>
      <c r="G712" s="19"/>
      <c r="H712" s="19"/>
      <c r="I712" s="19"/>
      <c r="J712" s="19"/>
      <c r="K712" s="19"/>
    </row>
    <row r="713" spans="2:11" ht="13.8">
      <c r="B713" s="16"/>
      <c r="C713" s="19"/>
      <c r="D713" s="19"/>
      <c r="E713" s="19"/>
      <c r="F713" s="19"/>
      <c r="G713" s="19"/>
      <c r="H713" s="19"/>
      <c r="I713" s="19"/>
      <c r="J713" s="19"/>
      <c r="K713" s="19"/>
    </row>
    <row r="714" spans="2:11" ht="13.8">
      <c r="B714" s="16"/>
      <c r="C714" s="19"/>
      <c r="D714" s="19"/>
      <c r="E714" s="19"/>
      <c r="F714" s="19"/>
      <c r="G714" s="19"/>
      <c r="H714" s="19"/>
      <c r="I714" s="19"/>
      <c r="J714" s="19"/>
      <c r="K714" s="19"/>
    </row>
    <row r="715" spans="2:11" ht="13.8">
      <c r="B715" s="17"/>
      <c r="C715" s="19"/>
      <c r="D715" s="19"/>
      <c r="E715" s="19"/>
      <c r="F715" s="19"/>
      <c r="G715" s="19"/>
      <c r="H715" s="19"/>
      <c r="I715" s="19"/>
      <c r="J715" s="19"/>
      <c r="K715" s="19"/>
    </row>
    <row r="716" spans="2:11" ht="13.8">
      <c r="B716" s="17"/>
      <c r="C716" s="19"/>
      <c r="D716" s="19"/>
      <c r="E716" s="19"/>
      <c r="F716" s="19"/>
      <c r="G716" s="19"/>
      <c r="H716" s="19"/>
      <c r="I716" s="19"/>
      <c r="J716" s="19"/>
      <c r="K716" s="19"/>
    </row>
    <row r="717" spans="2:11" ht="13.8">
      <c r="B717" s="31"/>
      <c r="C717" s="19"/>
      <c r="D717" s="19"/>
      <c r="E717" s="19"/>
      <c r="F717" s="19"/>
      <c r="G717" s="19"/>
      <c r="H717" s="19"/>
      <c r="I717" s="19"/>
      <c r="J717" s="19"/>
      <c r="K717" s="19"/>
    </row>
    <row r="718" spans="2:11" ht="13.8">
      <c r="B718" s="18"/>
      <c r="C718" s="19"/>
      <c r="D718" s="19"/>
      <c r="E718" s="19"/>
      <c r="F718" s="19"/>
      <c r="G718" s="19"/>
      <c r="H718" s="19"/>
      <c r="I718" s="19"/>
      <c r="J718" s="19"/>
      <c r="K718" s="19"/>
    </row>
    <row r="719" spans="2:11" ht="13.8">
      <c r="B719" s="18"/>
      <c r="C719" s="19"/>
      <c r="D719" s="19"/>
      <c r="E719" s="19"/>
      <c r="F719" s="19"/>
      <c r="G719" s="19"/>
      <c r="H719" s="19"/>
      <c r="I719" s="19"/>
      <c r="J719" s="19"/>
      <c r="K719" s="19"/>
    </row>
    <row r="720" spans="2:11" ht="13.8">
      <c r="B720" s="13"/>
      <c r="C720" s="19"/>
      <c r="D720" s="19"/>
      <c r="E720" s="19"/>
      <c r="F720" s="19"/>
      <c r="G720" s="19"/>
      <c r="H720" s="19"/>
      <c r="I720" s="19"/>
      <c r="J720" s="19"/>
      <c r="K720" s="19"/>
    </row>
    <row r="721" spans="2:11" ht="13.8">
      <c r="B721" s="13"/>
      <c r="C721" s="19"/>
      <c r="D721" s="19"/>
      <c r="E721" s="19"/>
      <c r="F721" s="19"/>
      <c r="G721" s="19"/>
      <c r="H721" s="19"/>
      <c r="I721" s="19"/>
      <c r="J721" s="19"/>
      <c r="K721" s="19"/>
    </row>
    <row r="722" spans="2:11" ht="13.8">
      <c r="B722" s="13"/>
      <c r="C722" s="19"/>
      <c r="D722" s="19"/>
      <c r="E722" s="19"/>
      <c r="F722" s="19"/>
      <c r="G722" s="19"/>
      <c r="H722" s="19"/>
      <c r="I722" s="19"/>
      <c r="J722" s="19"/>
      <c r="K722" s="19"/>
    </row>
    <row r="723" spans="2:11" ht="13.8">
      <c r="B723" s="13"/>
      <c r="C723" s="19"/>
      <c r="D723" s="19"/>
      <c r="E723" s="19"/>
      <c r="F723" s="19"/>
      <c r="G723" s="19"/>
      <c r="H723" s="19"/>
      <c r="I723" s="19"/>
      <c r="J723" s="19"/>
      <c r="K723" s="19"/>
    </row>
    <row r="724" spans="2:11" ht="13.8">
      <c r="B724" s="13"/>
      <c r="C724" s="19"/>
      <c r="D724" s="19"/>
      <c r="E724" s="19"/>
      <c r="F724" s="19"/>
      <c r="G724" s="19"/>
      <c r="H724" s="19"/>
      <c r="I724" s="19"/>
      <c r="J724" s="19"/>
      <c r="K724" s="19"/>
    </row>
    <row r="725" spans="2:11" ht="13.8">
      <c r="B725" s="13"/>
      <c r="C725" s="19"/>
      <c r="D725" s="19"/>
      <c r="E725" s="19"/>
      <c r="F725" s="19"/>
      <c r="G725" s="19"/>
      <c r="H725" s="19"/>
      <c r="I725" s="19"/>
      <c r="J725" s="19"/>
      <c r="K725" s="19"/>
    </row>
    <row r="726" spans="2:11" ht="13.8">
      <c r="B726" s="13"/>
      <c r="C726" s="19"/>
      <c r="D726" s="19"/>
      <c r="E726" s="19"/>
      <c r="F726" s="19"/>
      <c r="G726" s="19"/>
      <c r="H726" s="19"/>
      <c r="I726" s="19"/>
      <c r="J726" s="19"/>
      <c r="K726" s="19"/>
    </row>
    <row r="727" spans="2:11" ht="13.8">
      <c r="B727" s="13"/>
      <c r="C727" s="19"/>
      <c r="D727" s="19"/>
      <c r="E727" s="19"/>
      <c r="F727" s="19"/>
      <c r="G727" s="19"/>
      <c r="H727" s="19"/>
      <c r="I727" s="19"/>
      <c r="J727" s="19"/>
      <c r="K727" s="19"/>
    </row>
    <row r="728" spans="2:11" ht="13.8">
      <c r="B728" s="13"/>
      <c r="C728" s="19"/>
      <c r="D728" s="19"/>
      <c r="E728" s="19"/>
      <c r="F728" s="19"/>
      <c r="G728" s="19"/>
      <c r="H728" s="19"/>
      <c r="I728" s="19"/>
      <c r="J728" s="19"/>
      <c r="K728" s="19"/>
    </row>
    <row r="729" spans="2:11" ht="13.8">
      <c r="B729" s="13"/>
      <c r="C729" s="19"/>
      <c r="D729" s="19"/>
      <c r="E729" s="19"/>
      <c r="F729" s="19"/>
      <c r="G729" s="19"/>
      <c r="H729" s="19"/>
      <c r="I729" s="19"/>
      <c r="J729" s="19"/>
      <c r="K729" s="19"/>
    </row>
    <row r="730" spans="2:11" ht="13.8">
      <c r="B730" s="13"/>
      <c r="C730" s="19"/>
      <c r="D730" s="19"/>
      <c r="E730" s="19"/>
      <c r="F730" s="19"/>
      <c r="G730" s="19"/>
      <c r="H730" s="19"/>
      <c r="I730" s="19"/>
      <c r="J730" s="19"/>
      <c r="K730" s="19"/>
    </row>
    <row r="731" spans="2:11" ht="13.8">
      <c r="B731" s="13"/>
      <c r="C731" s="19"/>
      <c r="D731" s="19"/>
      <c r="E731" s="19"/>
      <c r="F731" s="19"/>
      <c r="G731" s="19"/>
      <c r="H731" s="19"/>
      <c r="I731" s="19"/>
      <c r="J731" s="19"/>
      <c r="K731" s="19"/>
    </row>
    <row r="732" spans="2:11" ht="13.8">
      <c r="B732" s="13"/>
      <c r="C732" s="19"/>
      <c r="D732" s="19"/>
      <c r="E732" s="19"/>
      <c r="F732" s="19"/>
      <c r="G732" s="19"/>
      <c r="H732" s="19"/>
      <c r="I732" s="19"/>
      <c r="J732" s="19"/>
      <c r="K732" s="19"/>
    </row>
    <row r="733" spans="2:11" ht="17.399999999999999">
      <c r="B733" s="469"/>
      <c r="C733" s="469"/>
      <c r="D733" s="469"/>
      <c r="E733" s="469"/>
      <c r="F733" s="469"/>
      <c r="G733" s="469"/>
      <c r="H733" s="469"/>
      <c r="I733" s="469"/>
      <c r="J733" s="469"/>
      <c r="K733" s="24"/>
    </row>
    <row r="734" spans="2:11" ht="13.8">
      <c r="B734" s="25"/>
      <c r="C734" s="19"/>
      <c r="D734" s="19"/>
      <c r="E734" s="19"/>
      <c r="F734" s="19"/>
      <c r="G734" s="19"/>
      <c r="H734" s="19"/>
      <c r="I734" s="19"/>
      <c r="J734" s="19"/>
      <c r="K734" s="19"/>
    </row>
    <row r="735" spans="2:11" ht="13.8">
      <c r="B735" s="473"/>
      <c r="C735" s="473"/>
      <c r="D735" s="473"/>
      <c r="E735" s="473"/>
      <c r="F735" s="473"/>
      <c r="G735" s="473"/>
      <c r="H735" s="473"/>
      <c r="I735" s="473"/>
      <c r="J735" s="473"/>
      <c r="K735" s="24"/>
    </row>
    <row r="736" spans="2:11" ht="13.8">
      <c r="B736" s="26"/>
      <c r="C736" s="27"/>
      <c r="D736" s="27"/>
      <c r="E736" s="27"/>
      <c r="F736" s="27"/>
      <c r="G736" s="27"/>
      <c r="H736" s="27"/>
      <c r="I736" s="19"/>
      <c r="J736" s="19"/>
      <c r="K736" s="19"/>
    </row>
    <row r="737" spans="2:11" ht="13.8">
      <c r="B737" s="28"/>
      <c r="C737" s="19"/>
      <c r="D737" s="22"/>
      <c r="E737" s="19"/>
      <c r="F737" s="22"/>
      <c r="G737" s="19"/>
      <c r="H737" s="19"/>
      <c r="I737" s="19"/>
      <c r="J737" s="19"/>
      <c r="K737" s="19"/>
    </row>
    <row r="738" spans="2:11" ht="13.8">
      <c r="B738" s="20"/>
      <c r="C738" s="22"/>
      <c r="D738" s="22"/>
      <c r="E738" s="22"/>
      <c r="F738" s="22"/>
      <c r="G738" s="22"/>
      <c r="H738" s="22"/>
      <c r="I738" s="22"/>
      <c r="J738" s="22"/>
      <c r="K738" s="22"/>
    </row>
    <row r="739" spans="2:11" ht="13.8">
      <c r="B739" s="13"/>
      <c r="C739" s="22"/>
      <c r="D739" s="22"/>
      <c r="E739" s="30"/>
      <c r="F739" s="30"/>
      <c r="G739" s="30"/>
      <c r="H739" s="30"/>
      <c r="I739" s="30"/>
      <c r="J739" s="30"/>
      <c r="K739" s="30"/>
    </row>
    <row r="740" spans="2:11" ht="13.8">
      <c r="B740" s="13"/>
      <c r="C740" s="22"/>
      <c r="D740" s="19"/>
      <c r="E740" s="19"/>
      <c r="F740" s="19"/>
      <c r="G740" s="19"/>
      <c r="H740" s="19"/>
      <c r="I740" s="19"/>
      <c r="J740" s="19"/>
      <c r="K740" s="19"/>
    </row>
    <row r="741" spans="2:11" ht="13.8">
      <c r="B741" s="31"/>
      <c r="C741" s="19"/>
      <c r="D741" s="19"/>
      <c r="E741" s="19"/>
      <c r="F741" s="19"/>
      <c r="G741" s="19"/>
      <c r="H741" s="19"/>
      <c r="I741" s="19"/>
      <c r="J741" s="19"/>
      <c r="K741" s="19"/>
    </row>
    <row r="742" spans="2:11" ht="13.8">
      <c r="B742" s="32"/>
      <c r="C742" s="19"/>
      <c r="D742" s="19"/>
      <c r="E742" s="19"/>
      <c r="F742" s="19"/>
      <c r="G742" s="19"/>
      <c r="H742" s="19"/>
      <c r="I742" s="19"/>
      <c r="J742" s="19"/>
      <c r="K742" s="19"/>
    </row>
    <row r="743" spans="2:11" ht="13.8">
      <c r="B743" s="33"/>
      <c r="C743" s="19"/>
      <c r="D743" s="19"/>
      <c r="E743" s="19"/>
      <c r="F743" s="19"/>
      <c r="G743" s="19"/>
      <c r="H743" s="19"/>
      <c r="I743" s="19"/>
      <c r="J743" s="19"/>
      <c r="K743" s="19"/>
    </row>
    <row r="744" spans="2:11" ht="13.8">
      <c r="B744" s="16"/>
      <c r="C744" s="19"/>
      <c r="D744" s="19"/>
      <c r="E744" s="19"/>
      <c r="F744" s="19"/>
      <c r="G744" s="19"/>
      <c r="H744" s="19"/>
      <c r="I744" s="19"/>
      <c r="J744" s="19"/>
      <c r="K744" s="19"/>
    </row>
    <row r="745" spans="2:11" ht="13.8">
      <c r="B745" s="13"/>
      <c r="C745" s="19"/>
      <c r="D745" s="19"/>
      <c r="E745" s="19"/>
      <c r="F745" s="19"/>
      <c r="G745" s="19"/>
      <c r="H745" s="19"/>
      <c r="I745" s="19"/>
      <c r="J745" s="19"/>
      <c r="K745" s="19"/>
    </row>
    <row r="746" spans="2:11" ht="13.8">
      <c r="B746" s="31"/>
      <c r="C746" s="19"/>
      <c r="D746" s="19"/>
      <c r="E746" s="19"/>
      <c r="F746" s="19"/>
      <c r="G746" s="19"/>
      <c r="H746" s="19"/>
      <c r="I746" s="19"/>
      <c r="J746" s="19"/>
      <c r="K746" s="19"/>
    </row>
    <row r="747" spans="2:11" ht="13.8">
      <c r="B747" s="15"/>
      <c r="C747" s="19"/>
      <c r="D747" s="19"/>
      <c r="E747" s="19"/>
      <c r="F747" s="19"/>
      <c r="G747" s="19"/>
      <c r="H747" s="19"/>
      <c r="I747" s="19"/>
      <c r="J747" s="19"/>
      <c r="K747" s="19"/>
    </row>
    <row r="748" spans="2:11" ht="13.8">
      <c r="B748" s="15"/>
      <c r="C748" s="19"/>
      <c r="D748" s="19"/>
      <c r="E748" s="19"/>
      <c r="F748" s="19"/>
      <c r="G748" s="19"/>
      <c r="H748" s="19"/>
      <c r="I748" s="19"/>
      <c r="J748" s="19"/>
      <c r="K748" s="19"/>
    </row>
    <row r="749" spans="2:11" ht="13.8">
      <c r="B749" s="16"/>
      <c r="C749" s="19"/>
      <c r="D749" s="19"/>
      <c r="E749" s="19"/>
      <c r="F749" s="19"/>
      <c r="G749" s="19"/>
      <c r="H749" s="19"/>
      <c r="I749" s="19"/>
      <c r="J749" s="19"/>
      <c r="K749" s="19"/>
    </row>
    <row r="750" spans="2:11" ht="13.8">
      <c r="B750" s="16"/>
      <c r="C750" s="19"/>
      <c r="D750" s="19"/>
      <c r="E750" s="19"/>
      <c r="F750" s="19"/>
      <c r="G750" s="19"/>
      <c r="H750" s="19"/>
      <c r="I750" s="19"/>
      <c r="J750" s="19"/>
      <c r="K750" s="19"/>
    </row>
    <row r="751" spans="2:11" ht="13.8">
      <c r="B751" s="17"/>
      <c r="C751" s="19"/>
      <c r="D751" s="19"/>
      <c r="E751" s="19"/>
      <c r="F751" s="19"/>
      <c r="G751" s="19"/>
      <c r="H751" s="19"/>
      <c r="I751" s="19"/>
      <c r="J751" s="19"/>
      <c r="K751" s="19"/>
    </row>
    <row r="752" spans="2:11" ht="13.8">
      <c r="B752" s="17"/>
      <c r="C752" s="19"/>
      <c r="D752" s="19"/>
      <c r="E752" s="19"/>
      <c r="F752" s="19"/>
      <c r="G752" s="19"/>
      <c r="H752" s="19"/>
      <c r="I752" s="19"/>
      <c r="J752" s="19"/>
      <c r="K752" s="19"/>
    </row>
    <row r="753" spans="2:11" ht="13.8">
      <c r="B753" s="31"/>
      <c r="C753" s="19"/>
      <c r="D753" s="19"/>
      <c r="E753" s="19"/>
      <c r="F753" s="19"/>
      <c r="G753" s="19"/>
      <c r="H753" s="19"/>
      <c r="I753" s="19"/>
      <c r="J753" s="19"/>
      <c r="K753" s="19"/>
    </row>
    <row r="754" spans="2:11" ht="13.8">
      <c r="B754" s="18"/>
      <c r="C754" s="19"/>
      <c r="D754" s="19"/>
      <c r="E754" s="19"/>
      <c r="F754" s="19"/>
      <c r="G754" s="19"/>
      <c r="H754" s="19"/>
      <c r="I754" s="19"/>
      <c r="J754" s="19"/>
      <c r="K754" s="19"/>
    </row>
    <row r="755" spans="2:11" ht="13.8">
      <c r="B755" s="18"/>
      <c r="C755" s="19"/>
      <c r="D755" s="19"/>
      <c r="E755" s="19"/>
      <c r="F755" s="19"/>
      <c r="G755" s="19"/>
      <c r="H755" s="19"/>
      <c r="I755" s="19"/>
      <c r="J755" s="19"/>
      <c r="K755" s="19"/>
    </row>
    <row r="756" spans="2:11" ht="13.8">
      <c r="B756" s="13"/>
      <c r="C756" s="19"/>
      <c r="D756" s="19"/>
      <c r="E756" s="19"/>
      <c r="F756" s="19"/>
      <c r="G756" s="19"/>
      <c r="H756" s="19"/>
      <c r="I756" s="19"/>
      <c r="J756" s="19"/>
      <c r="K756" s="19"/>
    </row>
    <row r="757" spans="2:11" ht="13.8">
      <c r="B757" s="13"/>
      <c r="C757" s="19"/>
      <c r="D757" s="19"/>
      <c r="E757" s="19"/>
      <c r="F757" s="19"/>
      <c r="G757" s="19"/>
      <c r="H757" s="19"/>
      <c r="I757" s="19"/>
      <c r="J757" s="19"/>
      <c r="K757" s="19"/>
    </row>
    <row r="758" spans="2:11" ht="13.8">
      <c r="B758" s="13"/>
      <c r="C758" s="19"/>
      <c r="D758" s="19"/>
      <c r="E758" s="19"/>
      <c r="F758" s="19"/>
      <c r="G758" s="19"/>
      <c r="H758" s="19"/>
      <c r="I758" s="19"/>
      <c r="J758" s="19"/>
      <c r="K758" s="19"/>
    </row>
    <row r="759" spans="2:11" ht="13.8">
      <c r="B759" s="13"/>
      <c r="C759" s="19"/>
      <c r="D759" s="19"/>
      <c r="E759" s="19"/>
      <c r="F759" s="19"/>
      <c r="G759" s="19"/>
      <c r="H759" s="19"/>
      <c r="I759" s="19"/>
      <c r="J759" s="19"/>
      <c r="K759" s="19"/>
    </row>
    <row r="760" spans="2:11" ht="13.8">
      <c r="B760" s="13"/>
      <c r="C760" s="19"/>
      <c r="D760" s="19"/>
      <c r="E760" s="19"/>
      <c r="F760" s="19"/>
      <c r="G760" s="19"/>
      <c r="H760" s="19"/>
      <c r="I760" s="19"/>
      <c r="J760" s="19"/>
      <c r="K760" s="19"/>
    </row>
    <row r="761" spans="2:11" ht="13.8">
      <c r="B761" s="13"/>
      <c r="C761" s="19"/>
      <c r="D761" s="19"/>
      <c r="E761" s="19"/>
      <c r="F761" s="19"/>
      <c r="G761" s="19"/>
      <c r="H761" s="19"/>
      <c r="I761" s="19"/>
      <c r="J761" s="19"/>
      <c r="K761" s="19"/>
    </row>
    <row r="762" spans="2:11" ht="13.8">
      <c r="B762" s="13"/>
      <c r="C762" s="19"/>
      <c r="D762" s="19"/>
      <c r="E762" s="19"/>
      <c r="F762" s="19"/>
      <c r="G762" s="19"/>
      <c r="H762" s="19"/>
      <c r="I762" s="19"/>
      <c r="J762" s="19"/>
      <c r="K762" s="19"/>
    </row>
    <row r="763" spans="2:11" ht="13.8">
      <c r="B763" s="13"/>
      <c r="C763" s="19"/>
      <c r="D763" s="19"/>
      <c r="E763" s="19"/>
      <c r="F763" s="19"/>
      <c r="G763" s="19"/>
      <c r="H763" s="19"/>
      <c r="I763" s="19"/>
      <c r="J763" s="19"/>
      <c r="K763" s="19"/>
    </row>
    <row r="764" spans="2:11" ht="13.8">
      <c r="B764" s="13"/>
      <c r="C764" s="19"/>
      <c r="D764" s="19"/>
      <c r="E764" s="19"/>
      <c r="F764" s="19"/>
      <c r="G764" s="19"/>
      <c r="H764" s="19"/>
      <c r="I764" s="19"/>
      <c r="J764" s="19"/>
      <c r="K764" s="19"/>
    </row>
    <row r="765" spans="2:11" ht="13.8">
      <c r="B765" s="13"/>
      <c r="C765" s="19"/>
      <c r="D765" s="19"/>
      <c r="E765" s="19"/>
      <c r="F765" s="19"/>
      <c r="G765" s="19"/>
      <c r="H765" s="19"/>
      <c r="I765" s="19"/>
      <c r="J765" s="19"/>
      <c r="K765" s="19"/>
    </row>
    <row r="766" spans="2:11" ht="13.8">
      <c r="B766" s="13"/>
      <c r="C766" s="19"/>
      <c r="D766" s="19"/>
      <c r="E766" s="19"/>
      <c r="F766" s="19"/>
      <c r="G766" s="19"/>
      <c r="H766" s="19"/>
      <c r="I766" s="19"/>
      <c r="J766" s="19"/>
      <c r="K766" s="19"/>
    </row>
    <row r="767" spans="2:11" ht="13.8">
      <c r="B767" s="13"/>
      <c r="C767" s="19"/>
      <c r="D767" s="19"/>
      <c r="E767" s="19"/>
      <c r="F767" s="19"/>
      <c r="G767" s="19"/>
      <c r="H767" s="19"/>
      <c r="I767" s="19"/>
      <c r="J767" s="19"/>
      <c r="K767" s="19"/>
    </row>
  </sheetData>
  <mergeCells count="40">
    <mergeCell ref="B282:J282"/>
    <mergeCell ref="B416:J418"/>
    <mergeCell ref="B450:J450"/>
    <mergeCell ref="B452:J455"/>
    <mergeCell ref="B368:J368"/>
    <mergeCell ref="B370:J371"/>
    <mergeCell ref="B414:J414"/>
    <mergeCell ref="B497:J500"/>
    <mergeCell ref="B495:J495"/>
    <mergeCell ref="B284:J285"/>
    <mergeCell ref="B320:J320"/>
    <mergeCell ref="B322:J323"/>
    <mergeCell ref="B244:J244"/>
    <mergeCell ref="B122:K122"/>
    <mergeCell ref="B124:K125"/>
    <mergeCell ref="B153:K153"/>
    <mergeCell ref="B155:K156"/>
    <mergeCell ref="B207:J208"/>
    <mergeCell ref="B242:J242"/>
    <mergeCell ref="B735:J735"/>
    <mergeCell ref="B535:J535"/>
    <mergeCell ref="B537:J539"/>
    <mergeCell ref="B584:J584"/>
    <mergeCell ref="B586:J587"/>
    <mergeCell ref="B621:J621"/>
    <mergeCell ref="B623:J624"/>
    <mergeCell ref="B659:J659"/>
    <mergeCell ref="B661:J662"/>
    <mergeCell ref="B696:J696"/>
    <mergeCell ref="B698:J699"/>
    <mergeCell ref="B733:J733"/>
    <mergeCell ref="B1:K1"/>
    <mergeCell ref="B3:K5"/>
    <mergeCell ref="B32:K32"/>
    <mergeCell ref="B34:K36"/>
    <mergeCell ref="B205:J205"/>
    <mergeCell ref="B92:K92"/>
    <mergeCell ref="B94:K97"/>
    <mergeCell ref="B61:K61"/>
    <mergeCell ref="B63:K64"/>
  </mergeCells>
  <pageMargins left="0" right="0" top="0.5" bottom="0.25" header="0" footer="0"/>
  <pageSetup scale="92" orientation="landscape" r:id="rId1"/>
  <rowBreaks count="19" manualBreakCount="19">
    <brk id="31" max="10" man="1"/>
    <brk id="60" max="10" man="1"/>
    <brk id="91" max="10" man="1"/>
    <brk id="121" max="10" man="1"/>
    <brk id="152" max="10" man="1"/>
    <brk id="203" max="16383" man="1"/>
    <brk id="241" max="16383" man="1"/>
    <brk id="280" max="16383" man="1"/>
    <brk id="318" max="16383" man="1"/>
    <brk id="366" max="16383" man="1"/>
    <brk id="412" max="16383" man="1"/>
    <brk id="448" max="16383" man="1"/>
    <brk id="493" max="16383" man="1"/>
    <brk id="533" max="16383" man="1"/>
    <brk id="582" max="16383" man="1"/>
    <brk id="619" max="16383" man="1"/>
    <brk id="657" max="16383" man="1"/>
    <brk id="694" max="16383" man="1"/>
    <brk id="7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26"/>
  <sheetViews>
    <sheetView zoomScale="85" zoomScaleNormal="85" zoomScaleSheetLayoutView="100" workbookViewId="0">
      <selection activeCell="O14" sqref="O14"/>
    </sheetView>
  </sheetViews>
  <sheetFormatPr defaultColWidth="9.109375" defaultRowHeight="13.8"/>
  <cols>
    <col min="1" max="1" width="3.6640625" style="334" customWidth="1"/>
    <col min="2" max="2" width="33" style="334" customWidth="1"/>
    <col min="3" max="4" width="12.6640625" style="340" customWidth="1"/>
    <col min="5" max="11" width="12.6640625" style="341" customWidth="1"/>
    <col min="12" max="12" width="9.109375" style="334"/>
    <col min="13" max="13" width="27.88671875" style="334" hidden="1" customWidth="1"/>
    <col min="14" max="16384" width="9.109375" style="334"/>
  </cols>
  <sheetData>
    <row r="1" spans="1:13">
      <c r="A1" s="1"/>
      <c r="B1" s="476" t="s">
        <v>635</v>
      </c>
      <c r="C1" s="476"/>
      <c r="D1" s="476"/>
      <c r="E1" s="476"/>
      <c r="F1" s="476"/>
      <c r="G1" s="476"/>
      <c r="H1" s="476"/>
      <c r="I1" s="476"/>
      <c r="J1" s="476"/>
      <c r="K1" s="476"/>
      <c r="M1" s="335" t="s">
        <v>637</v>
      </c>
    </row>
    <row r="2" spans="1:13" ht="7.5" customHeight="1">
      <c r="A2" s="1"/>
      <c r="B2" s="63"/>
      <c r="C2" s="3"/>
      <c r="D2" s="2"/>
      <c r="E2" s="2"/>
      <c r="F2" s="2"/>
      <c r="G2" s="2"/>
      <c r="H2" s="2"/>
      <c r="I2" s="2"/>
      <c r="J2" s="2"/>
      <c r="K2" s="2"/>
    </row>
    <row r="3" spans="1:13" ht="15" customHeight="1">
      <c r="A3" s="1"/>
      <c r="B3" s="467" t="s">
        <v>636</v>
      </c>
      <c r="C3" s="467"/>
      <c r="D3" s="467"/>
      <c r="E3" s="467"/>
      <c r="F3" s="467"/>
      <c r="G3" s="467"/>
      <c r="H3" s="467"/>
      <c r="I3" s="467"/>
      <c r="J3" s="467"/>
      <c r="K3" s="467"/>
    </row>
    <row r="4" spans="1:13">
      <c r="A4" s="1"/>
      <c r="B4" s="467"/>
      <c r="C4" s="467"/>
      <c r="D4" s="467"/>
      <c r="E4" s="467"/>
      <c r="F4" s="467"/>
      <c r="G4" s="467"/>
      <c r="H4" s="467"/>
      <c r="I4" s="467"/>
      <c r="J4" s="467"/>
      <c r="K4" s="467"/>
    </row>
    <row r="5" spans="1:13" ht="7.5" customHeight="1">
      <c r="A5" s="1"/>
      <c r="B5" s="332"/>
      <c r="C5" s="21"/>
      <c r="D5" s="21"/>
      <c r="E5" s="21"/>
      <c r="F5" s="21"/>
      <c r="G5" s="21"/>
      <c r="H5" s="2"/>
      <c r="I5" s="2"/>
      <c r="J5" s="2"/>
      <c r="K5" s="2"/>
    </row>
    <row r="6" spans="1:13">
      <c r="A6" s="1"/>
      <c r="B6" s="5"/>
      <c r="C6" s="64"/>
      <c r="D6" s="1"/>
      <c r="E6" s="64" t="s">
        <v>864</v>
      </c>
      <c r="F6" s="1"/>
      <c r="G6" s="1"/>
      <c r="H6" s="1"/>
      <c r="I6" s="1"/>
      <c r="J6" s="1"/>
      <c r="K6" s="1"/>
    </row>
    <row r="7" spans="1:13">
      <c r="A7" s="1"/>
      <c r="B7" s="64"/>
      <c r="C7" s="63" t="s">
        <v>234</v>
      </c>
      <c r="D7" s="64" t="s">
        <v>790</v>
      </c>
      <c r="E7" s="64" t="s">
        <v>637</v>
      </c>
      <c r="F7" s="64" t="s">
        <v>864</v>
      </c>
      <c r="G7" s="64" t="s">
        <v>895</v>
      </c>
      <c r="H7" s="64" t="s">
        <v>896</v>
      </c>
      <c r="I7" s="64" t="s">
        <v>897</v>
      </c>
      <c r="J7" s="64" t="s">
        <v>898</v>
      </c>
      <c r="K7" s="64" t="s">
        <v>899</v>
      </c>
    </row>
    <row r="8" spans="1:13" ht="14.4" thickBot="1">
      <c r="A8" s="1"/>
      <c r="B8" s="130"/>
      <c r="C8" s="66" t="s">
        <v>1</v>
      </c>
      <c r="D8" s="66" t="s">
        <v>1</v>
      </c>
      <c r="E8" s="66" t="s">
        <v>605</v>
      </c>
      <c r="F8" s="66" t="s">
        <v>19</v>
      </c>
      <c r="G8" s="66" t="str">
        <f>$M$1</f>
        <v>Adopted</v>
      </c>
      <c r="H8" s="66" t="s">
        <v>19</v>
      </c>
      <c r="I8" s="66" t="s">
        <v>19</v>
      </c>
      <c r="J8" s="66" t="s">
        <v>19</v>
      </c>
      <c r="K8" s="66" t="s">
        <v>19</v>
      </c>
    </row>
    <row r="9" spans="1:13">
      <c r="A9" s="1"/>
      <c r="B9" s="62"/>
      <c r="C9" s="131"/>
      <c r="D9" s="2"/>
      <c r="E9" s="2"/>
      <c r="F9" s="2"/>
      <c r="G9" s="2"/>
      <c r="H9" s="2"/>
      <c r="I9" s="2"/>
      <c r="J9" s="2"/>
      <c r="K9" s="2"/>
    </row>
    <row r="10" spans="1:13">
      <c r="A10" s="1"/>
      <c r="B10" s="124" t="s">
        <v>638</v>
      </c>
      <c r="C10" s="2"/>
      <c r="D10" s="2"/>
      <c r="E10" s="2"/>
      <c r="F10" s="2"/>
      <c r="G10" s="2"/>
      <c r="H10" s="2"/>
      <c r="I10" s="2"/>
      <c r="J10" s="2"/>
      <c r="K10" s="2"/>
    </row>
    <row r="11" spans="1:13" ht="20.100000000000001" customHeight="1">
      <c r="A11" s="1"/>
      <c r="B11" s="323" t="s">
        <v>639</v>
      </c>
      <c r="C11" s="2">
        <f>SUM('Budget Detail FY 2017-24'!L9:L25)</f>
        <v>10736464</v>
      </c>
      <c r="D11" s="2">
        <f>SUM('Budget Detail FY 2017-24'!M9:M25)</f>
        <v>10962693</v>
      </c>
      <c r="E11" s="2">
        <f>SUM('Budget Detail FY 2017-24'!N9:N25)</f>
        <v>11014213</v>
      </c>
      <c r="F11" s="2">
        <f>SUM('Budget Detail FY 2017-24'!O9:O25)</f>
        <v>11240608</v>
      </c>
      <c r="G11" s="2">
        <f>SUM('Budget Detail FY 2017-24'!P9:P25)</f>
        <v>11388715</v>
      </c>
      <c r="H11" s="2">
        <f>SUM('Budget Detail FY 2017-24'!Q9:Q25)</f>
        <v>11589464</v>
      </c>
      <c r="I11" s="2">
        <f>SUM('Budget Detail FY 2017-24'!R9:R25)</f>
        <v>11793832</v>
      </c>
      <c r="J11" s="2">
        <f>SUM('Budget Detail FY 2017-24'!S9:S25)</f>
        <v>11861871</v>
      </c>
      <c r="K11" s="2">
        <f>SUM('Budget Detail FY 2017-24'!T9:T25)</f>
        <v>12073632</v>
      </c>
      <c r="M11" s="323"/>
    </row>
    <row r="12" spans="1:13" ht="20.100000000000001" customHeight="1">
      <c r="A12" s="1"/>
      <c r="B12" s="323" t="s">
        <v>640</v>
      </c>
      <c r="C12" s="2">
        <f>SUM('Budget Detail FY 2017-24'!L26:L33)</f>
        <v>2235395</v>
      </c>
      <c r="D12" s="2">
        <f>SUM('Budget Detail FY 2017-24'!M26:M33)</f>
        <v>2296435</v>
      </c>
      <c r="E12" s="2">
        <f>SUM('Budget Detail FY 2017-24'!N26:N33)</f>
        <v>2512487</v>
      </c>
      <c r="F12" s="2">
        <f>SUM('Budget Detail FY 2017-24'!O26:O33)</f>
        <v>2608659</v>
      </c>
      <c r="G12" s="2">
        <f>SUM('Budget Detail FY 2017-24'!P26:P33)</f>
        <v>2703232</v>
      </c>
      <c r="H12" s="2">
        <f>SUM('Budget Detail FY 2017-24'!Q26:Q33)</f>
        <v>2753618</v>
      </c>
      <c r="I12" s="2">
        <f>SUM('Budget Detail FY 2017-24'!R26:R33)</f>
        <v>2810013</v>
      </c>
      <c r="J12" s="2">
        <f>SUM('Budget Detail FY 2017-24'!S26:S33)</f>
        <v>2862436</v>
      </c>
      <c r="K12" s="2">
        <f>SUM('Budget Detail FY 2017-24'!T26:T33)</f>
        <v>2920906</v>
      </c>
      <c r="M12" s="323"/>
    </row>
    <row r="13" spans="1:13" ht="20.100000000000001" customHeight="1">
      <c r="A13" s="1"/>
      <c r="B13" s="324" t="s">
        <v>641</v>
      </c>
      <c r="C13" s="2">
        <f>SUM('Budget Detail FY 2017-24'!L34:L36)</f>
        <v>315862</v>
      </c>
      <c r="D13" s="2">
        <f>SUM('Budget Detail FY 2017-24'!M34:M36)</f>
        <v>364499</v>
      </c>
      <c r="E13" s="2">
        <f>SUM('Budget Detail FY 2017-24'!N34:N36)</f>
        <v>336000</v>
      </c>
      <c r="F13" s="2">
        <f>SUM('Budget Detail FY 2017-24'!O34:O36)</f>
        <v>539500</v>
      </c>
      <c r="G13" s="2">
        <f>SUM('Budget Detail FY 2017-24'!P34:P36)</f>
        <v>413500</v>
      </c>
      <c r="H13" s="2">
        <f>SUM('Budget Detail FY 2017-24'!Q34:Q36)</f>
        <v>388500</v>
      </c>
      <c r="I13" s="2">
        <f>SUM('Budget Detail FY 2017-24'!R34:R36)</f>
        <v>388500</v>
      </c>
      <c r="J13" s="2">
        <f>SUM('Budget Detail FY 2017-24'!S34:S36)</f>
        <v>388500</v>
      </c>
      <c r="K13" s="2">
        <f>SUM('Budget Detail FY 2017-24'!T34:T36)</f>
        <v>388500</v>
      </c>
      <c r="M13" s="324"/>
    </row>
    <row r="14" spans="1:13" ht="20.100000000000001" customHeight="1">
      <c r="A14" s="1"/>
      <c r="B14" s="324" t="s">
        <v>642</v>
      </c>
      <c r="C14" s="2">
        <f>SUM('Budget Detail FY 2017-24'!L37:L40)</f>
        <v>140250</v>
      </c>
      <c r="D14" s="2">
        <f>SUM('Budget Detail FY 2017-24'!M37:M40)</f>
        <v>123617</v>
      </c>
      <c r="E14" s="2">
        <f>SUM('Budget Detail FY 2017-24'!N37:N40)</f>
        <v>130400</v>
      </c>
      <c r="F14" s="2">
        <f>SUM('Budget Detail FY 2017-24'!O37:O40)</f>
        <v>117400</v>
      </c>
      <c r="G14" s="2">
        <f>SUM('Budget Detail FY 2017-24'!P37:P40)</f>
        <v>125400</v>
      </c>
      <c r="H14" s="2">
        <f>SUM('Budget Detail FY 2017-24'!Q37:Q40)</f>
        <v>125400</v>
      </c>
      <c r="I14" s="2">
        <f>SUM('Budget Detail FY 2017-24'!R37:R40)</f>
        <v>125400</v>
      </c>
      <c r="J14" s="2">
        <f>SUM('Budget Detail FY 2017-24'!S37:S40)</f>
        <v>125400</v>
      </c>
      <c r="K14" s="2">
        <f>SUM('Budget Detail FY 2017-24'!T37:T40)</f>
        <v>125400</v>
      </c>
      <c r="M14" s="324"/>
    </row>
    <row r="15" spans="1:13" ht="20.100000000000001" customHeight="1">
      <c r="A15" s="1"/>
      <c r="B15" s="324" t="s">
        <v>643</v>
      </c>
      <c r="C15" s="2">
        <f>SUM('Budget Detail FY 2017-24'!L41:L45)</f>
        <v>1465678</v>
      </c>
      <c r="D15" s="2">
        <f>SUM('Budget Detail FY 2017-24'!M41:M45)</f>
        <v>1508994</v>
      </c>
      <c r="E15" s="2">
        <f>SUM('Budget Detail FY 2017-24'!N41:N45)</f>
        <v>1535112</v>
      </c>
      <c r="F15" s="2">
        <f>SUM('Budget Detail FY 2017-24'!O41:O45)</f>
        <v>1585887</v>
      </c>
      <c r="G15" s="2">
        <f>SUM('Budget Detail FY 2017-24'!P41:P45)</f>
        <v>1616211</v>
      </c>
      <c r="H15" s="2">
        <f>SUM('Budget Detail FY 2017-24'!Q41:Q45)</f>
        <v>1652978</v>
      </c>
      <c r="I15" s="2">
        <f>SUM('Budget Detail FY 2017-24'!R41:R45)</f>
        <v>1690694</v>
      </c>
      <c r="J15" s="2">
        <f>SUM('Budget Detail FY 2017-24'!S41:S45)</f>
        <v>1735820</v>
      </c>
      <c r="K15" s="2">
        <f>SUM('Budget Detail FY 2017-24'!T41:T45)</f>
        <v>1782300</v>
      </c>
      <c r="M15" s="324"/>
    </row>
    <row r="16" spans="1:13" ht="20.100000000000001" customHeight="1">
      <c r="A16" s="1"/>
      <c r="B16" s="324" t="s">
        <v>644</v>
      </c>
      <c r="C16" s="2">
        <f>'Budget Detail FY 2017-24'!L46+'Budget Detail FY 2017-24'!L47</f>
        <v>21197</v>
      </c>
      <c r="D16" s="2">
        <f>'Budget Detail FY 2017-24'!M46+'Budget Detail FY 2017-24'!M47</f>
        <v>49018</v>
      </c>
      <c r="E16" s="2">
        <f>'Budget Detail FY 2017-24'!N46+'Budget Detail FY 2017-24'!N47</f>
        <v>20000</v>
      </c>
      <c r="F16" s="2">
        <f>'Budget Detail FY 2017-24'!O46+'Budget Detail FY 2017-24'!O47</f>
        <v>80000</v>
      </c>
      <c r="G16" s="2">
        <f>'Budget Detail FY 2017-24'!P46+'Budget Detail FY 2017-24'!P47</f>
        <v>80000</v>
      </c>
      <c r="H16" s="2">
        <f>'Budget Detail FY 2017-24'!Q46+'Budget Detail FY 2017-24'!Q47</f>
        <v>76495</v>
      </c>
      <c r="I16" s="2">
        <f>'Budget Detail FY 2017-24'!R46+'Budget Detail FY 2017-24'!R47</f>
        <v>64555</v>
      </c>
      <c r="J16" s="2">
        <f>'Budget Detail FY 2017-24'!S46+'Budget Detail FY 2017-24'!S47</f>
        <v>51021</v>
      </c>
      <c r="K16" s="2">
        <f>'Budget Detail FY 2017-24'!T46+'Budget Detail FY 2017-24'!T47</f>
        <v>29359</v>
      </c>
      <c r="M16" s="324"/>
    </row>
    <row r="17" spans="1:13" ht="20.100000000000001" customHeight="1">
      <c r="A17" s="1"/>
      <c r="B17" s="324" t="s">
        <v>645</v>
      </c>
      <c r="C17" s="2">
        <f>SUM('Budget Detail FY 2017-24'!L48:L51)</f>
        <v>66449</v>
      </c>
      <c r="D17" s="2">
        <f>SUM('Budget Detail FY 2017-24'!M48:M51)</f>
        <v>85579</v>
      </c>
      <c r="E17" s="2">
        <f>SUM('Budget Detail FY 2017-24'!N48:N51)</f>
        <v>55000</v>
      </c>
      <c r="F17" s="2">
        <f>SUM('Budget Detail FY 2017-24'!O48:O51)</f>
        <v>54000</v>
      </c>
      <c r="G17" s="2">
        <f>SUM('Budget Detail FY 2017-24'!P48:P51)</f>
        <v>75000</v>
      </c>
      <c r="H17" s="2">
        <f>SUM('Budget Detail FY 2017-24'!Q48:Q51)</f>
        <v>75000</v>
      </c>
      <c r="I17" s="2">
        <f>SUM('Budget Detail FY 2017-24'!R48:R51)</f>
        <v>75000</v>
      </c>
      <c r="J17" s="2">
        <f>SUM('Budget Detail FY 2017-24'!S48:S51)</f>
        <v>75000</v>
      </c>
      <c r="K17" s="2">
        <f>SUM('Budget Detail FY 2017-24'!T48:T51)</f>
        <v>75000</v>
      </c>
    </row>
    <row r="18" spans="1:13" ht="20.100000000000001" customHeight="1">
      <c r="A18" s="1"/>
      <c r="B18" s="324" t="s">
        <v>646</v>
      </c>
      <c r="C18" s="2">
        <f>SUM('Budget Detail FY 2017-24'!L52:L53)</f>
        <v>19848</v>
      </c>
      <c r="D18" s="2">
        <f>SUM('Budget Detail FY 2017-24'!M52:M53)</f>
        <v>19243</v>
      </c>
      <c r="E18" s="2">
        <f>SUM('Budget Detail FY 2017-24'!N52:N53)</f>
        <v>21750</v>
      </c>
      <c r="F18" s="2">
        <f>SUM('Budget Detail FY 2017-24'!O52:O53)</f>
        <v>25250</v>
      </c>
      <c r="G18" s="2">
        <f>SUM('Budget Detail FY 2017-24'!P52:P53)</f>
        <v>20000</v>
      </c>
      <c r="H18" s="2">
        <f>SUM('Budget Detail FY 2017-24'!Q52:Q53)</f>
        <v>20000</v>
      </c>
      <c r="I18" s="2">
        <f>SUM('Budget Detail FY 2017-24'!R52:R53)</f>
        <v>20000</v>
      </c>
      <c r="J18" s="2">
        <f>SUM('Budget Detail FY 2017-24'!S52:S53)</f>
        <v>20000</v>
      </c>
      <c r="K18" s="2">
        <f>SUM('Budget Detail FY 2017-24'!T52:T53)</f>
        <v>20000</v>
      </c>
      <c r="M18" s="324"/>
    </row>
    <row r="19" spans="1:13" ht="20.100000000000001" customHeight="1">
      <c r="A19" s="1"/>
      <c r="B19" s="324" t="s">
        <v>647</v>
      </c>
      <c r="C19" s="2">
        <f>SUM('Budget Detail FY 2017-24'!L54:L54)</f>
        <v>9645</v>
      </c>
      <c r="D19" s="2">
        <f>SUM('Budget Detail FY 2017-24'!M54:M54)</f>
        <v>92125</v>
      </c>
      <c r="E19" s="2">
        <f>SUM('Budget Detail FY 2017-24'!N54:N54)</f>
        <v>18000</v>
      </c>
      <c r="F19" s="2">
        <f>SUM('Budget Detail FY 2017-24'!O54:O54)</f>
        <v>30000</v>
      </c>
      <c r="G19" s="2">
        <f>SUM('Budget Detail FY 2017-24'!P54:P54)</f>
        <v>47180</v>
      </c>
      <c r="H19" s="2">
        <f>SUM('Budget Detail FY 2017-24'!Q54:Q54)</f>
        <v>47180</v>
      </c>
      <c r="I19" s="2">
        <f>SUM('Budget Detail FY 2017-24'!R54:R54)</f>
        <v>47180</v>
      </c>
      <c r="J19" s="2">
        <f>SUM('Budget Detail FY 2017-24'!S54:S54)</f>
        <v>47180</v>
      </c>
      <c r="K19" s="2">
        <f>SUM('Budget Detail FY 2017-24'!T54:T54)</f>
        <v>47180</v>
      </c>
      <c r="M19" s="324"/>
    </row>
    <row r="20" spans="1:13" ht="20.100000000000001" customHeight="1" thickBot="1">
      <c r="A20" s="1"/>
      <c r="B20" s="123" t="s">
        <v>648</v>
      </c>
      <c r="C20" s="121">
        <f>SUM(C11:C19)</f>
        <v>15010788</v>
      </c>
      <c r="D20" s="121">
        <f t="shared" ref="D20:J20" si="0">SUM(D11:D19)</f>
        <v>15502203</v>
      </c>
      <c r="E20" s="121">
        <f t="shared" si="0"/>
        <v>15642962</v>
      </c>
      <c r="F20" s="121">
        <f t="shared" si="0"/>
        <v>16281304</v>
      </c>
      <c r="G20" s="121">
        <f>SUM(G11:G19)</f>
        <v>16469238</v>
      </c>
      <c r="H20" s="121">
        <f t="shared" si="0"/>
        <v>16728635</v>
      </c>
      <c r="I20" s="121">
        <f t="shared" si="0"/>
        <v>17015174</v>
      </c>
      <c r="J20" s="121">
        <f t="shared" si="0"/>
        <v>17167228</v>
      </c>
      <c r="K20" s="121">
        <f>SUM(K11:K19)</f>
        <v>17462277</v>
      </c>
    </row>
    <row r="21" spans="1:13" ht="7.5" customHeight="1">
      <c r="A21" s="1"/>
      <c r="B21" s="1"/>
      <c r="C21" s="2"/>
      <c r="D21" s="2"/>
      <c r="E21" s="2"/>
      <c r="F21" s="2"/>
      <c r="G21" s="2"/>
      <c r="H21" s="2"/>
      <c r="I21" s="2"/>
      <c r="J21" s="2"/>
      <c r="K21" s="2"/>
    </row>
    <row r="22" spans="1:13">
      <c r="A22" s="1"/>
      <c r="B22" s="124" t="s">
        <v>457</v>
      </c>
      <c r="C22" s="2"/>
      <c r="D22" s="334"/>
      <c r="E22" s="334"/>
      <c r="F22" s="334"/>
      <c r="G22" s="334"/>
      <c r="H22" s="334"/>
      <c r="I22" s="334"/>
      <c r="J22" s="334"/>
      <c r="K22" s="334"/>
    </row>
    <row r="23" spans="1:13" ht="20.100000000000001" customHeight="1">
      <c r="A23" s="1"/>
      <c r="B23" s="325" t="s">
        <v>649</v>
      </c>
      <c r="C23" s="2">
        <f>'Gen Fd Cover Sheets'!C12+'Gen Fd Cover Sheets'!C43+'Gen Fd Cover Sheets'!C71+'Gen Fd Cover Sheets'!C104+'Gen Fd Cover Sheets'!C132+'Gen Fd Cover Sheets'!C163</f>
        <v>4212964</v>
      </c>
      <c r="D23" s="2">
        <f>'Gen Fd Cover Sheets'!D12+'Gen Fd Cover Sheets'!D43+'Gen Fd Cover Sheets'!D71+'Gen Fd Cover Sheets'!D104+'Gen Fd Cover Sheets'!D132+'Gen Fd Cover Sheets'!D163</f>
        <v>4522164</v>
      </c>
      <c r="E23" s="2">
        <f>'Gen Fd Cover Sheets'!E12+'Gen Fd Cover Sheets'!E43+'Gen Fd Cover Sheets'!E71+'Gen Fd Cover Sheets'!E104+'Gen Fd Cover Sheets'!E132+'Gen Fd Cover Sheets'!E163</f>
        <v>4901639</v>
      </c>
      <c r="F23" s="2">
        <f>'Gen Fd Cover Sheets'!F12+'Gen Fd Cover Sheets'!F43+'Gen Fd Cover Sheets'!F71+'Gen Fd Cover Sheets'!F104+'Gen Fd Cover Sheets'!F132+'Gen Fd Cover Sheets'!F163</f>
        <v>4782655</v>
      </c>
      <c r="G23" s="2">
        <f>'Gen Fd Cover Sheets'!G12+'Gen Fd Cover Sheets'!G43+'Gen Fd Cover Sheets'!G71+'Gen Fd Cover Sheets'!G104+'Gen Fd Cover Sheets'!G132+'Gen Fd Cover Sheets'!G163</f>
        <v>5206755</v>
      </c>
      <c r="H23" s="2">
        <f>'Gen Fd Cover Sheets'!H12+'Gen Fd Cover Sheets'!H43+'Gen Fd Cover Sheets'!H71+'Gen Fd Cover Sheets'!H104+'Gen Fd Cover Sheets'!H132+'Gen Fd Cover Sheets'!H163</f>
        <v>5482410</v>
      </c>
      <c r="I23" s="2">
        <f>'Gen Fd Cover Sheets'!I12+'Gen Fd Cover Sheets'!I43+'Gen Fd Cover Sheets'!I71+'Gen Fd Cover Sheets'!I104+'Gen Fd Cover Sheets'!I132+'Gen Fd Cover Sheets'!I163</f>
        <v>5701586</v>
      </c>
      <c r="J23" s="2">
        <f>'Gen Fd Cover Sheets'!J12+'Gen Fd Cover Sheets'!J43+'Gen Fd Cover Sheets'!J71+'Gen Fd Cover Sheets'!J104+'Gen Fd Cover Sheets'!J132+'Gen Fd Cover Sheets'!J163</f>
        <v>5929253</v>
      </c>
      <c r="K23" s="2">
        <f>'Gen Fd Cover Sheets'!K12+'Gen Fd Cover Sheets'!K43+'Gen Fd Cover Sheets'!K71+'Gen Fd Cover Sheets'!K104+'Gen Fd Cover Sheets'!K132+'Gen Fd Cover Sheets'!K163</f>
        <v>6165723</v>
      </c>
      <c r="M23" s="325"/>
    </row>
    <row r="24" spans="1:13" ht="20.100000000000001" customHeight="1">
      <c r="A24" s="1"/>
      <c r="B24" s="325" t="s">
        <v>650</v>
      </c>
      <c r="C24" s="2">
        <f>'Gen Fd Cover Sheets'!C13+'Gen Fd Cover Sheets'!C44+'Gen Fd Cover Sheets'!C72+'Gen Fd Cover Sheets'!C105+'Gen Fd Cover Sheets'!C133+'Gen Fd Cover Sheets'!C164</f>
        <v>2635062</v>
      </c>
      <c r="D24" s="2">
        <f>'Gen Fd Cover Sheets'!D13+'Gen Fd Cover Sheets'!D44+'Gen Fd Cover Sheets'!D72+'Gen Fd Cover Sheets'!D105+'Gen Fd Cover Sheets'!D133+'Gen Fd Cover Sheets'!D164</f>
        <v>2905833</v>
      </c>
      <c r="E24" s="2">
        <f>'Gen Fd Cover Sheets'!E13+'Gen Fd Cover Sheets'!E44+'Gen Fd Cover Sheets'!E72+'Gen Fd Cover Sheets'!E105+'Gen Fd Cover Sheets'!E133+'Gen Fd Cover Sheets'!E164</f>
        <v>3056457</v>
      </c>
      <c r="F24" s="2">
        <f>'Gen Fd Cover Sheets'!F13+'Gen Fd Cover Sheets'!F44+'Gen Fd Cover Sheets'!F72+'Gen Fd Cover Sheets'!F105+'Gen Fd Cover Sheets'!F133+'Gen Fd Cover Sheets'!F164</f>
        <v>2923040</v>
      </c>
      <c r="G24" s="2">
        <f>'Gen Fd Cover Sheets'!G13+'Gen Fd Cover Sheets'!G44+'Gen Fd Cover Sheets'!G72+'Gen Fd Cover Sheets'!G105+'Gen Fd Cover Sheets'!G133+'Gen Fd Cover Sheets'!G164</f>
        <v>3273617</v>
      </c>
      <c r="H24" s="2">
        <f>'Gen Fd Cover Sheets'!H13+'Gen Fd Cover Sheets'!H44+'Gen Fd Cover Sheets'!H72+'Gen Fd Cover Sheets'!H105+'Gen Fd Cover Sheets'!H133+'Gen Fd Cover Sheets'!H164</f>
        <v>3532710</v>
      </c>
      <c r="I24" s="2">
        <f>'Gen Fd Cover Sheets'!I13+'Gen Fd Cover Sheets'!I44+'Gen Fd Cover Sheets'!I72+'Gen Fd Cover Sheets'!I105+'Gen Fd Cover Sheets'!I133+'Gen Fd Cover Sheets'!I164</f>
        <v>3737769</v>
      </c>
      <c r="J24" s="2">
        <f>'Gen Fd Cover Sheets'!J13+'Gen Fd Cover Sheets'!J44+'Gen Fd Cover Sheets'!J72+'Gen Fd Cover Sheets'!J105+'Gen Fd Cover Sheets'!J133+'Gen Fd Cover Sheets'!J164</f>
        <v>3993959</v>
      </c>
      <c r="K24" s="2">
        <f>'Gen Fd Cover Sheets'!K13+'Gen Fd Cover Sheets'!K44+'Gen Fd Cover Sheets'!K72+'Gen Fd Cover Sheets'!K105+'Gen Fd Cover Sheets'!K133+'Gen Fd Cover Sheets'!K164</f>
        <v>4266327</v>
      </c>
      <c r="M24" s="325"/>
    </row>
    <row r="25" spans="1:13" ht="20.100000000000001" customHeight="1">
      <c r="A25" s="1"/>
      <c r="B25" s="325" t="s">
        <v>651</v>
      </c>
      <c r="C25" s="2">
        <f>'Gen Fd Cover Sheets'!C14+'Gen Fd Cover Sheets'!C45+'Gen Fd Cover Sheets'!C73+'Gen Fd Cover Sheets'!C106+'Gen Fd Cover Sheets'!C134+'Gen Fd Cover Sheets'!C165</f>
        <v>4796367</v>
      </c>
      <c r="D25" s="2">
        <f>'Gen Fd Cover Sheets'!D14+'Gen Fd Cover Sheets'!D45+'Gen Fd Cover Sheets'!D73+'Gen Fd Cover Sheets'!D106+'Gen Fd Cover Sheets'!D134+'Gen Fd Cover Sheets'!D165</f>
        <v>4767096</v>
      </c>
      <c r="E25" s="2">
        <f>'Gen Fd Cover Sheets'!E14+'Gen Fd Cover Sheets'!E45+'Gen Fd Cover Sheets'!E73+'Gen Fd Cover Sheets'!E106+'Gen Fd Cover Sheets'!E134+'Gen Fd Cover Sheets'!E165</f>
        <v>5047691</v>
      </c>
      <c r="F25" s="2">
        <f>'Gen Fd Cover Sheets'!F14+'Gen Fd Cover Sheets'!F45+'Gen Fd Cover Sheets'!F73+'Gen Fd Cover Sheets'!F106+'Gen Fd Cover Sheets'!F134+'Gen Fd Cover Sheets'!F165</f>
        <v>5213855</v>
      </c>
      <c r="G25" s="2">
        <f>'Gen Fd Cover Sheets'!G14+'Gen Fd Cover Sheets'!G45+'Gen Fd Cover Sheets'!G73+'Gen Fd Cover Sheets'!G106+'Gen Fd Cover Sheets'!G134+'Gen Fd Cover Sheets'!G165</f>
        <v>5193468</v>
      </c>
      <c r="H25" s="2">
        <f>'Gen Fd Cover Sheets'!H14+'Gen Fd Cover Sheets'!H45+'Gen Fd Cover Sheets'!H73+'Gen Fd Cover Sheets'!H106+'Gen Fd Cover Sheets'!H134+'Gen Fd Cover Sheets'!H165</f>
        <v>5281279</v>
      </c>
      <c r="I25" s="2">
        <f>'Gen Fd Cover Sheets'!I14+'Gen Fd Cover Sheets'!I45+'Gen Fd Cover Sheets'!I73+'Gen Fd Cover Sheets'!I106+'Gen Fd Cover Sheets'!I134+'Gen Fd Cover Sheets'!I165</f>
        <v>5223106</v>
      </c>
      <c r="J25" s="2">
        <f>'Gen Fd Cover Sheets'!J14+'Gen Fd Cover Sheets'!J45+'Gen Fd Cover Sheets'!J73+'Gen Fd Cover Sheets'!J106+'Gen Fd Cover Sheets'!J134+'Gen Fd Cover Sheets'!J165</f>
        <v>5167256</v>
      </c>
      <c r="K25" s="2">
        <f>'Gen Fd Cover Sheets'!K14+'Gen Fd Cover Sheets'!K45+'Gen Fd Cover Sheets'!K73+'Gen Fd Cover Sheets'!K106+'Gen Fd Cover Sheets'!K134+'Gen Fd Cover Sheets'!K165</f>
        <v>5273758</v>
      </c>
      <c r="M25" s="325"/>
    </row>
    <row r="26" spans="1:13" ht="20.100000000000001" customHeight="1">
      <c r="A26" s="1"/>
      <c r="B26" s="325" t="s">
        <v>652</v>
      </c>
      <c r="C26" s="2">
        <f>'Gen Fd Cover Sheets'!C15+'Gen Fd Cover Sheets'!C46+'Gen Fd Cover Sheets'!C74+'Gen Fd Cover Sheets'!C107+'Gen Fd Cover Sheets'!C135+'Gen Fd Cover Sheets'!C166</f>
        <v>194947</v>
      </c>
      <c r="D26" s="2">
        <f>'Gen Fd Cover Sheets'!D15+'Gen Fd Cover Sheets'!D46+'Gen Fd Cover Sheets'!D74+'Gen Fd Cover Sheets'!D107+'Gen Fd Cover Sheets'!D135+'Gen Fd Cover Sheets'!D166</f>
        <v>245057</v>
      </c>
      <c r="E26" s="2">
        <f>'Gen Fd Cover Sheets'!E15+'Gen Fd Cover Sheets'!E46+'Gen Fd Cover Sheets'!E74+'Gen Fd Cover Sheets'!E107+'Gen Fd Cover Sheets'!E135+'Gen Fd Cover Sheets'!E166</f>
        <v>345098</v>
      </c>
      <c r="F26" s="2">
        <f>'Gen Fd Cover Sheets'!F15+'Gen Fd Cover Sheets'!F46+'Gen Fd Cover Sheets'!F74+'Gen Fd Cover Sheets'!F107+'Gen Fd Cover Sheets'!F135+'Gen Fd Cover Sheets'!F166</f>
        <v>322338</v>
      </c>
      <c r="G26" s="2">
        <f>'Gen Fd Cover Sheets'!G15+'Gen Fd Cover Sheets'!G46+'Gen Fd Cover Sheets'!G74+'Gen Fd Cover Sheets'!G107+'Gen Fd Cover Sheets'!G135+'Gen Fd Cover Sheets'!G166</f>
        <v>464998</v>
      </c>
      <c r="H26" s="2">
        <f>'Gen Fd Cover Sheets'!H15+'Gen Fd Cover Sheets'!H46+'Gen Fd Cover Sheets'!H74+'Gen Fd Cover Sheets'!H107+'Gen Fd Cover Sheets'!H135+'Gen Fd Cover Sheets'!H166</f>
        <v>421970</v>
      </c>
      <c r="I26" s="2">
        <f>'Gen Fd Cover Sheets'!I15+'Gen Fd Cover Sheets'!I46+'Gen Fd Cover Sheets'!I74+'Gen Fd Cover Sheets'!I107+'Gen Fd Cover Sheets'!I135+'Gen Fd Cover Sheets'!I166</f>
        <v>426666</v>
      </c>
      <c r="J26" s="2">
        <f>'Gen Fd Cover Sheets'!J15+'Gen Fd Cover Sheets'!J46+'Gen Fd Cover Sheets'!J74+'Gen Fd Cover Sheets'!J107+'Gen Fd Cover Sheets'!J135+'Gen Fd Cover Sheets'!J166</f>
        <v>431597</v>
      </c>
      <c r="K26" s="2">
        <f>'Gen Fd Cover Sheets'!K15+'Gen Fd Cover Sheets'!K46+'Gen Fd Cover Sheets'!K74+'Gen Fd Cover Sheets'!K107+'Gen Fd Cover Sheets'!K135+'Gen Fd Cover Sheets'!K166</f>
        <v>436775</v>
      </c>
      <c r="M26" s="325"/>
    </row>
    <row r="27" spans="1:13" ht="20.100000000000001" customHeight="1">
      <c r="A27" s="1"/>
      <c r="B27" s="326" t="s">
        <v>654</v>
      </c>
      <c r="C27" s="2">
        <f>'Gen Fd Cover Sheets'!C167</f>
        <v>2649065</v>
      </c>
      <c r="D27" s="2">
        <f>'Gen Fd Cover Sheets'!D167</f>
        <v>2779764</v>
      </c>
      <c r="E27" s="2">
        <f>'Gen Fd Cover Sheets'!E167</f>
        <v>3044911</v>
      </c>
      <c r="F27" s="2">
        <f>'Gen Fd Cover Sheets'!F167</f>
        <v>3039217</v>
      </c>
      <c r="G27" s="2">
        <f>'Gen Fd Cover Sheets'!G167</f>
        <v>2330400</v>
      </c>
      <c r="H27" s="2">
        <f>'Gen Fd Cover Sheets'!H167</f>
        <v>2586243</v>
      </c>
      <c r="I27" s="2">
        <f>'Gen Fd Cover Sheets'!I167</f>
        <v>2969276</v>
      </c>
      <c r="J27" s="2">
        <f>'Gen Fd Cover Sheets'!J167</f>
        <v>3190286</v>
      </c>
      <c r="K27" s="2">
        <f>'Gen Fd Cover Sheets'!K167</f>
        <v>2931155</v>
      </c>
      <c r="M27" s="326"/>
    </row>
    <row r="28" spans="1:13" ht="20.100000000000001" customHeight="1" thickBot="1">
      <c r="A28" s="1"/>
      <c r="B28" s="123" t="s">
        <v>655</v>
      </c>
      <c r="C28" s="121">
        <f t="shared" ref="C28:K28" si="1">SUM(C23:C27)</f>
        <v>14488405</v>
      </c>
      <c r="D28" s="121">
        <f t="shared" si="1"/>
        <v>15219914</v>
      </c>
      <c r="E28" s="121">
        <f t="shared" si="1"/>
        <v>16395796</v>
      </c>
      <c r="F28" s="121">
        <f t="shared" si="1"/>
        <v>16281105</v>
      </c>
      <c r="G28" s="121">
        <f t="shared" si="1"/>
        <v>16469238</v>
      </c>
      <c r="H28" s="121">
        <f t="shared" si="1"/>
        <v>17304612</v>
      </c>
      <c r="I28" s="121">
        <f t="shared" si="1"/>
        <v>18058403</v>
      </c>
      <c r="J28" s="121">
        <f t="shared" si="1"/>
        <v>18712351</v>
      </c>
      <c r="K28" s="121">
        <f t="shared" si="1"/>
        <v>19073738</v>
      </c>
    </row>
    <row r="29" spans="1:13" s="374" customFormat="1">
      <c r="B29" s="126"/>
      <c r="C29" s="3"/>
      <c r="D29" s="2"/>
      <c r="E29" s="2"/>
      <c r="F29" s="2"/>
      <c r="G29" s="2"/>
      <c r="H29" s="2"/>
      <c r="I29" s="2"/>
      <c r="J29" s="2"/>
      <c r="K29" s="2"/>
    </row>
    <row r="30" spans="1:13" ht="20.100000000000001" customHeight="1">
      <c r="A30" s="1"/>
      <c r="B30" s="327" t="s">
        <v>656</v>
      </c>
      <c r="C30" s="3">
        <f t="shared" ref="C30:K30" si="2">+C20-C28</f>
        <v>522383</v>
      </c>
      <c r="D30" s="3">
        <f t="shared" si="2"/>
        <v>282289</v>
      </c>
      <c r="E30" s="3">
        <f t="shared" si="2"/>
        <v>-752834</v>
      </c>
      <c r="F30" s="3">
        <f t="shared" si="2"/>
        <v>199</v>
      </c>
      <c r="G30" s="3">
        <f t="shared" si="2"/>
        <v>0</v>
      </c>
      <c r="H30" s="3">
        <f t="shared" si="2"/>
        <v>-575977</v>
      </c>
      <c r="I30" s="3">
        <f t="shared" si="2"/>
        <v>-1043229</v>
      </c>
      <c r="J30" s="3">
        <f t="shared" si="2"/>
        <v>-1545123</v>
      </c>
      <c r="K30" s="3">
        <f t="shared" si="2"/>
        <v>-1611461</v>
      </c>
    </row>
    <row r="31" spans="1:13" s="336" customFormat="1">
      <c r="A31" s="1"/>
      <c r="B31" s="127"/>
      <c r="C31" s="3"/>
      <c r="D31" s="2"/>
      <c r="E31" s="2"/>
      <c r="F31" s="2"/>
      <c r="G31" s="2"/>
      <c r="H31" s="2"/>
      <c r="I31" s="2"/>
      <c r="J31" s="2"/>
      <c r="K31" s="2"/>
    </row>
    <row r="32" spans="1:13" ht="20.100000000000001" customHeight="1" thickBot="1">
      <c r="A32" s="1"/>
      <c r="B32" s="122" t="s">
        <v>657</v>
      </c>
      <c r="C32" s="79">
        <v>6214089</v>
      </c>
      <c r="D32" s="79">
        <v>6496373</v>
      </c>
      <c r="E32" s="79">
        <v>5468778</v>
      </c>
      <c r="F32" s="79">
        <f>D32+F30</f>
        <v>6496572</v>
      </c>
      <c r="G32" s="79">
        <f>F32+G30</f>
        <v>6496572</v>
      </c>
      <c r="H32" s="79">
        <f>G32+H30</f>
        <v>5920595</v>
      </c>
      <c r="I32" s="79">
        <f>H32+I30</f>
        <v>4877366</v>
      </c>
      <c r="J32" s="79">
        <f>I32+J30</f>
        <v>3332243</v>
      </c>
      <c r="K32" s="79">
        <f>J32+K30</f>
        <v>1720782</v>
      </c>
    </row>
    <row r="33" spans="1:11" s="336" customFormat="1" ht="14.4" thickTop="1">
      <c r="A33" s="1"/>
      <c r="B33" s="128"/>
      <c r="C33" s="129">
        <f t="shared" ref="C33:K33" si="3">+C32/C28</f>
        <v>0.42890083483999791</v>
      </c>
      <c r="D33" s="129">
        <f t="shared" si="3"/>
        <v>0.4268337521486652</v>
      </c>
      <c r="E33" s="129">
        <f t="shared" si="3"/>
        <v>0.33354757524428824</v>
      </c>
      <c r="F33" s="129">
        <f t="shared" si="3"/>
        <v>0.39902525043601156</v>
      </c>
      <c r="G33" s="129">
        <f t="shared" si="3"/>
        <v>0.39446706641800916</v>
      </c>
      <c r="H33" s="129">
        <f t="shared" si="3"/>
        <v>0.34213971396758275</v>
      </c>
      <c r="I33" s="129">
        <f t="shared" si="3"/>
        <v>0.27008844580553443</v>
      </c>
      <c r="J33" s="129">
        <f t="shared" si="3"/>
        <v>0.17807719617914392</v>
      </c>
      <c r="K33" s="129">
        <f t="shared" si="3"/>
        <v>9.0217344916869474E-2</v>
      </c>
    </row>
    <row r="34" spans="1:11" ht="8.1" customHeight="1">
      <c r="A34" s="1"/>
      <c r="B34" s="128"/>
      <c r="C34" s="132"/>
      <c r="D34" s="132"/>
      <c r="E34" s="132"/>
      <c r="F34" s="132"/>
      <c r="G34" s="132"/>
      <c r="H34" s="132"/>
      <c r="I34" s="132"/>
      <c r="J34" s="132"/>
      <c r="K34" s="132"/>
    </row>
    <row r="35" spans="1:11">
      <c r="A35" s="1"/>
      <c r="B35" s="1"/>
      <c r="C35" s="2"/>
      <c r="D35" s="2"/>
      <c r="E35" s="2"/>
      <c r="F35" s="2"/>
      <c r="G35" s="2"/>
      <c r="H35" s="2"/>
      <c r="I35" s="2"/>
      <c r="J35" s="2"/>
      <c r="K35" s="2"/>
    </row>
    <row r="36" spans="1:11">
      <c r="A36" s="1"/>
      <c r="B36" s="1"/>
      <c r="C36" s="2"/>
      <c r="D36" s="2"/>
      <c r="E36" s="2"/>
      <c r="F36" s="2"/>
      <c r="G36" s="2"/>
      <c r="H36" s="2"/>
      <c r="I36" s="2"/>
      <c r="J36" s="2"/>
      <c r="K36" s="2"/>
    </row>
    <row r="37" spans="1:11">
      <c r="A37" s="1"/>
      <c r="B37" s="1"/>
      <c r="C37" s="2"/>
      <c r="D37" s="2"/>
      <c r="E37" s="2"/>
      <c r="F37" s="2"/>
      <c r="G37" s="2"/>
      <c r="H37" s="2"/>
      <c r="I37" s="2"/>
      <c r="J37" s="2"/>
      <c r="K37" s="2"/>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7" spans="1:11">
      <c r="B47" s="476" t="s">
        <v>658</v>
      </c>
      <c r="C47" s="476"/>
      <c r="D47" s="476"/>
      <c r="E47" s="476"/>
      <c r="F47" s="476"/>
      <c r="G47" s="476"/>
      <c r="H47" s="476"/>
      <c r="I47" s="476"/>
      <c r="J47" s="476"/>
      <c r="K47" s="476"/>
    </row>
    <row r="48" spans="1:11">
      <c r="B48" s="63"/>
      <c r="C48" s="3"/>
      <c r="D48" s="2"/>
      <c r="E48" s="2"/>
      <c r="F48" s="2"/>
      <c r="G48" s="2"/>
      <c r="H48" s="2"/>
      <c r="I48" s="2"/>
      <c r="J48" s="2"/>
      <c r="K48" s="2"/>
    </row>
    <row r="49" spans="2:11" ht="12.75" customHeight="1">
      <c r="B49" s="467" t="s">
        <v>659</v>
      </c>
      <c r="C49" s="467"/>
      <c r="D49" s="467"/>
      <c r="E49" s="467"/>
      <c r="F49" s="467"/>
      <c r="G49" s="467"/>
      <c r="H49" s="467"/>
      <c r="I49" s="467"/>
      <c r="J49" s="467"/>
      <c r="K49" s="467"/>
    </row>
    <row r="50" spans="2:11" ht="17.25" customHeight="1">
      <c r="B50" s="467"/>
      <c r="C50" s="467"/>
      <c r="D50" s="467"/>
      <c r="E50" s="467"/>
      <c r="F50" s="467"/>
      <c r="G50" s="467"/>
      <c r="H50" s="467"/>
      <c r="I50" s="467"/>
      <c r="J50" s="467"/>
      <c r="K50" s="467"/>
    </row>
    <row r="51" spans="2:11" ht="17.25" customHeight="1">
      <c r="B51" s="332"/>
      <c r="C51" s="332"/>
      <c r="D51" s="332"/>
      <c r="E51" s="332"/>
      <c r="F51" s="332"/>
      <c r="G51" s="332"/>
      <c r="H51" s="332"/>
      <c r="I51" s="332"/>
      <c r="J51" s="332"/>
      <c r="K51" s="334"/>
    </row>
    <row r="52" spans="2:11">
      <c r="B52" s="5"/>
      <c r="C52" s="64"/>
      <c r="D52" s="1"/>
      <c r="E52" s="64" t="s">
        <v>864</v>
      </c>
      <c r="F52" s="1"/>
      <c r="G52" s="1"/>
      <c r="H52" s="1"/>
      <c r="I52" s="1"/>
      <c r="J52" s="1"/>
      <c r="K52" s="1"/>
    </row>
    <row r="53" spans="2:11">
      <c r="B53" s="64"/>
      <c r="C53" s="63" t="s">
        <v>234</v>
      </c>
      <c r="D53" s="64" t="s">
        <v>790</v>
      </c>
      <c r="E53" s="64" t="s">
        <v>637</v>
      </c>
      <c r="F53" s="64" t="s">
        <v>864</v>
      </c>
      <c r="G53" s="64" t="s">
        <v>895</v>
      </c>
      <c r="H53" s="64" t="s">
        <v>896</v>
      </c>
      <c r="I53" s="64" t="s">
        <v>897</v>
      </c>
      <c r="J53" s="64" t="s">
        <v>898</v>
      </c>
      <c r="K53" s="64" t="s">
        <v>899</v>
      </c>
    </row>
    <row r="54" spans="2:11" ht="14.4" thickBot="1">
      <c r="B54" s="130"/>
      <c r="C54" s="66" t="s">
        <v>1</v>
      </c>
      <c r="D54" s="66" t="s">
        <v>1</v>
      </c>
      <c r="E54" s="66" t="s">
        <v>605</v>
      </c>
      <c r="F54" s="66" t="s">
        <v>19</v>
      </c>
      <c r="G54" s="66" t="str">
        <f>$M$1</f>
        <v>Adopted</v>
      </c>
      <c r="H54" s="66" t="s">
        <v>19</v>
      </c>
      <c r="I54" s="66" t="s">
        <v>19</v>
      </c>
      <c r="J54" s="66" t="s">
        <v>19</v>
      </c>
      <c r="K54" s="66" t="s">
        <v>19</v>
      </c>
    </row>
    <row r="55" spans="2:11">
      <c r="B55" s="62"/>
      <c r="C55" s="131"/>
      <c r="D55" s="2"/>
      <c r="E55" s="2"/>
      <c r="F55" s="2"/>
      <c r="G55" s="2"/>
      <c r="H55" s="2"/>
      <c r="I55" s="2"/>
      <c r="J55" s="2"/>
      <c r="K55" s="2"/>
    </row>
    <row r="56" spans="2:11">
      <c r="B56" s="124" t="s">
        <v>638</v>
      </c>
      <c r="C56" s="2"/>
      <c r="D56" s="2"/>
      <c r="E56" s="2"/>
      <c r="F56" s="2"/>
      <c r="G56" s="2"/>
      <c r="H56" s="2"/>
      <c r="I56" s="2"/>
      <c r="J56" s="2"/>
      <c r="K56" s="2"/>
    </row>
    <row r="57" spans="2:11" ht="20.100000000000001" customHeight="1">
      <c r="B57" s="323" t="s">
        <v>639</v>
      </c>
      <c r="C57" s="2">
        <f>'Budget Detail FY 2017-24'!L275</f>
        <v>7263</v>
      </c>
      <c r="D57" s="2">
        <f>'Budget Detail FY 2017-24'!M275</f>
        <v>9366</v>
      </c>
      <c r="E57" s="2">
        <f>'Budget Detail FY 2017-24'!N275</f>
        <v>13381</v>
      </c>
      <c r="F57" s="2">
        <f>'Budget Detail FY 2017-24'!O275</f>
        <v>13381</v>
      </c>
      <c r="G57" s="2">
        <f>'Budget Detail FY 2017-24'!P275</f>
        <v>13381</v>
      </c>
      <c r="H57" s="2">
        <f>'Budget Detail FY 2017-24'!Q275</f>
        <v>13381</v>
      </c>
      <c r="I57" s="2">
        <f>'Budget Detail FY 2017-24'!R275</f>
        <v>13381</v>
      </c>
      <c r="J57" s="2">
        <f>'Budget Detail FY 2017-24'!S275</f>
        <v>13381</v>
      </c>
      <c r="K57" s="2">
        <f>'Budget Detail FY 2017-24'!T275</f>
        <v>13381</v>
      </c>
    </row>
    <row r="58" spans="2:11" ht="20.100000000000001" customHeight="1">
      <c r="B58" s="324" t="s">
        <v>647</v>
      </c>
      <c r="C58" s="2">
        <f>'Budget Detail FY 2017-24'!L276</f>
        <v>22000</v>
      </c>
      <c r="D58" s="2">
        <f>'Budget Detail FY 2017-24'!M276</f>
        <v>0</v>
      </c>
      <c r="E58" s="2">
        <f>'Budget Detail FY 2017-24'!N276</f>
        <v>0</v>
      </c>
      <c r="F58" s="2">
        <f>'Budget Detail FY 2017-24'!O276</f>
        <v>0</v>
      </c>
      <c r="G58" s="2">
        <f>'Budget Detail FY 2017-24'!P276</f>
        <v>0</v>
      </c>
      <c r="H58" s="2">
        <f>'Budget Detail FY 2017-24'!Q276</f>
        <v>0</v>
      </c>
      <c r="I58" s="2">
        <f>'Budget Detail FY 2017-24'!R276</f>
        <v>0</v>
      </c>
      <c r="J58" s="2">
        <f>'Budget Detail FY 2017-24'!S276</f>
        <v>0</v>
      </c>
      <c r="K58" s="2">
        <f>'Budget Detail FY 2017-24'!T276</f>
        <v>0</v>
      </c>
    </row>
    <row r="59" spans="2:11" ht="20.100000000000001" customHeight="1" thickBot="1">
      <c r="B59" s="123" t="s">
        <v>648</v>
      </c>
      <c r="C59" s="121">
        <f t="shared" ref="C59:J59" si="4">SUM(C57:C58)</f>
        <v>29263</v>
      </c>
      <c r="D59" s="121">
        <f t="shared" si="4"/>
        <v>9366</v>
      </c>
      <c r="E59" s="121">
        <f t="shared" si="4"/>
        <v>13381</v>
      </c>
      <c r="F59" s="121">
        <f t="shared" si="4"/>
        <v>13381</v>
      </c>
      <c r="G59" s="121">
        <f t="shared" si="4"/>
        <v>13381</v>
      </c>
      <c r="H59" s="121">
        <f t="shared" si="4"/>
        <v>13381</v>
      </c>
      <c r="I59" s="121">
        <f t="shared" si="4"/>
        <v>13381</v>
      </c>
      <c r="J59" s="121">
        <f t="shared" si="4"/>
        <v>13381</v>
      </c>
      <c r="K59" s="121">
        <f>SUM(K57:K58)</f>
        <v>13381</v>
      </c>
    </row>
    <row r="60" spans="2:11">
      <c r="B60" s="1"/>
      <c r="C60" s="2"/>
      <c r="D60" s="2"/>
      <c r="E60" s="2"/>
      <c r="F60" s="2"/>
      <c r="G60" s="2"/>
      <c r="H60" s="2"/>
      <c r="I60" s="2"/>
      <c r="J60" s="2"/>
      <c r="K60" s="2"/>
    </row>
    <row r="61" spans="2:11">
      <c r="B61" s="124" t="s">
        <v>457</v>
      </c>
      <c r="C61" s="2"/>
      <c r="D61" s="2"/>
      <c r="E61" s="2"/>
      <c r="F61" s="2"/>
      <c r="G61" s="2"/>
      <c r="H61" s="2"/>
      <c r="I61" s="2"/>
      <c r="J61" s="2"/>
      <c r="K61" s="2"/>
    </row>
    <row r="62" spans="2:11" ht="20.100000000000001" customHeight="1">
      <c r="B62" s="325" t="s">
        <v>651</v>
      </c>
      <c r="C62" s="2">
        <f>SUM('Budget Detail FY 2017-24'!L280:L281)</f>
        <v>10741</v>
      </c>
      <c r="D62" s="2">
        <f>SUM('Budget Detail FY 2017-24'!M280:M281)</f>
        <v>17552</v>
      </c>
      <c r="E62" s="2">
        <f>SUM('Budget Detail FY 2017-24'!N280:N281)</f>
        <v>8835</v>
      </c>
      <c r="F62" s="2">
        <f>SUM('Budget Detail FY 2017-24'!O280:O281)</f>
        <v>8835</v>
      </c>
      <c r="G62" s="2">
        <f>SUM('Budget Detail FY 2017-24'!P280:P281)</f>
        <v>30977</v>
      </c>
      <c r="H62" s="2">
        <f>SUM('Budget Detail FY 2017-24'!Q280:Q281)</f>
        <v>10326</v>
      </c>
      <c r="I62" s="2">
        <f>SUM('Budget Detail FY 2017-24'!R280:R281)</f>
        <v>10482</v>
      </c>
      <c r="J62" s="2">
        <f>SUM('Budget Detail FY 2017-24'!S280:S281)</f>
        <v>10646</v>
      </c>
      <c r="K62" s="2">
        <f>SUM('Budget Detail FY 2017-24'!T280:T281)</f>
        <v>12258</v>
      </c>
    </row>
    <row r="63" spans="2:11" ht="20.100000000000001" customHeight="1" thickBot="1">
      <c r="B63" s="123" t="s">
        <v>655</v>
      </c>
      <c r="C63" s="121">
        <f t="shared" ref="C63:J63" si="5">SUM(C62:C62)</f>
        <v>10741</v>
      </c>
      <c r="D63" s="121">
        <f t="shared" si="5"/>
        <v>17552</v>
      </c>
      <c r="E63" s="121">
        <f t="shared" si="5"/>
        <v>8835</v>
      </c>
      <c r="F63" s="121">
        <f t="shared" si="5"/>
        <v>8835</v>
      </c>
      <c r="G63" s="121">
        <f t="shared" si="5"/>
        <v>30977</v>
      </c>
      <c r="H63" s="121">
        <f t="shared" si="5"/>
        <v>10326</v>
      </c>
      <c r="I63" s="121">
        <f t="shared" si="5"/>
        <v>10482</v>
      </c>
      <c r="J63" s="121">
        <f t="shared" si="5"/>
        <v>10646</v>
      </c>
      <c r="K63" s="121">
        <f>SUM(K62:K62)</f>
        <v>12258</v>
      </c>
    </row>
    <row r="64" spans="2:11">
      <c r="B64" s="126"/>
      <c r="C64" s="3"/>
      <c r="D64" s="2"/>
      <c r="E64" s="2"/>
      <c r="F64" s="2"/>
      <c r="G64" s="2"/>
      <c r="H64" s="2"/>
      <c r="I64" s="2"/>
      <c r="J64" s="2"/>
      <c r="K64" s="2"/>
    </row>
    <row r="65" spans="2:11" ht="20.100000000000001" customHeight="1">
      <c r="B65" s="327" t="s">
        <v>656</v>
      </c>
      <c r="C65" s="3">
        <f t="shared" ref="C65:K65" si="6">+C59-C63</f>
        <v>18522</v>
      </c>
      <c r="D65" s="3">
        <f t="shared" si="6"/>
        <v>-8186</v>
      </c>
      <c r="E65" s="3">
        <f t="shared" si="6"/>
        <v>4546</v>
      </c>
      <c r="F65" s="3">
        <f t="shared" si="6"/>
        <v>4546</v>
      </c>
      <c r="G65" s="3">
        <f t="shared" si="6"/>
        <v>-17596</v>
      </c>
      <c r="H65" s="3">
        <f t="shared" si="6"/>
        <v>3055</v>
      </c>
      <c r="I65" s="3">
        <f t="shared" si="6"/>
        <v>2899</v>
      </c>
      <c r="J65" s="3">
        <f t="shared" si="6"/>
        <v>2735</v>
      </c>
      <c r="K65" s="3">
        <f t="shared" si="6"/>
        <v>1123</v>
      </c>
    </row>
    <row r="66" spans="2:11">
      <c r="B66" s="127"/>
      <c r="C66" s="3"/>
      <c r="D66" s="2"/>
      <c r="E66" s="2"/>
      <c r="F66" s="2"/>
      <c r="G66" s="2"/>
      <c r="H66" s="2"/>
      <c r="I66" s="2"/>
      <c r="J66" s="2"/>
      <c r="K66" s="2"/>
    </row>
    <row r="67" spans="2:11" ht="20.100000000000001" customHeight="1" thickBot="1">
      <c r="B67" s="122" t="s">
        <v>657</v>
      </c>
      <c r="C67" s="79">
        <v>14742</v>
      </c>
      <c r="D67" s="79">
        <v>6556</v>
      </c>
      <c r="E67" s="79">
        <v>9954</v>
      </c>
      <c r="F67" s="79">
        <f>D67+F65</f>
        <v>11102</v>
      </c>
      <c r="G67" s="79">
        <f>F67+G65</f>
        <v>-6494</v>
      </c>
      <c r="H67" s="79">
        <f>G67+H65</f>
        <v>-3439</v>
      </c>
      <c r="I67" s="79">
        <f>H67+I65</f>
        <v>-540</v>
      </c>
      <c r="J67" s="79">
        <f>I67+J65</f>
        <v>2195</v>
      </c>
      <c r="K67" s="79">
        <f>J67+K65</f>
        <v>3318</v>
      </c>
    </row>
    <row r="68" spans="2:11" ht="14.4" thickTop="1">
      <c r="B68" s="128"/>
      <c r="C68" s="129">
        <f t="shared" ref="C68:K68" si="7">C67/C63</f>
        <v>1.3724979052229773</v>
      </c>
      <c r="D68" s="129">
        <f t="shared" si="7"/>
        <v>0.37351868732907928</v>
      </c>
      <c r="E68" s="129">
        <f t="shared" si="7"/>
        <v>1.1266553480475383</v>
      </c>
      <c r="F68" s="129">
        <f t="shared" si="7"/>
        <v>1.2565930956423317</v>
      </c>
      <c r="G68" s="129">
        <f t="shared" si="7"/>
        <v>-0.20963940988475321</v>
      </c>
      <c r="H68" s="129">
        <f t="shared" si="7"/>
        <v>-0.33304280457098584</v>
      </c>
      <c r="I68" s="129">
        <f t="shared" si="7"/>
        <v>-5.1516886090440757E-2</v>
      </c>
      <c r="J68" s="129">
        <f t="shared" si="7"/>
        <v>0.20618072515498778</v>
      </c>
      <c r="K68" s="129">
        <f t="shared" si="7"/>
        <v>0.27068037200195788</v>
      </c>
    </row>
    <row r="69" spans="2:11">
      <c r="B69" s="128"/>
      <c r="C69" s="3"/>
      <c r="D69" s="3"/>
      <c r="E69" s="3"/>
      <c r="F69" s="2"/>
      <c r="G69" s="2"/>
      <c r="H69" s="2"/>
      <c r="I69" s="2"/>
      <c r="J69" s="2"/>
      <c r="K69" s="2"/>
    </row>
    <row r="70" spans="2:11">
      <c r="B70" s="1"/>
      <c r="C70" s="2"/>
      <c r="D70" s="2"/>
      <c r="E70" s="2"/>
      <c r="F70" s="2"/>
      <c r="G70" s="2"/>
      <c r="H70" s="2"/>
      <c r="I70" s="2"/>
      <c r="J70" s="2"/>
      <c r="K70" s="2"/>
    </row>
    <row r="71" spans="2:11">
      <c r="B71" s="1"/>
      <c r="C71" s="2"/>
      <c r="D71" s="2"/>
      <c r="E71" s="2"/>
      <c r="F71" s="2"/>
      <c r="G71" s="2"/>
      <c r="H71" s="2"/>
      <c r="I71" s="2"/>
      <c r="J71" s="2"/>
      <c r="K71" s="2"/>
    </row>
    <row r="72" spans="2:11">
      <c r="B72" s="1"/>
      <c r="C72" s="2"/>
      <c r="D72" s="2"/>
      <c r="E72" s="2"/>
      <c r="F72" s="2"/>
      <c r="G72" s="2"/>
      <c r="H72" s="2"/>
      <c r="I72" s="2"/>
      <c r="J72" s="2"/>
      <c r="K72" s="2"/>
    </row>
    <row r="73" spans="2:11">
      <c r="B73" s="1"/>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3" spans="2:11">
      <c r="B83" s="476" t="s">
        <v>660</v>
      </c>
      <c r="C83" s="476"/>
      <c r="D83" s="476"/>
      <c r="E83" s="476"/>
      <c r="F83" s="476"/>
      <c r="G83" s="476"/>
      <c r="H83" s="476"/>
      <c r="I83" s="476"/>
      <c r="J83" s="476"/>
      <c r="K83" s="476"/>
    </row>
    <row r="84" spans="2:11">
      <c r="B84" s="63"/>
      <c r="C84" s="3"/>
      <c r="D84" s="2"/>
      <c r="E84" s="2"/>
      <c r="F84" s="2"/>
      <c r="G84" s="2"/>
      <c r="H84" s="2"/>
      <c r="I84" s="2"/>
      <c r="J84" s="2"/>
      <c r="K84" s="2"/>
    </row>
    <row r="85" spans="2:11" ht="12.75" customHeight="1">
      <c r="B85" s="467" t="s">
        <v>661</v>
      </c>
      <c r="C85" s="467"/>
      <c r="D85" s="467"/>
      <c r="E85" s="467"/>
      <c r="F85" s="467"/>
      <c r="G85" s="467"/>
      <c r="H85" s="467"/>
      <c r="I85" s="467"/>
      <c r="J85" s="467"/>
      <c r="K85" s="467"/>
    </row>
    <row r="86" spans="2:11" ht="18" customHeight="1">
      <c r="B86" s="467"/>
      <c r="C86" s="467"/>
      <c r="D86" s="467"/>
      <c r="E86" s="467"/>
      <c r="F86" s="467"/>
      <c r="G86" s="467"/>
      <c r="H86" s="467"/>
      <c r="I86" s="467"/>
      <c r="J86" s="467"/>
      <c r="K86" s="467"/>
    </row>
    <row r="87" spans="2:11">
      <c r="B87" s="332"/>
      <c r="C87" s="21"/>
      <c r="D87" s="21"/>
      <c r="E87" s="21"/>
      <c r="F87" s="2"/>
      <c r="G87" s="2"/>
      <c r="H87" s="2"/>
      <c r="I87" s="2"/>
      <c r="J87" s="2"/>
      <c r="K87" s="2"/>
    </row>
    <row r="88" spans="2:11">
      <c r="B88" s="5"/>
      <c r="C88" s="64"/>
      <c r="D88" s="1"/>
      <c r="E88" s="64" t="s">
        <v>864</v>
      </c>
      <c r="F88" s="1"/>
      <c r="G88" s="1"/>
      <c r="H88" s="1"/>
      <c r="I88" s="1"/>
      <c r="J88" s="1"/>
      <c r="K88" s="1"/>
    </row>
    <row r="89" spans="2:11">
      <c r="B89" s="64"/>
      <c r="C89" s="63" t="s">
        <v>234</v>
      </c>
      <c r="D89" s="64" t="s">
        <v>790</v>
      </c>
      <c r="E89" s="64" t="s">
        <v>637</v>
      </c>
      <c r="F89" s="64" t="s">
        <v>864</v>
      </c>
      <c r="G89" s="64" t="s">
        <v>895</v>
      </c>
      <c r="H89" s="64" t="s">
        <v>896</v>
      </c>
      <c r="I89" s="64" t="s">
        <v>897</v>
      </c>
      <c r="J89" s="64" t="s">
        <v>898</v>
      </c>
      <c r="K89" s="64" t="s">
        <v>899</v>
      </c>
    </row>
    <row r="90" spans="2:11" ht="14.4" thickBot="1">
      <c r="B90" s="130"/>
      <c r="C90" s="66" t="s">
        <v>1</v>
      </c>
      <c r="D90" s="66" t="s">
        <v>1</v>
      </c>
      <c r="E90" s="66" t="s">
        <v>605</v>
      </c>
      <c r="F90" s="66" t="s">
        <v>19</v>
      </c>
      <c r="G90" s="66" t="str">
        <f>$M$1</f>
        <v>Adopted</v>
      </c>
      <c r="H90" s="66" t="s">
        <v>19</v>
      </c>
      <c r="I90" s="66" t="s">
        <v>19</v>
      </c>
      <c r="J90" s="66" t="s">
        <v>19</v>
      </c>
      <c r="K90" s="66" t="s">
        <v>19</v>
      </c>
    </row>
    <row r="91" spans="2:11">
      <c r="B91" s="62"/>
      <c r="C91" s="131"/>
      <c r="D91" s="2"/>
      <c r="E91" s="2"/>
      <c r="F91" s="2"/>
      <c r="G91" s="2"/>
      <c r="H91" s="2"/>
      <c r="I91" s="2"/>
      <c r="J91" s="2"/>
      <c r="K91" s="2"/>
    </row>
    <row r="92" spans="2:11">
      <c r="B92" s="124" t="s">
        <v>638</v>
      </c>
      <c r="C92" s="2"/>
      <c r="D92" s="2"/>
      <c r="E92" s="2"/>
      <c r="F92" s="2"/>
      <c r="G92" s="2"/>
      <c r="H92" s="2"/>
      <c r="I92" s="2"/>
      <c r="J92" s="2"/>
      <c r="K92" s="2"/>
    </row>
    <row r="93" spans="2:11" ht="20.100000000000001" customHeight="1">
      <c r="B93" s="323" t="s">
        <v>639</v>
      </c>
      <c r="C93" s="2">
        <f>'Budget Detail FY 2017-24'!L293</f>
        <v>20456</v>
      </c>
      <c r="D93" s="2">
        <f>'Budget Detail FY 2017-24'!M293</f>
        <v>13480</v>
      </c>
      <c r="E93" s="2">
        <f>'Budget Detail FY 2017-24'!N293</f>
        <v>15637</v>
      </c>
      <c r="F93" s="2">
        <f>'Budget Detail FY 2017-24'!O293</f>
        <v>15639</v>
      </c>
      <c r="G93" s="2">
        <f>'Budget Detail FY 2017-24'!P293</f>
        <v>18140</v>
      </c>
      <c r="H93" s="2">
        <f>'Budget Detail FY 2017-24'!Q293</f>
        <v>21304</v>
      </c>
      <c r="I93" s="2">
        <f>'Budget Detail FY 2017-24'!R293</f>
        <v>21304</v>
      </c>
      <c r="J93" s="2">
        <f>'Budget Detail FY 2017-24'!S293</f>
        <v>21304</v>
      </c>
      <c r="K93" s="2">
        <f>'Budget Detail FY 2017-24'!T293</f>
        <v>21304</v>
      </c>
    </row>
    <row r="94" spans="2:11" ht="20.100000000000001" customHeight="1" thickBot="1">
      <c r="B94" s="123" t="s">
        <v>648</v>
      </c>
      <c r="C94" s="121">
        <f t="shared" ref="C94:K94" si="8">SUM(C93:C93)</f>
        <v>20456</v>
      </c>
      <c r="D94" s="121">
        <f t="shared" si="8"/>
        <v>13480</v>
      </c>
      <c r="E94" s="121">
        <f t="shared" si="8"/>
        <v>15637</v>
      </c>
      <c r="F94" s="121">
        <f t="shared" si="8"/>
        <v>15639</v>
      </c>
      <c r="G94" s="121">
        <f t="shared" si="8"/>
        <v>18140</v>
      </c>
      <c r="H94" s="121">
        <f t="shared" si="8"/>
        <v>21304</v>
      </c>
      <c r="I94" s="121">
        <f t="shared" si="8"/>
        <v>21304</v>
      </c>
      <c r="J94" s="121">
        <f t="shared" si="8"/>
        <v>21304</v>
      </c>
      <c r="K94" s="121">
        <f t="shared" si="8"/>
        <v>21304</v>
      </c>
    </row>
    <row r="95" spans="2:11">
      <c r="B95" s="1"/>
      <c r="C95" s="2"/>
      <c r="D95" s="2"/>
      <c r="E95" s="2"/>
      <c r="F95" s="2"/>
      <c r="G95" s="2"/>
      <c r="H95" s="2"/>
      <c r="I95" s="2"/>
      <c r="J95" s="2"/>
      <c r="K95" s="2"/>
    </row>
    <row r="96" spans="2:11">
      <c r="B96" s="124" t="s">
        <v>457</v>
      </c>
      <c r="C96" s="2"/>
      <c r="D96" s="2"/>
      <c r="E96" s="2"/>
      <c r="F96" s="2"/>
      <c r="G96" s="2"/>
      <c r="H96" s="2"/>
      <c r="I96" s="2"/>
      <c r="J96" s="2"/>
      <c r="K96" s="2"/>
    </row>
    <row r="97" spans="2:11" ht="20.100000000000001" customHeight="1">
      <c r="B97" s="325" t="s">
        <v>651</v>
      </c>
      <c r="C97" s="2">
        <f>SUM('Budget Detail FY 2017-24'!L297:L299)</f>
        <v>5057</v>
      </c>
      <c r="D97" s="2">
        <f>SUM('Budget Detail FY 2017-24'!M297:M299)</f>
        <v>18957</v>
      </c>
      <c r="E97" s="2">
        <f>SUM('Budget Detail FY 2017-24'!N297:N299)</f>
        <v>18835</v>
      </c>
      <c r="F97" s="2">
        <f>SUM('Budget Detail FY 2017-24'!O297:O299)</f>
        <v>18835</v>
      </c>
      <c r="G97" s="2">
        <f>SUM('Budget Detail FY 2017-24'!P297:P299)</f>
        <v>13977</v>
      </c>
      <c r="H97" s="2">
        <f>SUM('Budget Detail FY 2017-24'!Q297:Q299)</f>
        <v>15326</v>
      </c>
      <c r="I97" s="2">
        <f>SUM('Budget Detail FY 2017-24'!R297:R299)</f>
        <v>15482</v>
      </c>
      <c r="J97" s="2">
        <f>SUM('Budget Detail FY 2017-24'!S297:S299)</f>
        <v>15646</v>
      </c>
      <c r="K97" s="2">
        <f>SUM('Budget Detail FY 2017-24'!T297:T299)</f>
        <v>17258</v>
      </c>
    </row>
    <row r="98" spans="2:11" ht="20.100000000000001" customHeight="1" thickBot="1">
      <c r="B98" s="123" t="s">
        <v>655</v>
      </c>
      <c r="C98" s="121">
        <f t="shared" ref="C98:J98" si="9">SUM(C97:C97)</f>
        <v>5057</v>
      </c>
      <c r="D98" s="121">
        <f t="shared" si="9"/>
        <v>18957</v>
      </c>
      <c r="E98" s="121">
        <f t="shared" si="9"/>
        <v>18835</v>
      </c>
      <c r="F98" s="121">
        <f t="shared" si="9"/>
        <v>18835</v>
      </c>
      <c r="G98" s="121">
        <f t="shared" si="9"/>
        <v>13977</v>
      </c>
      <c r="H98" s="121">
        <f t="shared" si="9"/>
        <v>15326</v>
      </c>
      <c r="I98" s="121">
        <f t="shared" si="9"/>
        <v>15482</v>
      </c>
      <c r="J98" s="121">
        <f t="shared" si="9"/>
        <v>15646</v>
      </c>
      <c r="K98" s="121">
        <f>SUM(K97:K97)</f>
        <v>17258</v>
      </c>
    </row>
    <row r="99" spans="2:11">
      <c r="B99" s="126"/>
      <c r="C99" s="3"/>
      <c r="D99" s="2"/>
      <c r="E99" s="2"/>
      <c r="F99" s="2"/>
      <c r="G99" s="2"/>
      <c r="H99" s="2"/>
      <c r="I99" s="2"/>
      <c r="J99" s="2"/>
      <c r="K99" s="2"/>
    </row>
    <row r="100" spans="2:11" ht="20.100000000000001" customHeight="1">
      <c r="B100" s="327" t="s">
        <v>656</v>
      </c>
      <c r="C100" s="3">
        <f t="shared" ref="C100:K100" si="10">+C94-C98</f>
        <v>15399</v>
      </c>
      <c r="D100" s="3">
        <f t="shared" si="10"/>
        <v>-5477</v>
      </c>
      <c r="E100" s="3">
        <f t="shared" si="10"/>
        <v>-3198</v>
      </c>
      <c r="F100" s="3">
        <f t="shared" si="10"/>
        <v>-3196</v>
      </c>
      <c r="G100" s="3">
        <f t="shared" si="10"/>
        <v>4163</v>
      </c>
      <c r="H100" s="3">
        <f t="shared" si="10"/>
        <v>5978</v>
      </c>
      <c r="I100" s="3">
        <f t="shared" si="10"/>
        <v>5822</v>
      </c>
      <c r="J100" s="3">
        <f t="shared" si="10"/>
        <v>5658</v>
      </c>
      <c r="K100" s="3">
        <f t="shared" si="10"/>
        <v>4046</v>
      </c>
    </row>
    <row r="101" spans="2:11">
      <c r="B101" s="127"/>
      <c r="C101" s="3"/>
      <c r="D101" s="2"/>
      <c r="E101" s="2"/>
      <c r="F101" s="2"/>
      <c r="G101" s="2"/>
      <c r="H101" s="2"/>
      <c r="I101" s="2"/>
      <c r="J101" s="2"/>
      <c r="K101" s="2"/>
    </row>
    <row r="102" spans="2:11" ht="20.100000000000001" customHeight="1" thickBot="1">
      <c r="B102" s="122" t="s">
        <v>657</v>
      </c>
      <c r="C102" s="79">
        <v>-15774</v>
      </c>
      <c r="D102" s="79">
        <v>-21251</v>
      </c>
      <c r="E102" s="79">
        <v>-28236</v>
      </c>
      <c r="F102" s="79">
        <f>D102+F100</f>
        <v>-24447</v>
      </c>
      <c r="G102" s="79">
        <f>F102+G100</f>
        <v>-20284</v>
      </c>
      <c r="H102" s="79">
        <f>G102+H100</f>
        <v>-14306</v>
      </c>
      <c r="I102" s="79">
        <f>H102+I100</f>
        <v>-8484</v>
      </c>
      <c r="J102" s="79">
        <f>I102+J100</f>
        <v>-2826</v>
      </c>
      <c r="K102" s="79">
        <f>J102+K100</f>
        <v>1220</v>
      </c>
    </row>
    <row r="103" spans="2:11" s="336" customFormat="1" ht="14.4" thickTop="1">
      <c r="B103" s="126"/>
      <c r="C103" s="129">
        <f t="shared" ref="C103:K103" si="11">C102/C98</f>
        <v>-3.1192406565157209</v>
      </c>
      <c r="D103" s="129">
        <f t="shared" si="11"/>
        <v>-1.121010708445429</v>
      </c>
      <c r="E103" s="129">
        <f t="shared" si="11"/>
        <v>-1.4991239713299709</v>
      </c>
      <c r="F103" s="129">
        <f t="shared" si="11"/>
        <v>-1.2979559331032653</v>
      </c>
      <c r="G103" s="129">
        <f t="shared" si="11"/>
        <v>-1.4512413250339844</v>
      </c>
      <c r="H103" s="129">
        <f t="shared" si="11"/>
        <v>-0.93344643090173562</v>
      </c>
      <c r="I103" s="129">
        <f t="shared" si="11"/>
        <v>-0.54799121560521902</v>
      </c>
      <c r="J103" s="129">
        <f t="shared" si="11"/>
        <v>-0.1806212450466573</v>
      </c>
      <c r="K103" s="129">
        <f t="shared" si="11"/>
        <v>7.0691853053656273E-2</v>
      </c>
    </row>
    <row r="104" spans="2:11">
      <c r="B104" s="128"/>
      <c r="C104" s="132"/>
      <c r="D104" s="132"/>
      <c r="E104" s="132"/>
      <c r="F104" s="132"/>
      <c r="G104" s="132"/>
      <c r="H104" s="132"/>
      <c r="I104" s="132"/>
      <c r="J104" s="132"/>
      <c r="K104" s="132"/>
    </row>
    <row r="105" spans="2:11">
      <c r="B105" s="1"/>
      <c r="C105" s="2"/>
      <c r="D105" s="2"/>
      <c r="E105" s="2"/>
      <c r="F105" s="2"/>
      <c r="G105" s="2"/>
      <c r="H105" s="2"/>
      <c r="I105" s="2"/>
      <c r="J105" s="2"/>
      <c r="K105" s="2"/>
    </row>
    <row r="106" spans="2:11">
      <c r="B106" s="1"/>
      <c r="C106" s="2"/>
      <c r="D106" s="2"/>
      <c r="E106" s="2"/>
      <c r="F106" s="2"/>
      <c r="G106" s="2"/>
      <c r="H106" s="2"/>
      <c r="I106" s="2"/>
      <c r="J106" s="2"/>
      <c r="K106" s="2"/>
    </row>
    <row r="107" spans="2:11">
      <c r="B107" s="1"/>
      <c r="C107" s="2"/>
      <c r="D107" s="2"/>
      <c r="E107" s="2"/>
      <c r="F107" s="2"/>
      <c r="G107" s="2"/>
      <c r="H107" s="2"/>
      <c r="I107" s="2"/>
      <c r="J107" s="2"/>
      <c r="K107" s="2"/>
    </row>
    <row r="108" spans="2:11">
      <c r="B108" s="1"/>
      <c r="C108" s="2"/>
      <c r="D108" s="2"/>
      <c r="E108" s="2"/>
      <c r="F108" s="2"/>
      <c r="G108" s="2"/>
      <c r="H108" s="2"/>
      <c r="I108" s="2"/>
      <c r="J108" s="2"/>
      <c r="K108" s="2"/>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ht="21" customHeight="1">
      <c r="B115" s="1"/>
      <c r="C115" s="2"/>
      <c r="D115" s="2"/>
      <c r="E115" s="2"/>
      <c r="F115" s="2"/>
      <c r="G115" s="2"/>
      <c r="H115" s="2"/>
      <c r="I115" s="2"/>
      <c r="J115" s="2"/>
      <c r="K115" s="2"/>
    </row>
    <row r="117" spans="2:11">
      <c r="B117" s="476" t="s">
        <v>662</v>
      </c>
      <c r="C117" s="476"/>
      <c r="D117" s="476"/>
      <c r="E117" s="476"/>
      <c r="F117" s="476"/>
      <c r="G117" s="476"/>
      <c r="H117" s="476"/>
      <c r="I117" s="476"/>
      <c r="J117" s="476"/>
      <c r="K117" s="476"/>
    </row>
    <row r="118" spans="2:11">
      <c r="B118" s="63"/>
      <c r="C118" s="3"/>
      <c r="D118" s="2"/>
      <c r="E118" s="2"/>
      <c r="F118" s="2"/>
      <c r="G118" s="2"/>
      <c r="H118" s="2"/>
      <c r="I118" s="2"/>
      <c r="J118" s="2"/>
      <c r="K118" s="2"/>
    </row>
    <row r="119" spans="2:11" ht="12.75" customHeight="1">
      <c r="B119" s="467" t="s">
        <v>986</v>
      </c>
      <c r="C119" s="467"/>
      <c r="D119" s="467"/>
      <c r="E119" s="467"/>
      <c r="F119" s="467"/>
      <c r="G119" s="467"/>
      <c r="H119" s="467"/>
      <c r="I119" s="467"/>
      <c r="J119" s="467"/>
      <c r="K119" s="467"/>
    </row>
    <row r="120" spans="2:11" ht="18.75" customHeight="1">
      <c r="B120" s="467"/>
      <c r="C120" s="467"/>
      <c r="D120" s="467"/>
      <c r="E120" s="467"/>
      <c r="F120" s="467"/>
      <c r="G120" s="467"/>
      <c r="H120" s="467"/>
      <c r="I120" s="467"/>
      <c r="J120" s="467"/>
      <c r="K120" s="467"/>
    </row>
    <row r="121" spans="2:11" ht="7.5" customHeight="1">
      <c r="B121" s="333"/>
      <c r="C121" s="337"/>
      <c r="D121" s="337"/>
      <c r="E121" s="338"/>
      <c r="F121" s="2"/>
      <c r="G121" s="2"/>
      <c r="H121" s="2"/>
      <c r="I121" s="2"/>
      <c r="J121" s="2"/>
      <c r="K121" s="2"/>
    </row>
    <row r="122" spans="2:11">
      <c r="B122" s="339"/>
      <c r="C122" s="64"/>
      <c r="D122" s="1"/>
      <c r="E122" s="64" t="s">
        <v>864</v>
      </c>
      <c r="F122" s="1"/>
      <c r="G122" s="1"/>
      <c r="H122" s="1"/>
      <c r="I122" s="1"/>
      <c r="J122" s="1"/>
      <c r="K122" s="1"/>
    </row>
    <row r="123" spans="2:11">
      <c r="B123" s="64"/>
      <c r="C123" s="63" t="s">
        <v>234</v>
      </c>
      <c r="D123" s="64" t="s">
        <v>790</v>
      </c>
      <c r="E123" s="64" t="s">
        <v>637</v>
      </c>
      <c r="F123" s="64" t="s">
        <v>864</v>
      </c>
      <c r="G123" s="64" t="s">
        <v>895</v>
      </c>
      <c r="H123" s="64" t="s">
        <v>896</v>
      </c>
      <c r="I123" s="64" t="s">
        <v>897</v>
      </c>
      <c r="J123" s="64" t="s">
        <v>898</v>
      </c>
      <c r="K123" s="64" t="s">
        <v>899</v>
      </c>
    </row>
    <row r="124" spans="2:11" ht="14.4" thickBot="1">
      <c r="B124" s="130"/>
      <c r="C124" s="66" t="s">
        <v>1</v>
      </c>
      <c r="D124" s="66" t="s">
        <v>1</v>
      </c>
      <c r="E124" s="66" t="s">
        <v>605</v>
      </c>
      <c r="F124" s="66" t="s">
        <v>19</v>
      </c>
      <c r="G124" s="66" t="str">
        <f>$M$1</f>
        <v>Adopted</v>
      </c>
      <c r="H124" s="66" t="s">
        <v>19</v>
      </c>
      <c r="I124" s="66" t="s">
        <v>19</v>
      </c>
      <c r="J124" s="66" t="s">
        <v>19</v>
      </c>
      <c r="K124" s="66" t="s">
        <v>19</v>
      </c>
    </row>
    <row r="125" spans="2:11">
      <c r="B125" s="62"/>
      <c r="C125" s="131"/>
      <c r="D125" s="2"/>
      <c r="E125" s="2"/>
      <c r="F125" s="2"/>
      <c r="G125" s="2"/>
      <c r="H125" s="2"/>
      <c r="I125" s="2"/>
      <c r="J125" s="2"/>
      <c r="K125" s="2"/>
    </row>
    <row r="126" spans="2:11">
      <c r="B126" s="124" t="s">
        <v>638</v>
      </c>
      <c r="C126" s="2"/>
      <c r="D126" s="2"/>
      <c r="E126" s="2"/>
      <c r="F126" s="2"/>
      <c r="G126" s="2"/>
      <c r="H126" s="2"/>
      <c r="I126" s="2"/>
      <c r="J126" s="2"/>
      <c r="K126" s="2"/>
    </row>
    <row r="127" spans="2:11" ht="20.100000000000001" customHeight="1">
      <c r="B127" s="323" t="s">
        <v>640</v>
      </c>
      <c r="C127" s="2">
        <f>SUM('Budget Detail FY 2017-24'!L310:L311)</f>
        <v>470816</v>
      </c>
      <c r="D127" s="2">
        <f>SUM('Budget Detail FY 2017-24'!M310:M311)</f>
        <v>495510</v>
      </c>
      <c r="E127" s="2">
        <f>SUM('Budget Detail FY 2017-24'!N310:N311)</f>
        <v>530817</v>
      </c>
      <c r="F127" s="2">
        <f>SUM('Budget Detail FY 2017-24'!O310:O311)</f>
        <v>537422</v>
      </c>
      <c r="G127" s="2">
        <f>SUM('Budget Detail FY 2017-24'!P310:P311)</f>
        <v>525084</v>
      </c>
      <c r="H127" s="2">
        <f>SUM('Budget Detail FY 2017-24'!Q310:Q311)</f>
        <v>534766</v>
      </c>
      <c r="I127" s="2">
        <f>SUM('Budget Detail FY 2017-24'!R310:R311)</f>
        <v>544641</v>
      </c>
      <c r="J127" s="2">
        <f>SUM('Budget Detail FY 2017-24'!S310:S311)</f>
        <v>554714</v>
      </c>
      <c r="K127" s="2">
        <f>SUM('Budget Detail FY 2017-24'!T310:T311)</f>
        <v>564988</v>
      </c>
    </row>
    <row r="128" spans="2:11" ht="20.100000000000001" customHeight="1">
      <c r="B128" s="324" t="s">
        <v>644</v>
      </c>
      <c r="C128" s="2">
        <f>'Budget Detail FY 2017-24'!L312</f>
        <v>3556</v>
      </c>
      <c r="D128" s="2">
        <f>'Budget Detail FY 2017-24'!M312</f>
        <v>8475</v>
      </c>
      <c r="E128" s="2">
        <f>'Budget Detail FY 2017-24'!N312</f>
        <v>5000</v>
      </c>
      <c r="F128" s="2">
        <f>'Budget Detail FY 2017-24'!O312</f>
        <v>15000</v>
      </c>
      <c r="G128" s="2">
        <f>'Budget Detail FY 2017-24'!P312</f>
        <v>9820</v>
      </c>
      <c r="H128" s="2">
        <f>'Budget Detail FY 2017-24'!Q312</f>
        <v>5900</v>
      </c>
      <c r="I128" s="2">
        <f>'Budget Detail FY 2017-24'!R312</f>
        <v>2677</v>
      </c>
      <c r="J128" s="2">
        <f>'Budget Detail FY 2017-24'!S312</f>
        <v>576</v>
      </c>
      <c r="K128" s="2">
        <f>'Budget Detail FY 2017-24'!T312</f>
        <v>0</v>
      </c>
    </row>
    <row r="129" spans="2:11" ht="20.100000000000001" customHeight="1">
      <c r="B129" s="324" t="s">
        <v>647</v>
      </c>
      <c r="C129" s="2">
        <f>'Budget Detail FY 2017-24'!L313</f>
        <v>33750</v>
      </c>
      <c r="D129" s="2">
        <f>'Budget Detail FY 2017-24'!M313</f>
        <v>268</v>
      </c>
      <c r="E129" s="2">
        <f>'Budget Detail FY 2017-24'!N313</f>
        <v>0</v>
      </c>
      <c r="F129" s="2">
        <f>'Budget Detail FY 2017-24'!O313</f>
        <v>0</v>
      </c>
      <c r="G129" s="2">
        <f>'Budget Detail FY 2017-24'!P313</f>
        <v>0</v>
      </c>
      <c r="H129" s="2">
        <f>'Budget Detail FY 2017-24'!Q313</f>
        <v>0</v>
      </c>
      <c r="I129" s="2">
        <f>'Budget Detail FY 2017-24'!R313</f>
        <v>0</v>
      </c>
      <c r="J129" s="2">
        <f>'Budget Detail FY 2017-24'!S313</f>
        <v>0</v>
      </c>
      <c r="K129" s="2">
        <f>'Budget Detail FY 2017-24'!T313</f>
        <v>0</v>
      </c>
    </row>
    <row r="130" spans="2:11" ht="20.100000000000001" customHeight="1" thickBot="1">
      <c r="B130" s="123" t="s">
        <v>648</v>
      </c>
      <c r="C130" s="121">
        <f t="shared" ref="C130:K130" si="12">SUM(C127:C129)</f>
        <v>508122</v>
      </c>
      <c r="D130" s="121">
        <f t="shared" si="12"/>
        <v>504253</v>
      </c>
      <c r="E130" s="121">
        <f t="shared" si="12"/>
        <v>535817</v>
      </c>
      <c r="F130" s="121">
        <f t="shared" si="12"/>
        <v>552422</v>
      </c>
      <c r="G130" s="121">
        <f t="shared" si="12"/>
        <v>534904</v>
      </c>
      <c r="H130" s="121">
        <f t="shared" si="12"/>
        <v>540666</v>
      </c>
      <c r="I130" s="121">
        <f t="shared" si="12"/>
        <v>547318</v>
      </c>
      <c r="J130" s="121">
        <f t="shared" si="12"/>
        <v>555290</v>
      </c>
      <c r="K130" s="121">
        <f t="shared" si="12"/>
        <v>564988</v>
      </c>
    </row>
    <row r="131" spans="2:11" ht="7.5" customHeight="1">
      <c r="B131" s="1"/>
      <c r="C131" s="2"/>
      <c r="D131" s="2"/>
      <c r="E131" s="2"/>
      <c r="F131" s="2"/>
      <c r="G131" s="2"/>
      <c r="H131" s="2"/>
      <c r="I131" s="2"/>
      <c r="J131" s="2"/>
      <c r="K131" s="2"/>
    </row>
    <row r="132" spans="2:11">
      <c r="B132" s="124" t="s">
        <v>457</v>
      </c>
      <c r="C132" s="2"/>
      <c r="D132" s="2"/>
      <c r="E132" s="2"/>
      <c r="F132" s="2"/>
      <c r="G132" s="2"/>
      <c r="H132" s="2"/>
      <c r="I132" s="2"/>
      <c r="J132" s="2"/>
      <c r="K132" s="2"/>
    </row>
    <row r="133" spans="2:11" ht="20.100000000000001" customHeight="1">
      <c r="B133" s="325" t="s">
        <v>651</v>
      </c>
      <c r="C133" s="2">
        <f>SUM('Budget Detail FY 2017-24'!L317:L318)</f>
        <v>105673</v>
      </c>
      <c r="D133" s="2">
        <f>SUM('Budget Detail FY 2017-24'!M317:M318)</f>
        <v>98120</v>
      </c>
      <c r="E133" s="2">
        <f>SUM('Budget Detail FY 2017-24'!N317:N318)</f>
        <v>97000</v>
      </c>
      <c r="F133" s="2">
        <f>SUM('Budget Detail FY 2017-24'!O317:O318)</f>
        <v>97000</v>
      </c>
      <c r="G133" s="2">
        <f>SUM('Budget Detail FY 2017-24'!P317:P318)</f>
        <v>0</v>
      </c>
      <c r="H133" s="2">
        <f>SUM('Budget Detail FY 2017-24'!Q317:Q318)</f>
        <v>0</v>
      </c>
      <c r="I133" s="2">
        <f>SUM('Budget Detail FY 2017-24'!R317:R318)</f>
        <v>0</v>
      </c>
      <c r="J133" s="2">
        <f>SUM('Budget Detail FY 2017-24'!S317:S318)</f>
        <v>0</v>
      </c>
      <c r="K133" s="2">
        <f>SUM('Budget Detail FY 2017-24'!T317:T318)</f>
        <v>0</v>
      </c>
    </row>
    <row r="134" spans="2:11" ht="20.100000000000001" customHeight="1">
      <c r="B134" s="325" t="s">
        <v>652</v>
      </c>
      <c r="C134" s="2">
        <f>SUM('Budget Detail FY 2017-24'!L319:L322)</f>
        <v>119661</v>
      </c>
      <c r="D134" s="2">
        <f>SUM('Budget Detail FY 2017-24'!M319:M322)</f>
        <v>126075</v>
      </c>
      <c r="E134" s="2">
        <f>SUM('Budget Detail FY 2017-24'!N319:N322)</f>
        <v>90000</v>
      </c>
      <c r="F134" s="2">
        <f>SUM('Budget Detail FY 2017-24'!O319:O322)</f>
        <v>90000</v>
      </c>
      <c r="G134" s="2">
        <f>SUM('Budget Detail FY 2017-24'!P319:P322)</f>
        <v>0</v>
      </c>
      <c r="H134" s="2">
        <f>SUM('Budget Detail FY 2017-24'!Q319:Q322)</f>
        <v>0</v>
      </c>
      <c r="I134" s="2">
        <f>SUM('Budget Detail FY 2017-24'!R319:R322)</f>
        <v>0</v>
      </c>
      <c r="J134" s="2">
        <f>SUM('Budget Detail FY 2017-24'!S319:S322)</f>
        <v>0</v>
      </c>
      <c r="K134" s="2">
        <f>SUM('Budget Detail FY 2017-24'!T319:T322)</f>
        <v>0</v>
      </c>
    </row>
    <row r="135" spans="2:11" ht="20.100000000000001" customHeight="1">
      <c r="B135" s="325" t="s">
        <v>653</v>
      </c>
      <c r="C135" s="2">
        <f>SUM('Budget Detail FY 2017-24'!L323:L325)</f>
        <v>373787</v>
      </c>
      <c r="D135" s="2">
        <f>SUM('Budget Detail FY 2017-24'!M323:M325)</f>
        <v>373787</v>
      </c>
      <c r="E135" s="2">
        <f>SUM('Budget Detail FY 2017-24'!N323:N325)</f>
        <v>504787</v>
      </c>
      <c r="F135" s="2">
        <f>SUM('Budget Detail FY 2017-24'!O323:O325)</f>
        <v>433788</v>
      </c>
      <c r="G135" s="2">
        <f>SUM('Budget Detail FY 2017-24'!P323:P325)</f>
        <v>718788</v>
      </c>
      <c r="H135" s="2">
        <f>SUM('Budget Detail FY 2017-24'!Q323:Q325)</f>
        <v>718788</v>
      </c>
      <c r="I135" s="2">
        <f>SUM('Budget Detail FY 2017-24'!R323:R325)</f>
        <v>693788</v>
      </c>
      <c r="J135" s="2">
        <f>SUM('Budget Detail FY 2017-24'!S323:S325)</f>
        <v>650745</v>
      </c>
      <c r="K135" s="2">
        <f>SUM('Budget Detail FY 2017-24'!T323:T325)</f>
        <v>591184</v>
      </c>
    </row>
    <row r="136" spans="2:11" ht="20.100000000000001" customHeight="1" thickBot="1">
      <c r="B136" s="123" t="s">
        <v>655</v>
      </c>
      <c r="C136" s="121">
        <f t="shared" ref="C136:K136" si="13">SUM(C133:C135)</f>
        <v>599121</v>
      </c>
      <c r="D136" s="121">
        <f t="shared" si="13"/>
        <v>597982</v>
      </c>
      <c r="E136" s="121">
        <f t="shared" si="13"/>
        <v>691787</v>
      </c>
      <c r="F136" s="121">
        <f t="shared" si="13"/>
        <v>620788</v>
      </c>
      <c r="G136" s="121">
        <f t="shared" si="13"/>
        <v>718788</v>
      </c>
      <c r="H136" s="121">
        <f t="shared" si="13"/>
        <v>718788</v>
      </c>
      <c r="I136" s="121">
        <f t="shared" si="13"/>
        <v>693788</v>
      </c>
      <c r="J136" s="121">
        <f t="shared" si="13"/>
        <v>650745</v>
      </c>
      <c r="K136" s="121">
        <f t="shared" si="13"/>
        <v>591184</v>
      </c>
    </row>
    <row r="137" spans="2:11" ht="7.5" customHeight="1">
      <c r="B137" s="126"/>
      <c r="C137" s="3"/>
      <c r="D137" s="2"/>
      <c r="E137" s="2"/>
      <c r="F137" s="2"/>
      <c r="G137" s="2"/>
      <c r="H137" s="2"/>
      <c r="I137" s="2"/>
      <c r="J137" s="2"/>
      <c r="K137" s="2"/>
    </row>
    <row r="138" spans="2:11" ht="20.100000000000001" customHeight="1">
      <c r="B138" s="327" t="s">
        <v>656</v>
      </c>
      <c r="C138" s="3">
        <f t="shared" ref="C138:K138" si="14">+C130-C136</f>
        <v>-90999</v>
      </c>
      <c r="D138" s="3">
        <f t="shared" si="14"/>
        <v>-93729</v>
      </c>
      <c r="E138" s="3">
        <f t="shared" si="14"/>
        <v>-155970</v>
      </c>
      <c r="F138" s="3">
        <f t="shared" si="14"/>
        <v>-68366</v>
      </c>
      <c r="G138" s="3">
        <f t="shared" si="14"/>
        <v>-183884</v>
      </c>
      <c r="H138" s="3">
        <f t="shared" si="14"/>
        <v>-178122</v>
      </c>
      <c r="I138" s="3">
        <f t="shared" si="14"/>
        <v>-146470</v>
      </c>
      <c r="J138" s="3">
        <f t="shared" si="14"/>
        <v>-95455</v>
      </c>
      <c r="K138" s="3">
        <f t="shared" si="14"/>
        <v>-26196</v>
      </c>
    </row>
    <row r="139" spans="2:11" ht="7.5" customHeight="1">
      <c r="B139" s="127"/>
      <c r="C139" s="3"/>
      <c r="D139" s="2"/>
      <c r="E139" s="2"/>
      <c r="F139" s="2"/>
      <c r="G139" s="2"/>
      <c r="H139" s="2"/>
      <c r="I139" s="2"/>
      <c r="J139" s="2"/>
      <c r="K139" s="2"/>
    </row>
    <row r="140" spans="2:11" ht="20.100000000000001" customHeight="1" thickBot="1">
      <c r="B140" s="122" t="s">
        <v>657</v>
      </c>
      <c r="C140" s="79">
        <v>792224</v>
      </c>
      <c r="D140" s="79">
        <v>698493</v>
      </c>
      <c r="E140" s="79">
        <v>428536</v>
      </c>
      <c r="F140" s="79">
        <f>D140+F138</f>
        <v>630127</v>
      </c>
      <c r="G140" s="79">
        <f>F140+G138</f>
        <v>446243</v>
      </c>
      <c r="H140" s="79">
        <f>G140+H138</f>
        <v>268121</v>
      </c>
      <c r="I140" s="79">
        <f>H140+I138</f>
        <v>121651</v>
      </c>
      <c r="J140" s="79">
        <f>I140+J138</f>
        <v>26196</v>
      </c>
      <c r="K140" s="79">
        <f>J140+K138</f>
        <v>0</v>
      </c>
    </row>
    <row r="141" spans="2:11" ht="14.4" thickTop="1">
      <c r="B141" s="128"/>
      <c r="C141" s="132"/>
      <c r="D141" s="132"/>
      <c r="E141" s="132"/>
      <c r="F141" s="132"/>
      <c r="G141" s="132"/>
      <c r="H141" s="132"/>
      <c r="I141" s="132"/>
      <c r="J141" s="132"/>
      <c r="K141" s="132"/>
    </row>
    <row r="142" spans="2:11">
      <c r="B142" s="1"/>
      <c r="C142" s="2"/>
      <c r="D142" s="2"/>
      <c r="E142" s="2"/>
      <c r="F142" s="2"/>
      <c r="G142" s="2"/>
      <c r="H142" s="2"/>
      <c r="I142" s="2"/>
      <c r="J142" s="2"/>
      <c r="K142" s="2"/>
    </row>
    <row r="143" spans="2:11">
      <c r="B143" s="1"/>
      <c r="C143" s="2"/>
      <c r="D143" s="2"/>
      <c r="E143" s="2"/>
      <c r="F143" s="2"/>
      <c r="G143" s="2"/>
      <c r="H143" s="2"/>
      <c r="I143" s="2"/>
      <c r="J143" s="2"/>
      <c r="K143" s="2"/>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5" spans="2:11">
      <c r="B155" s="476" t="s">
        <v>663</v>
      </c>
      <c r="C155" s="476"/>
      <c r="D155" s="476"/>
      <c r="E155" s="476"/>
      <c r="F155" s="476"/>
      <c r="G155" s="476"/>
      <c r="H155" s="476"/>
      <c r="I155" s="476"/>
      <c r="J155" s="476"/>
      <c r="K155" s="476"/>
    </row>
    <row r="156" spans="2:11">
      <c r="B156" s="63"/>
      <c r="C156" s="3"/>
      <c r="D156" s="2"/>
      <c r="E156" s="2"/>
      <c r="F156" s="2"/>
      <c r="G156" s="2"/>
      <c r="H156" s="2"/>
      <c r="I156" s="2"/>
      <c r="J156" s="2"/>
      <c r="K156" s="2"/>
    </row>
    <row r="157" spans="2:11" ht="15" customHeight="1">
      <c r="B157" s="467" t="s">
        <v>991</v>
      </c>
      <c r="C157" s="467"/>
      <c r="D157" s="467"/>
      <c r="E157" s="467"/>
      <c r="F157" s="467"/>
      <c r="G157" s="467"/>
      <c r="H157" s="467"/>
      <c r="I157" s="467"/>
      <c r="J157" s="467"/>
      <c r="K157" s="467"/>
    </row>
    <row r="158" spans="2:11" ht="15" customHeight="1">
      <c r="B158" s="467"/>
      <c r="C158" s="467"/>
      <c r="D158" s="467"/>
      <c r="E158" s="467"/>
      <c r="F158" s="467"/>
      <c r="G158" s="467"/>
      <c r="H158" s="467"/>
      <c r="I158" s="467"/>
      <c r="J158" s="467"/>
      <c r="K158" s="467"/>
    </row>
    <row r="159" spans="2:11" ht="7.5" customHeight="1">
      <c r="B159" s="332"/>
      <c r="C159" s="21"/>
      <c r="D159" s="21"/>
      <c r="E159" s="21"/>
      <c r="F159" s="21"/>
      <c r="G159" s="21"/>
      <c r="H159" s="2"/>
      <c r="I159" s="2"/>
      <c r="J159" s="2"/>
      <c r="K159" s="2"/>
    </row>
    <row r="160" spans="2:11">
      <c r="B160" s="5"/>
      <c r="C160" s="64"/>
      <c r="D160" s="1"/>
      <c r="E160" s="64" t="s">
        <v>864</v>
      </c>
      <c r="F160" s="1"/>
      <c r="G160" s="1"/>
      <c r="H160" s="1"/>
      <c r="I160" s="1"/>
      <c r="J160" s="1"/>
      <c r="K160" s="1"/>
    </row>
    <row r="161" spans="2:11">
      <c r="B161" s="64"/>
      <c r="C161" s="63" t="s">
        <v>234</v>
      </c>
      <c r="D161" s="64" t="s">
        <v>790</v>
      </c>
      <c r="E161" s="64" t="s">
        <v>637</v>
      </c>
      <c r="F161" s="64" t="s">
        <v>864</v>
      </c>
      <c r="G161" s="64" t="s">
        <v>895</v>
      </c>
      <c r="H161" s="64" t="s">
        <v>896</v>
      </c>
      <c r="I161" s="64" t="s">
        <v>897</v>
      </c>
      <c r="J161" s="64" t="s">
        <v>898</v>
      </c>
      <c r="K161" s="64" t="s">
        <v>899</v>
      </c>
    </row>
    <row r="162" spans="2:11" ht="14.4" thickBot="1">
      <c r="B162" s="130"/>
      <c r="C162" s="66" t="s">
        <v>1</v>
      </c>
      <c r="D162" s="66" t="s">
        <v>1</v>
      </c>
      <c r="E162" s="66" t="s">
        <v>605</v>
      </c>
      <c r="F162" s="66" t="s">
        <v>19</v>
      </c>
      <c r="G162" s="66" t="str">
        <f>$M$1</f>
        <v>Adopted</v>
      </c>
      <c r="H162" s="66" t="s">
        <v>19</v>
      </c>
      <c r="I162" s="66" t="s">
        <v>19</v>
      </c>
      <c r="J162" s="66" t="s">
        <v>19</v>
      </c>
      <c r="K162" s="66" t="s">
        <v>19</v>
      </c>
    </row>
    <row r="163" spans="2:11">
      <c r="B163" s="62"/>
      <c r="C163" s="131"/>
      <c r="D163" s="2"/>
      <c r="E163" s="2"/>
      <c r="F163" s="2"/>
      <c r="G163" s="2"/>
      <c r="H163" s="2"/>
      <c r="I163" s="2"/>
      <c r="J163" s="2"/>
      <c r="K163" s="2"/>
    </row>
    <row r="164" spans="2:11">
      <c r="B164" s="124" t="s">
        <v>638</v>
      </c>
      <c r="C164" s="2"/>
      <c r="D164" s="2"/>
      <c r="E164" s="2"/>
      <c r="F164" s="2"/>
      <c r="G164" s="2"/>
      <c r="H164" s="2"/>
      <c r="I164" s="2"/>
      <c r="J164" s="2"/>
      <c r="K164" s="2"/>
    </row>
    <row r="165" spans="2:11" ht="20.100000000000001" customHeight="1">
      <c r="B165" s="324" t="s">
        <v>640</v>
      </c>
      <c r="C165" s="2">
        <f>SUM('Budget Detail FY 2017-24'!L336:L339)</f>
        <v>534354</v>
      </c>
      <c r="D165" s="2">
        <f>SUM('Budget Detail FY 2017-24'!M336:M339)</f>
        <v>206028</v>
      </c>
      <c r="E165" s="2">
        <f>SUM('Budget Detail FY 2017-24'!N336:N339)</f>
        <v>0</v>
      </c>
      <c r="F165" s="2">
        <f>SUM('Budget Detail FY 2017-24'!O336:O339)</f>
        <v>32879</v>
      </c>
      <c r="G165" s="2">
        <f>SUM('Budget Detail FY 2017-24'!P336:P339)</f>
        <v>0</v>
      </c>
      <c r="H165" s="2">
        <f>SUM('Budget Detail FY 2017-24'!Q336:Q339)</f>
        <v>0</v>
      </c>
      <c r="I165" s="2">
        <f>SUM('Budget Detail FY 2017-24'!R336:R339)</f>
        <v>0</v>
      </c>
      <c r="J165" s="2">
        <f>SUM('Budget Detail FY 2017-24'!S336:S339)</f>
        <v>0</v>
      </c>
      <c r="K165" s="2">
        <f>SUM('Budget Detail FY 2017-24'!T336:T339)</f>
        <v>0</v>
      </c>
    </row>
    <row r="166" spans="2:11" ht="20.100000000000001" customHeight="1">
      <c r="B166" s="324" t="s">
        <v>641</v>
      </c>
      <c r="C166" s="2">
        <f>SUM('Budget Detail FY 2017-24'!L340:L344)</f>
        <v>196003</v>
      </c>
      <c r="D166" s="2">
        <f>SUM('Budget Detail FY 2017-24'!M340:M344)</f>
        <v>448616</v>
      </c>
      <c r="E166" s="2">
        <f>SUM('Budget Detail FY 2017-24'!N340:N344)</f>
        <v>91500</v>
      </c>
      <c r="F166" s="2">
        <f>SUM('Budget Detail FY 2017-24'!O340:O344)</f>
        <v>340000</v>
      </c>
      <c r="G166" s="2">
        <f>SUM('Budget Detail FY 2017-24'!P340:P344)</f>
        <v>152180</v>
      </c>
      <c r="H166" s="2">
        <f>SUM('Budget Detail FY 2017-24'!Q340:Q344)</f>
        <v>152180</v>
      </c>
      <c r="I166" s="2">
        <f>SUM('Budget Detail FY 2017-24'!R340:R344)</f>
        <v>152180</v>
      </c>
      <c r="J166" s="2">
        <f>SUM('Budget Detail FY 2017-24'!S340:S344)</f>
        <v>152180</v>
      </c>
      <c r="K166" s="2">
        <f>SUM('Budget Detail FY 2017-24'!T340:T344)</f>
        <v>152180</v>
      </c>
    </row>
    <row r="167" spans="2:11" ht="20.100000000000001" customHeight="1">
      <c r="B167" s="324" t="s">
        <v>643</v>
      </c>
      <c r="C167" s="2">
        <f>'Budget Detail FY 2017-24'!L345</f>
        <v>718872</v>
      </c>
      <c r="D167" s="2">
        <f>'Budget Detail FY 2017-24'!M345</f>
        <v>731535</v>
      </c>
      <c r="E167" s="2">
        <f>'Budget Detail FY 2017-24'!N345</f>
        <v>730000</v>
      </c>
      <c r="F167" s="2">
        <f>'Budget Detail FY 2017-24'!O345</f>
        <v>746500</v>
      </c>
      <c r="G167" s="2">
        <f>'Budget Detail FY 2017-24'!P345</f>
        <v>746500</v>
      </c>
      <c r="H167" s="2">
        <f>'Budget Detail FY 2017-24'!Q345</f>
        <v>750000</v>
      </c>
      <c r="I167" s="2">
        <f>'Budget Detail FY 2017-24'!R345</f>
        <v>755000</v>
      </c>
      <c r="J167" s="2">
        <f>'Budget Detail FY 2017-24'!S345</f>
        <v>755000</v>
      </c>
      <c r="K167" s="2">
        <f>'Budget Detail FY 2017-24'!T345</f>
        <v>760000</v>
      </c>
    </row>
    <row r="168" spans="2:11" ht="20.100000000000001" customHeight="1">
      <c r="B168" s="324" t="s">
        <v>644</v>
      </c>
      <c r="C168" s="2">
        <f>'Budget Detail FY 2017-24'!L346+'Budget Detail FY 2017-24'!L347</f>
        <v>3703</v>
      </c>
      <c r="D168" s="2">
        <f>'Budget Detail FY 2017-24'!M346+'Budget Detail FY 2017-24'!M347</f>
        <v>21033</v>
      </c>
      <c r="E168" s="2">
        <f>'Budget Detail FY 2017-24'!N346+'Budget Detail FY 2017-24'!N347</f>
        <v>1000</v>
      </c>
      <c r="F168" s="2">
        <f>'Budget Detail FY 2017-24'!O346+'Budget Detail FY 2017-24'!O347</f>
        <v>37500</v>
      </c>
      <c r="G168" s="2">
        <f>'Budget Detail FY 2017-24'!P346+'Budget Detail FY 2017-24'!P347</f>
        <v>7500</v>
      </c>
      <c r="H168" s="2">
        <f>'Budget Detail FY 2017-24'!Q346+'Budget Detail FY 2017-24'!Q347</f>
        <v>5000</v>
      </c>
      <c r="I168" s="2">
        <f>'Budget Detail FY 2017-24'!R346+'Budget Detail FY 2017-24'!R347</f>
        <v>5000</v>
      </c>
      <c r="J168" s="2">
        <f>'Budget Detail FY 2017-24'!S346+'Budget Detail FY 2017-24'!S347</f>
        <v>5000</v>
      </c>
      <c r="K168" s="2">
        <f>'Budget Detail FY 2017-24'!T346+'Budget Detail FY 2017-24'!T347</f>
        <v>5000</v>
      </c>
    </row>
    <row r="169" spans="2:11" ht="20.100000000000001" customHeight="1">
      <c r="B169" s="324" t="s">
        <v>645</v>
      </c>
      <c r="C169" s="2">
        <f>SUM('Budget Detail FY 2017-24'!L348:L356)</f>
        <v>199851</v>
      </c>
      <c r="D169" s="2">
        <f>SUM('Budget Detail FY 2017-24'!M348:M356)</f>
        <v>373768</v>
      </c>
      <c r="E169" s="2">
        <f>SUM('Budget Detail FY 2017-24'!N348:N356)</f>
        <v>1109077</v>
      </c>
      <c r="F169" s="2">
        <f>SUM('Budget Detail FY 2017-24'!O348:O356)</f>
        <v>1295882</v>
      </c>
      <c r="G169" s="2">
        <f>SUM('Budget Detail FY 2017-24'!P348:P356)</f>
        <v>3013849</v>
      </c>
      <c r="H169" s="2">
        <f>SUM('Budget Detail FY 2017-24'!Q348:Q356)</f>
        <v>7549</v>
      </c>
      <c r="I169" s="2">
        <f>SUM('Budget Detail FY 2017-24'!R348:R356)</f>
        <v>0</v>
      </c>
      <c r="J169" s="2">
        <f>SUM('Budget Detail FY 2017-24'!S348:S356)</f>
        <v>0</v>
      </c>
      <c r="K169" s="2">
        <f>SUM('Budget Detail FY 2017-24'!T348:T356)</f>
        <v>171600</v>
      </c>
    </row>
    <row r="170" spans="2:11" ht="20.100000000000001" customHeight="1">
      <c r="B170" s="324" t="s">
        <v>646</v>
      </c>
      <c r="C170" s="2">
        <f>'Budget Detail FY 2017-24'!L357</f>
        <v>0</v>
      </c>
      <c r="D170" s="2">
        <f>'Budget Detail FY 2017-24'!M357</f>
        <v>0</v>
      </c>
      <c r="E170" s="2">
        <f>'Budget Detail FY 2017-24'!N357</f>
        <v>2000</v>
      </c>
      <c r="F170" s="2">
        <f>'Budget Detail FY 2017-24'!O357</f>
        <v>0</v>
      </c>
      <c r="G170" s="2">
        <f>'Budget Detail FY 2017-24'!P357</f>
        <v>2000</v>
      </c>
      <c r="H170" s="2">
        <f>'Budget Detail FY 2017-24'!Q357</f>
        <v>2000</v>
      </c>
      <c r="I170" s="2">
        <f>'Budget Detail FY 2017-24'!R357</f>
        <v>2000</v>
      </c>
      <c r="J170" s="2">
        <f>'Budget Detail FY 2017-24'!S357</f>
        <v>2000</v>
      </c>
      <c r="K170" s="2">
        <f>'Budget Detail FY 2017-24'!T357</f>
        <v>2000</v>
      </c>
    </row>
    <row r="171" spans="2:11" ht="20.100000000000001" customHeight="1">
      <c r="B171" s="324" t="s">
        <v>647</v>
      </c>
      <c r="C171" s="2">
        <f>SUM('Budget Detail FY 2017-24'!L358:L360)</f>
        <v>73502</v>
      </c>
      <c r="D171" s="2">
        <f>SUM('Budget Detail FY 2017-24'!M358:M360)</f>
        <v>1018308</v>
      </c>
      <c r="E171" s="2">
        <f>SUM('Budget Detail FY 2017-24'!N358:N360)</f>
        <v>569725</v>
      </c>
      <c r="F171" s="2">
        <f>SUM('Budget Detail FY 2017-24'!O358:O360)</f>
        <v>569725</v>
      </c>
      <c r="G171" s="2">
        <f>SUM('Budget Detail FY 2017-24'!P358:P360)</f>
        <v>0</v>
      </c>
      <c r="H171" s="2">
        <f>SUM('Budget Detail FY 2017-24'!Q358:Q360)</f>
        <v>95756</v>
      </c>
      <c r="I171" s="2">
        <f>SUM('Budget Detail FY 2017-24'!R358:R360)</f>
        <v>0</v>
      </c>
      <c r="J171" s="2">
        <f>SUM('Budget Detail FY 2017-24'!S358:S360)</f>
        <v>0</v>
      </c>
      <c r="K171" s="2">
        <f>SUM('Budget Detail FY 2017-24'!T358:T360)</f>
        <v>0</v>
      </c>
    </row>
    <row r="172" spans="2:11" ht="20.100000000000001" customHeight="1" thickBot="1">
      <c r="B172" s="123" t="s">
        <v>648</v>
      </c>
      <c r="C172" s="121">
        <f t="shared" ref="C172:K172" si="15">SUM(C165:C171)</f>
        <v>1726285</v>
      </c>
      <c r="D172" s="121">
        <f t="shared" si="15"/>
        <v>2799288</v>
      </c>
      <c r="E172" s="121">
        <f t="shared" si="15"/>
        <v>2503302</v>
      </c>
      <c r="F172" s="121">
        <f t="shared" si="15"/>
        <v>3022486</v>
      </c>
      <c r="G172" s="121">
        <f t="shared" si="15"/>
        <v>3922029</v>
      </c>
      <c r="H172" s="121">
        <f t="shared" si="15"/>
        <v>1012485</v>
      </c>
      <c r="I172" s="121">
        <f t="shared" si="15"/>
        <v>914180</v>
      </c>
      <c r="J172" s="121">
        <f t="shared" si="15"/>
        <v>914180</v>
      </c>
      <c r="K172" s="121">
        <f t="shared" si="15"/>
        <v>1090780</v>
      </c>
    </row>
    <row r="173" spans="2:11" ht="7.5" customHeight="1">
      <c r="B173" s="1"/>
      <c r="C173" s="2"/>
      <c r="D173" s="2"/>
      <c r="E173" s="2"/>
      <c r="F173" s="2"/>
      <c r="G173" s="2"/>
      <c r="H173" s="2"/>
      <c r="I173" s="2"/>
      <c r="J173" s="2"/>
      <c r="K173" s="2"/>
    </row>
    <row r="174" spans="2:11">
      <c r="B174" s="124" t="s">
        <v>457</v>
      </c>
      <c r="C174" s="2"/>
      <c r="D174" s="2"/>
      <c r="E174" s="2"/>
      <c r="F174" s="2"/>
      <c r="G174" s="2"/>
      <c r="H174" s="2"/>
      <c r="I174" s="2"/>
      <c r="J174" s="2"/>
      <c r="K174" s="2"/>
    </row>
    <row r="175" spans="2:11" ht="20.100000000000001" customHeight="1">
      <c r="B175" s="325" t="s">
        <v>651</v>
      </c>
      <c r="C175" s="2">
        <f>'Budget Detail FY 2017-24'!L365+'Budget Detail FY 2017-24'!L366+'Budget Detail FY 2017-24'!L367+'Budget Detail FY 2017-24'!L377+'Budget Detail FY 2017-24'!L378+'Budget Detail FY 2017-24'!L379+'Budget Detail FY 2017-24'!L380+'Budget Detail FY 2017-24'!L381+'Budget Detail FY 2017-24'!L382</f>
        <v>115923</v>
      </c>
      <c r="D175" s="2">
        <f>'Budget Detail FY 2017-24'!M365+'Budget Detail FY 2017-24'!M366+'Budget Detail FY 2017-24'!M367+'Budget Detail FY 2017-24'!M377+'Budget Detail FY 2017-24'!M378+'Budget Detail FY 2017-24'!M379+'Budget Detail FY 2017-24'!M380+'Budget Detail FY 2017-24'!M381+'Budget Detail FY 2017-24'!M382</f>
        <v>339391</v>
      </c>
      <c r="E175" s="2">
        <f>'Budget Detail FY 2017-24'!N365+'Budget Detail FY 2017-24'!N366+'Budget Detail FY 2017-24'!N367+'Budget Detail FY 2017-24'!N377+'Budget Detail FY 2017-24'!N378+'Budget Detail FY 2017-24'!N379+'Budget Detail FY 2017-24'!N380+'Budget Detail FY 2017-24'!N381+'Budget Detail FY 2017-24'!N382</f>
        <v>221675</v>
      </c>
      <c r="F175" s="2">
        <f>'Budget Detail FY 2017-24'!O365+'Budget Detail FY 2017-24'!O366+'Budget Detail FY 2017-24'!O367+'Budget Detail FY 2017-24'!O377+'Budget Detail FY 2017-24'!O378+'Budget Detail FY 2017-24'!O379+'Budget Detail FY 2017-24'!O380+'Budget Detail FY 2017-24'!O381+'Budget Detail FY 2017-24'!O382</f>
        <v>143214</v>
      </c>
      <c r="G175" s="2">
        <f>'Budget Detail FY 2017-24'!P365+'Budget Detail FY 2017-24'!P366+'Budget Detail FY 2017-24'!P367+'Budget Detail FY 2017-24'!P377+'Budget Detail FY 2017-24'!P378+'Budget Detail FY 2017-24'!P379+'Budget Detail FY 2017-24'!P380+'Budget Detail FY 2017-24'!P381+'Budget Detail FY 2017-24'!P382</f>
        <v>334795</v>
      </c>
      <c r="H175" s="2">
        <f>'Budget Detail FY 2017-24'!Q365+'Budget Detail FY 2017-24'!Q366+'Budget Detail FY 2017-24'!Q367+'Budget Detail FY 2017-24'!Q377+'Budget Detail FY 2017-24'!Q378+'Budget Detail FY 2017-24'!Q379+'Budget Detail FY 2017-24'!Q380+'Budget Detail FY 2017-24'!Q381+'Budget Detail FY 2017-24'!Q382</f>
        <v>190964</v>
      </c>
      <c r="I175" s="2">
        <f>'Budget Detail FY 2017-24'!R365+'Budget Detail FY 2017-24'!R366+'Budget Detail FY 2017-24'!R367+'Budget Detail FY 2017-24'!R377+'Budget Detail FY 2017-24'!R378+'Budget Detail FY 2017-24'!R379+'Budget Detail FY 2017-24'!R380+'Budget Detail FY 2017-24'!R381+'Budget Detail FY 2017-24'!R382</f>
        <v>197503</v>
      </c>
      <c r="J175" s="2">
        <f>'Budget Detail FY 2017-24'!S365+'Budget Detail FY 2017-24'!S366+'Budget Detail FY 2017-24'!S367+'Budget Detail FY 2017-24'!S377+'Budget Detail FY 2017-24'!S378+'Budget Detail FY 2017-24'!S379+'Budget Detail FY 2017-24'!S380+'Budget Detail FY 2017-24'!S381+'Budget Detail FY 2017-24'!S382</f>
        <v>204435</v>
      </c>
      <c r="K175" s="2">
        <f>'Budget Detail FY 2017-24'!T365+'Budget Detail FY 2017-24'!T366+'Budget Detail FY 2017-24'!T367+'Budget Detail FY 2017-24'!T377+'Budget Detail FY 2017-24'!T378+'Budget Detail FY 2017-24'!T379+'Budget Detail FY 2017-24'!T380+'Budget Detail FY 2017-24'!T381+'Budget Detail FY 2017-24'!T382</f>
        <v>211783</v>
      </c>
    </row>
    <row r="176" spans="2:11" ht="20.100000000000001" customHeight="1">
      <c r="B176" s="325" t="s">
        <v>652</v>
      </c>
      <c r="C176" s="2">
        <f>'Budget Detail FY 2017-24'!L368+'Budget Detail FY 2017-24'!L369+'Budget Detail FY 2017-24'!L370+'Budget Detail FY 2017-24'!L383+'Budget Detail FY 2017-24'!L384</f>
        <v>28653</v>
      </c>
      <c r="D176" s="2">
        <f>'Budget Detail FY 2017-24'!M368+'Budget Detail FY 2017-24'!M369+'Budget Detail FY 2017-24'!M370+'Budget Detail FY 2017-24'!M383+'Budget Detail FY 2017-24'!M384</f>
        <v>18945</v>
      </c>
      <c r="E176" s="2">
        <f>'Budget Detail FY 2017-24'!N368+'Budget Detail FY 2017-24'!N369+'Budget Detail FY 2017-24'!N370+'Budget Detail FY 2017-24'!N383+'Budget Detail FY 2017-24'!N384</f>
        <v>32000</v>
      </c>
      <c r="F176" s="2">
        <f>'Budget Detail FY 2017-24'!O368+'Budget Detail FY 2017-24'!O369+'Budget Detail FY 2017-24'!O370+'Budget Detail FY 2017-24'!O383+'Budget Detail FY 2017-24'!O384</f>
        <v>70000</v>
      </c>
      <c r="G176" s="2">
        <f>'Budget Detail FY 2017-24'!P368+'Budget Detail FY 2017-24'!P369+'Budget Detail FY 2017-24'!P370+'Budget Detail FY 2017-24'!P383+'Budget Detail FY 2017-24'!P384</f>
        <v>82000</v>
      </c>
      <c r="H176" s="2">
        <f>'Budget Detail FY 2017-24'!Q368+'Budget Detail FY 2017-24'!Q369+'Budget Detail FY 2017-24'!Q370+'Budget Detail FY 2017-24'!Q383+'Budget Detail FY 2017-24'!Q384</f>
        <v>82000</v>
      </c>
      <c r="I176" s="2">
        <f>'Budget Detail FY 2017-24'!R368+'Budget Detail FY 2017-24'!R369+'Budget Detail FY 2017-24'!R370+'Budget Detail FY 2017-24'!R383+'Budget Detail FY 2017-24'!R384</f>
        <v>82000</v>
      </c>
      <c r="J176" s="2">
        <f>'Budget Detail FY 2017-24'!S368+'Budget Detail FY 2017-24'!S369+'Budget Detail FY 2017-24'!S370+'Budget Detail FY 2017-24'!S383+'Budget Detail FY 2017-24'!S384</f>
        <v>82000</v>
      </c>
      <c r="K176" s="2">
        <f>'Budget Detail FY 2017-24'!T368+'Budget Detail FY 2017-24'!T369+'Budget Detail FY 2017-24'!T370+'Budget Detail FY 2017-24'!T383+'Budget Detail FY 2017-24'!T384</f>
        <v>82000</v>
      </c>
    </row>
    <row r="177" spans="2:11" ht="20.100000000000001" customHeight="1">
      <c r="B177" s="325" t="s">
        <v>653</v>
      </c>
      <c r="C177" s="2">
        <f>SUM('Budget Detail FY 2017-24'!L385:L404)+'Budget Detail FY 2017-24'!L372+'Budget Detail FY 2017-24'!L371</f>
        <v>2816305</v>
      </c>
      <c r="D177" s="2">
        <f>SUM('Budget Detail FY 2017-24'!M385:M404)+'Budget Detail FY 2017-24'!M372+'Budget Detail FY 2017-24'!M371</f>
        <v>2846631</v>
      </c>
      <c r="E177" s="2">
        <f>SUM('Budget Detail FY 2017-24'!N385:N404)+'Budget Detail FY 2017-24'!N372+'Budget Detail FY 2017-24'!N371</f>
        <v>2197774</v>
      </c>
      <c r="F177" s="2">
        <f>SUM('Budget Detail FY 2017-24'!O385:O404)+'Budget Detail FY 2017-24'!O372+'Budget Detail FY 2017-24'!O371</f>
        <v>2140854</v>
      </c>
      <c r="G177" s="2">
        <f>SUM('Budget Detail FY 2017-24'!P385:P404)+'Budget Detail FY 2017-24'!P372+'Budget Detail FY 2017-24'!P371</f>
        <v>3657339</v>
      </c>
      <c r="H177" s="2">
        <f>SUM('Budget Detail FY 2017-24'!Q385:Q404)+'Budget Detail FY 2017-24'!Q372+'Budget Detail FY 2017-24'!Q371</f>
        <v>228108</v>
      </c>
      <c r="I177" s="2">
        <f>SUM('Budget Detail FY 2017-24'!R385:R404)+'Budget Detail FY 2017-24'!R372+'Budget Detail FY 2017-24'!R371</f>
        <v>110334</v>
      </c>
      <c r="J177" s="2">
        <f>SUM('Budget Detail FY 2017-24'!S385:S404)+'Budget Detail FY 2017-24'!S372+'Budget Detail FY 2017-24'!S371</f>
        <v>80000</v>
      </c>
      <c r="K177" s="2">
        <f>SUM('Budget Detail FY 2017-24'!T385:T404)+'Budget Detail FY 2017-24'!T372+'Budget Detail FY 2017-24'!T371</f>
        <v>251600</v>
      </c>
    </row>
    <row r="178" spans="2:11" ht="20.100000000000001" customHeight="1">
      <c r="B178" s="325" t="s">
        <v>593</v>
      </c>
      <c r="C178" s="2">
        <f>SUM('Budget Detail FY 2017-24'!L406:L409)</f>
        <v>404138</v>
      </c>
      <c r="D178" s="2">
        <f>SUM('Budget Detail FY 2017-24'!M406:M409)</f>
        <v>403588</v>
      </c>
      <c r="E178" s="2">
        <f>SUM('Budget Detail FY 2017-24'!N406:N409)</f>
        <v>407563</v>
      </c>
      <c r="F178" s="2">
        <f>SUM('Budget Detail FY 2017-24'!O406:O409)</f>
        <v>407563</v>
      </c>
      <c r="G178" s="2">
        <f>SUM('Budget Detail FY 2017-24'!P406:P409)</f>
        <v>322188</v>
      </c>
      <c r="H178" s="2">
        <f>SUM('Budget Detail FY 2017-24'!Q406:Q409)</f>
        <v>321338</v>
      </c>
      <c r="I178" s="2">
        <f>SUM('Budget Detail FY 2017-24'!R406:R409)</f>
        <v>315338</v>
      </c>
      <c r="J178" s="2">
        <f>SUM('Budget Detail FY 2017-24'!S406:S409)</f>
        <v>319338</v>
      </c>
      <c r="K178" s="2">
        <f>SUM('Budget Detail FY 2017-24'!T406:T409)</f>
        <v>313038</v>
      </c>
    </row>
    <row r="179" spans="2:11" ht="20.100000000000001" customHeight="1">
      <c r="B179" s="324" t="s">
        <v>654</v>
      </c>
      <c r="C179" s="2">
        <f>'Budget Detail FY 2017-24'!L373+'Budget Detail FY 2017-24'!L411</f>
        <v>9645</v>
      </c>
      <c r="D179" s="2">
        <f>'Budget Detail FY 2017-24'!M373+'Budget Detail FY 2017-24'!M411</f>
        <v>157366</v>
      </c>
      <c r="E179" s="2">
        <f>'Budget Detail FY 2017-24'!N373+'Budget Detail FY 2017-24'!N411</f>
        <v>82866</v>
      </c>
      <c r="F179" s="2">
        <f>'Budget Detail FY 2017-24'!O373+'Budget Detail FY 2017-24'!O411</f>
        <v>95030</v>
      </c>
      <c r="G179" s="2">
        <f>'Budget Detail FY 2017-24'!P373+'Budget Detail FY 2017-24'!P411</f>
        <v>152086</v>
      </c>
      <c r="H179" s="2">
        <f>'Budget Detail FY 2017-24'!Q373+'Budget Detail FY 2017-24'!Q411</f>
        <v>151075</v>
      </c>
      <c r="I179" s="2">
        <f>'Budget Detail FY 2017-24'!R373+'Budget Detail FY 2017-24'!R411</f>
        <v>151738</v>
      </c>
      <c r="J179" s="2">
        <f>'Budget Detail FY 2017-24'!S373+'Budget Detail FY 2017-24'!S411</f>
        <v>151389</v>
      </c>
      <c r="K179" s="2">
        <f>'Budget Detail FY 2017-24'!T373+'Budget Detail FY 2017-24'!T411</f>
        <v>151807</v>
      </c>
    </row>
    <row r="180" spans="2:11" ht="20.100000000000001" customHeight="1" thickBot="1">
      <c r="B180" s="123" t="s">
        <v>655</v>
      </c>
      <c r="C180" s="121">
        <f>SUM(C175:C179)</f>
        <v>3374664</v>
      </c>
      <c r="D180" s="121">
        <f t="shared" ref="D180:K180" si="16">SUM(D175:D179)</f>
        <v>3765921</v>
      </c>
      <c r="E180" s="121">
        <f t="shared" si="16"/>
        <v>2941878</v>
      </c>
      <c r="F180" s="121">
        <f>SUM(F175:F179)</f>
        <v>2856661</v>
      </c>
      <c r="G180" s="121">
        <f t="shared" si="16"/>
        <v>4548408</v>
      </c>
      <c r="H180" s="121">
        <f t="shared" si="16"/>
        <v>973485</v>
      </c>
      <c r="I180" s="121">
        <f t="shared" si="16"/>
        <v>856913</v>
      </c>
      <c r="J180" s="121">
        <f t="shared" si="16"/>
        <v>837162</v>
      </c>
      <c r="K180" s="121">
        <f t="shared" si="16"/>
        <v>1010228</v>
      </c>
    </row>
    <row r="181" spans="2:11" ht="7.5" customHeight="1">
      <c r="B181" s="126"/>
      <c r="C181" s="3"/>
      <c r="D181" s="2"/>
      <c r="E181" s="2"/>
      <c r="F181" s="2"/>
      <c r="G181" s="2"/>
      <c r="H181" s="2"/>
      <c r="I181" s="2"/>
      <c r="J181" s="2"/>
      <c r="K181" s="2"/>
    </row>
    <row r="182" spans="2:11" ht="20.100000000000001" customHeight="1">
      <c r="B182" s="327" t="s">
        <v>656</v>
      </c>
      <c r="C182" s="3">
        <f t="shared" ref="C182:K182" si="17">+C172-C180</f>
        <v>-1648379</v>
      </c>
      <c r="D182" s="3">
        <f t="shared" si="17"/>
        <v>-966633</v>
      </c>
      <c r="E182" s="3">
        <f t="shared" si="17"/>
        <v>-438576</v>
      </c>
      <c r="F182" s="3">
        <f t="shared" si="17"/>
        <v>165825</v>
      </c>
      <c r="G182" s="3">
        <f t="shared" si="17"/>
        <v>-626379</v>
      </c>
      <c r="H182" s="3">
        <f t="shared" si="17"/>
        <v>39000</v>
      </c>
      <c r="I182" s="3">
        <f t="shared" si="17"/>
        <v>57267</v>
      </c>
      <c r="J182" s="3">
        <f t="shared" si="17"/>
        <v>77018</v>
      </c>
      <c r="K182" s="3">
        <f t="shared" si="17"/>
        <v>80552</v>
      </c>
    </row>
    <row r="183" spans="2:11" ht="7.5" customHeight="1">
      <c r="B183" s="134"/>
      <c r="C183" s="93"/>
      <c r="D183" s="93"/>
      <c r="E183" s="93"/>
      <c r="F183" s="93"/>
      <c r="G183" s="93"/>
      <c r="H183" s="93"/>
      <c r="I183" s="93"/>
      <c r="J183" s="93"/>
      <c r="K183" s="93"/>
    </row>
    <row r="184" spans="2:11" ht="20.100000000000001" customHeight="1" thickBot="1">
      <c r="B184" s="122" t="s">
        <v>657</v>
      </c>
      <c r="C184" s="79">
        <v>1355530</v>
      </c>
      <c r="D184" s="79">
        <v>388897</v>
      </c>
      <c r="E184" s="79">
        <v>-30817</v>
      </c>
      <c r="F184" s="79">
        <f>D184+F182</f>
        <v>554722</v>
      </c>
      <c r="G184" s="79">
        <f>F184+G182</f>
        <v>-71657</v>
      </c>
      <c r="H184" s="79">
        <f>G184+H182</f>
        <v>-32657</v>
      </c>
      <c r="I184" s="79">
        <f>H184+I182</f>
        <v>24610</v>
      </c>
      <c r="J184" s="79">
        <f>I184+J182</f>
        <v>101628</v>
      </c>
      <c r="K184" s="79">
        <f>J184+K182</f>
        <v>182180</v>
      </c>
    </row>
    <row r="185" spans="2:11" ht="14.4" thickTop="1"/>
    <row r="199" spans="2:11" ht="7.5" customHeight="1"/>
    <row r="200" spans="2:11">
      <c r="B200" s="476" t="s">
        <v>823</v>
      </c>
      <c r="C200" s="476"/>
      <c r="D200" s="476"/>
      <c r="E200" s="476"/>
      <c r="F200" s="476"/>
      <c r="G200" s="476"/>
      <c r="H200" s="476"/>
      <c r="I200" s="476"/>
      <c r="J200" s="476"/>
      <c r="K200" s="476"/>
    </row>
    <row r="201" spans="2:11" ht="15" customHeight="1">
      <c r="B201" s="63"/>
      <c r="C201" s="3"/>
      <c r="D201" s="2"/>
      <c r="E201" s="2"/>
      <c r="F201" s="2"/>
      <c r="G201" s="2"/>
      <c r="H201" s="2"/>
      <c r="I201" s="2"/>
      <c r="J201" s="2"/>
      <c r="K201" s="2"/>
    </row>
    <row r="202" spans="2:11" ht="12.75" customHeight="1">
      <c r="B202" s="467" t="s">
        <v>1291</v>
      </c>
      <c r="C202" s="467"/>
      <c r="D202" s="467"/>
      <c r="E202" s="467"/>
      <c r="F202" s="467"/>
      <c r="G202" s="467"/>
      <c r="H202" s="467"/>
      <c r="I202" s="467"/>
      <c r="J202" s="467"/>
      <c r="K202" s="467"/>
    </row>
    <row r="203" spans="2:11" ht="12.75" customHeight="1">
      <c r="B203" s="467"/>
      <c r="C203" s="467"/>
      <c r="D203" s="467"/>
      <c r="E203" s="467"/>
      <c r="F203" s="467"/>
      <c r="G203" s="467"/>
      <c r="H203" s="467"/>
      <c r="I203" s="467"/>
      <c r="J203" s="467"/>
      <c r="K203" s="467"/>
    </row>
    <row r="204" spans="2:11" ht="12.75" customHeight="1">
      <c r="B204" s="467"/>
      <c r="C204" s="467"/>
      <c r="D204" s="467"/>
      <c r="E204" s="467"/>
      <c r="F204" s="467"/>
      <c r="G204" s="467"/>
      <c r="H204" s="467"/>
      <c r="I204" s="467"/>
      <c r="J204" s="467"/>
      <c r="K204" s="467"/>
    </row>
    <row r="205" spans="2:11" ht="15" customHeight="1">
      <c r="B205" s="467"/>
      <c r="C205" s="467"/>
      <c r="D205" s="467"/>
      <c r="E205" s="467"/>
      <c r="F205" s="467"/>
      <c r="G205" s="467"/>
      <c r="H205" s="467"/>
      <c r="I205" s="467"/>
      <c r="J205" s="467"/>
      <c r="K205" s="467"/>
    </row>
    <row r="206" spans="2:11" ht="12" customHeight="1">
      <c r="B206" s="467"/>
      <c r="C206" s="467"/>
      <c r="D206" s="467"/>
      <c r="E206" s="467"/>
      <c r="F206" s="467"/>
      <c r="G206" s="467"/>
      <c r="H206" s="467"/>
      <c r="I206" s="467"/>
      <c r="J206" s="467"/>
      <c r="K206" s="467"/>
    </row>
    <row r="207" spans="2:11">
      <c r="B207" s="5"/>
      <c r="C207" s="64"/>
      <c r="D207" s="1"/>
      <c r="E207" s="64" t="s">
        <v>864</v>
      </c>
      <c r="F207" s="1"/>
      <c r="G207" s="1"/>
      <c r="H207" s="1"/>
      <c r="I207" s="1"/>
      <c r="J207" s="1"/>
      <c r="K207" s="1"/>
    </row>
    <row r="208" spans="2:11">
      <c r="B208" s="64"/>
      <c r="C208" s="63" t="s">
        <v>234</v>
      </c>
      <c r="D208" s="64" t="s">
        <v>790</v>
      </c>
      <c r="E208" s="64" t="s">
        <v>637</v>
      </c>
      <c r="F208" s="64" t="s">
        <v>864</v>
      </c>
      <c r="G208" s="64" t="s">
        <v>895</v>
      </c>
      <c r="H208" s="64" t="s">
        <v>896</v>
      </c>
      <c r="I208" s="64" t="s">
        <v>897</v>
      </c>
      <c r="J208" s="64" t="s">
        <v>898</v>
      </c>
      <c r="K208" s="64" t="s">
        <v>899</v>
      </c>
    </row>
    <row r="209" spans="2:11" ht="14.4" thickBot="1">
      <c r="B209" s="130"/>
      <c r="C209" s="66" t="s">
        <v>1</v>
      </c>
      <c r="D209" s="66" t="s">
        <v>1</v>
      </c>
      <c r="E209" s="66" t="s">
        <v>605</v>
      </c>
      <c r="F209" s="66" t="s">
        <v>19</v>
      </c>
      <c r="G209" s="66" t="str">
        <f>$M$1</f>
        <v>Adopted</v>
      </c>
      <c r="H209" s="66" t="s">
        <v>19</v>
      </c>
      <c r="I209" s="66" t="s">
        <v>19</v>
      </c>
      <c r="J209" s="66" t="s">
        <v>19</v>
      </c>
      <c r="K209" s="66" t="s">
        <v>19</v>
      </c>
    </row>
    <row r="210" spans="2:11" ht="7.5" customHeight="1">
      <c r="B210" s="62"/>
      <c r="C210" s="131"/>
      <c r="D210" s="2"/>
      <c r="E210" s="2"/>
      <c r="F210" s="2"/>
      <c r="G210" s="2"/>
      <c r="H210" s="2"/>
      <c r="I210" s="2"/>
      <c r="J210" s="2"/>
      <c r="K210" s="2"/>
    </row>
    <row r="211" spans="2:11">
      <c r="B211" s="124" t="s">
        <v>638</v>
      </c>
      <c r="C211" s="2"/>
      <c r="D211" s="2"/>
      <c r="E211" s="2"/>
      <c r="F211" s="2"/>
      <c r="G211" s="2"/>
      <c r="H211" s="2"/>
      <c r="I211" s="2"/>
      <c r="J211" s="2"/>
      <c r="K211" s="2"/>
    </row>
    <row r="212" spans="2:11" ht="20.100000000000001" customHeight="1">
      <c r="B212" s="324" t="s">
        <v>641</v>
      </c>
      <c r="C212" s="2">
        <f>SUM('Budget Detail FY 2017-24'!L423:L428)</f>
        <v>134050</v>
      </c>
      <c r="D212" s="2">
        <f>SUM('Budget Detail FY 2017-24'!M423:M428)</f>
        <v>229575</v>
      </c>
      <c r="E212" s="2">
        <f>SUM('Budget Detail FY 2017-24'!N423:N428)</f>
        <v>145000</v>
      </c>
      <c r="F212" s="2">
        <f>SUM('Budget Detail FY 2017-24'!O423:O428)</f>
        <v>255663</v>
      </c>
      <c r="G212" s="2">
        <f>SUM('Budget Detail FY 2017-24'!P423:P428)</f>
        <v>109500</v>
      </c>
      <c r="H212" s="2">
        <f>SUM('Budget Detail FY 2017-24'!Q423:Q428)</f>
        <v>109500</v>
      </c>
      <c r="I212" s="2">
        <f>SUM('Budget Detail FY 2017-24'!R423:R428)</f>
        <v>109500</v>
      </c>
      <c r="J212" s="2">
        <f>SUM('Budget Detail FY 2017-24'!S423:S428)</f>
        <v>109500</v>
      </c>
      <c r="K212" s="2">
        <f>SUM('Budget Detail FY 2017-24'!T423:T428)</f>
        <v>109500</v>
      </c>
    </row>
    <row r="213" spans="2:11" ht="20.100000000000001" customHeight="1">
      <c r="B213" s="324" t="s">
        <v>642</v>
      </c>
      <c r="C213" s="2">
        <f>SUM('Budget Detail FY 2017-24'!L429:L431)</f>
        <v>6608</v>
      </c>
      <c r="D213" s="2">
        <f>SUM('Budget Detail FY 2017-24'!M429:M431)</f>
        <v>8730</v>
      </c>
      <c r="E213" s="2">
        <f>SUM('Budget Detail FY 2017-24'!N429:N431)</f>
        <v>6700</v>
      </c>
      <c r="F213" s="2">
        <f>SUM('Budget Detail FY 2017-24'!O429:O431)</f>
        <v>8900</v>
      </c>
      <c r="G213" s="2">
        <f>SUM('Budget Detail FY 2017-24'!P429:P431)</f>
        <v>8650</v>
      </c>
      <c r="H213" s="2">
        <f>SUM('Budget Detail FY 2017-24'!Q429:Q431)</f>
        <v>8650</v>
      </c>
      <c r="I213" s="2">
        <f>SUM('Budget Detail FY 2017-24'!R429:R431)</f>
        <v>8650</v>
      </c>
      <c r="J213" s="2">
        <f>SUM('Budget Detail FY 2017-24'!S429:S431)</f>
        <v>8650</v>
      </c>
      <c r="K213" s="2">
        <f>SUM('Budget Detail FY 2017-24'!T429:T431)</f>
        <v>8650</v>
      </c>
    </row>
    <row r="214" spans="2:11" ht="20.100000000000001" customHeight="1">
      <c r="B214" s="324" t="s">
        <v>643</v>
      </c>
      <c r="C214" s="2">
        <f>SUM('Budget Detail FY 2017-24'!L432:L437)</f>
        <v>236948</v>
      </c>
      <c r="D214" s="2">
        <f>SUM('Budget Detail FY 2017-24'!M432:M437)</f>
        <v>201102</v>
      </c>
      <c r="E214" s="2">
        <f>SUM('Budget Detail FY 2017-24'!N432:N437)</f>
        <v>216652</v>
      </c>
      <c r="F214" s="2">
        <f>SUM('Budget Detail FY 2017-24'!O432:O437)</f>
        <v>176250</v>
      </c>
      <c r="G214" s="2">
        <f>SUM('Budget Detail FY 2017-24'!P432:P437)</f>
        <v>40112</v>
      </c>
      <c r="H214" s="2">
        <f>SUM('Budget Detail FY 2017-24'!Q432:Q437)</f>
        <v>43254</v>
      </c>
      <c r="I214" s="2">
        <f>SUM('Budget Detail FY 2017-24'!R432:R437)</f>
        <v>47521</v>
      </c>
      <c r="J214" s="2">
        <f>SUM('Budget Detail FY 2017-24'!S432:S437)</f>
        <v>67850</v>
      </c>
      <c r="K214" s="2">
        <f>SUM('Budget Detail FY 2017-24'!T432:T437)</f>
        <v>75435</v>
      </c>
    </row>
    <row r="215" spans="2:11" ht="20.100000000000001" customHeight="1">
      <c r="B215" s="324" t="s">
        <v>644</v>
      </c>
      <c r="C215" s="2">
        <f>SUM('Budget Detail FY 2017-24'!L438:L439)</f>
        <v>86</v>
      </c>
      <c r="D215" s="2">
        <f>SUM('Budget Detail FY 2017-24'!M438:M439)</f>
        <v>596</v>
      </c>
      <c r="E215" s="2">
        <f>SUM('Budget Detail FY 2017-24'!N438:N439)</f>
        <v>150</v>
      </c>
      <c r="F215" s="2">
        <f>SUM('Budget Detail FY 2017-24'!O438:O439)</f>
        <v>850</v>
      </c>
      <c r="G215" s="2">
        <f>SUM('Budget Detail FY 2017-24'!P438:P439)</f>
        <v>850</v>
      </c>
      <c r="H215" s="2">
        <f>SUM('Budget Detail FY 2017-24'!Q438:Q439)</f>
        <v>850</v>
      </c>
      <c r="I215" s="2">
        <f>SUM('Budget Detail FY 2017-24'!R438:R439)</f>
        <v>850</v>
      </c>
      <c r="J215" s="2">
        <f>SUM('Budget Detail FY 2017-24'!S438:S439)</f>
        <v>850</v>
      </c>
      <c r="K215" s="2">
        <f>SUM('Budget Detail FY 2017-24'!T438:T439)</f>
        <v>850</v>
      </c>
    </row>
    <row r="216" spans="2:11" ht="20.100000000000001" customHeight="1">
      <c r="B216" s="324" t="s">
        <v>646</v>
      </c>
      <c r="C216" s="2">
        <f>SUM('Budget Detail FY 2017-24'!L440:L442)</f>
        <v>5535</v>
      </c>
      <c r="D216" s="2">
        <f>SUM('Budget Detail FY 2017-24'!M440:M442)</f>
        <v>1975</v>
      </c>
      <c r="E216" s="2">
        <f>SUM('Budget Detail FY 2017-24'!N440:N442)</f>
        <v>2000</v>
      </c>
      <c r="F216" s="2">
        <f>SUM('Budget Detail FY 2017-24'!O440:O442)</f>
        <v>0</v>
      </c>
      <c r="G216" s="2">
        <f>SUM('Budget Detail FY 2017-24'!P440:P442)</f>
        <v>2000</v>
      </c>
      <c r="H216" s="2">
        <f>SUM('Budget Detail FY 2017-24'!Q440:Q442)</f>
        <v>2000</v>
      </c>
      <c r="I216" s="2">
        <f>SUM('Budget Detail FY 2017-24'!R440:R442)</f>
        <v>2000</v>
      </c>
      <c r="J216" s="2">
        <f>SUM('Budget Detail FY 2017-24'!S440:S442)</f>
        <v>2000</v>
      </c>
      <c r="K216" s="2">
        <f>SUM('Budget Detail FY 2017-24'!T440:T442)</f>
        <v>2000</v>
      </c>
    </row>
    <row r="217" spans="2:11" ht="20.100000000000001" customHeight="1">
      <c r="B217" s="324" t="s">
        <v>647</v>
      </c>
      <c r="C217" s="2">
        <f>SUM('Budget Detail FY 2017-24'!L443:L445)</f>
        <v>254162</v>
      </c>
      <c r="D217" s="2">
        <f>SUM('Budget Detail FY 2017-24'!M443:M445)</f>
        <v>0</v>
      </c>
      <c r="E217" s="2">
        <f>SUM('Budget Detail FY 2017-24'!N443:N445)</f>
        <v>0</v>
      </c>
      <c r="F217" s="2">
        <f>SUM('Budget Detail FY 2017-24'!O443:O445)</f>
        <v>6068</v>
      </c>
      <c r="G217" s="2">
        <f>SUM('Budget Detail FY 2017-24'!P443:P445)</f>
        <v>0</v>
      </c>
      <c r="H217" s="2">
        <f>SUM('Budget Detail FY 2017-24'!Q443:Q445)</f>
        <v>0</v>
      </c>
      <c r="I217" s="2">
        <f>SUM('Budget Detail FY 2017-24'!R443:R445)</f>
        <v>0</v>
      </c>
      <c r="J217" s="2">
        <f>SUM('Budget Detail FY 2017-24'!S443:S445)</f>
        <v>0</v>
      </c>
      <c r="K217" s="2">
        <f>SUM('Budget Detail FY 2017-24'!T443:T445)</f>
        <v>0</v>
      </c>
    </row>
    <row r="218" spans="2:11" ht="20.100000000000001" customHeight="1" thickBot="1">
      <c r="B218" s="123" t="s">
        <v>648</v>
      </c>
      <c r="C218" s="121">
        <f>SUM(C212:C217)</f>
        <v>637389</v>
      </c>
      <c r="D218" s="121">
        <f t="shared" ref="D218:K218" si="18">SUM(D212:D217)</f>
        <v>441978</v>
      </c>
      <c r="E218" s="121">
        <f t="shared" si="18"/>
        <v>370502</v>
      </c>
      <c r="F218" s="121">
        <f t="shared" si="18"/>
        <v>447731</v>
      </c>
      <c r="G218" s="121">
        <f t="shared" si="18"/>
        <v>161112</v>
      </c>
      <c r="H218" s="121">
        <f t="shared" si="18"/>
        <v>164254</v>
      </c>
      <c r="I218" s="121">
        <f t="shared" si="18"/>
        <v>168521</v>
      </c>
      <c r="J218" s="121">
        <f t="shared" si="18"/>
        <v>188850</v>
      </c>
      <c r="K218" s="121">
        <f t="shared" si="18"/>
        <v>196435</v>
      </c>
    </row>
    <row r="219" spans="2:11" ht="7.5" customHeight="1">
      <c r="B219" s="1"/>
      <c r="C219" s="2"/>
      <c r="D219" s="2"/>
      <c r="E219" s="2"/>
      <c r="F219" s="2"/>
      <c r="G219" s="2"/>
      <c r="H219" s="2"/>
      <c r="I219" s="2"/>
      <c r="J219" s="2"/>
      <c r="K219" s="2"/>
    </row>
    <row r="220" spans="2:11">
      <c r="B220" s="124" t="s">
        <v>824</v>
      </c>
      <c r="C220" s="2"/>
      <c r="D220" s="2"/>
      <c r="E220" s="2"/>
      <c r="F220" s="2"/>
      <c r="G220" s="2"/>
      <c r="H220" s="2"/>
      <c r="I220" s="2"/>
      <c r="J220" s="2"/>
      <c r="K220" s="2"/>
    </row>
    <row r="221" spans="2:11" ht="20.100000000000001" customHeight="1">
      <c r="B221" s="325" t="s">
        <v>651</v>
      </c>
      <c r="C221" s="2">
        <f>SUM('Budget Detail FY 2017-24'!L450:L451)</f>
        <v>3460</v>
      </c>
      <c r="D221" s="2">
        <f>SUM('Budget Detail FY 2017-24'!M450:M451)</f>
        <v>18485</v>
      </c>
      <c r="E221" s="2">
        <f>SUM('Budget Detail FY 2017-24'!N450:N451)</f>
        <v>8750</v>
      </c>
      <c r="F221" s="2">
        <f>SUM('Budget Detail FY 2017-24'!O450:O451)</f>
        <v>8750</v>
      </c>
      <c r="G221" s="2">
        <f>SUM('Budget Detail FY 2017-24'!P450:P451)</f>
        <v>8750</v>
      </c>
      <c r="H221" s="2">
        <f>SUM('Budget Detail FY 2017-24'!Q450:Q451)</f>
        <v>8750</v>
      </c>
      <c r="I221" s="2">
        <f>SUM('Budget Detail FY 2017-24'!R450:R451)</f>
        <v>8750</v>
      </c>
      <c r="J221" s="2">
        <f>SUM('Budget Detail FY 2017-24'!S450:S451)</f>
        <v>8750</v>
      </c>
      <c r="K221" s="2">
        <f>SUM('Budget Detail FY 2017-24'!T450:T451)</f>
        <v>8750</v>
      </c>
    </row>
    <row r="222" spans="2:11" ht="20.100000000000001" customHeight="1">
      <c r="B222" s="325" t="s">
        <v>653</v>
      </c>
      <c r="C222" s="2">
        <f>SUM('Budget Detail FY 2017-24'!L452:L453)</f>
        <v>141832</v>
      </c>
      <c r="D222" s="2">
        <f>SUM('Budget Detail FY 2017-24'!M452:M453)</f>
        <v>182317</v>
      </c>
      <c r="E222" s="2">
        <f>SUM('Budget Detail FY 2017-24'!N452:N453)</f>
        <v>160000</v>
      </c>
      <c r="F222" s="2">
        <f>SUM('Budget Detail FY 2017-24'!O452:O453)</f>
        <v>160000</v>
      </c>
      <c r="G222" s="2">
        <f>SUM('Budget Detail FY 2017-24'!P452:P453)</f>
        <v>60000</v>
      </c>
      <c r="H222" s="2">
        <f>SUM('Budget Detail FY 2017-24'!Q452:Q453)</f>
        <v>55000</v>
      </c>
      <c r="I222" s="2">
        <f>SUM('Budget Detail FY 2017-24'!R452:R453)</f>
        <v>55000</v>
      </c>
      <c r="J222" s="2">
        <f>SUM('Budget Detail FY 2017-24'!S452:S453)</f>
        <v>55000</v>
      </c>
      <c r="K222" s="2">
        <f>SUM('Budget Detail FY 2017-24'!T452:T453)</f>
        <v>55000</v>
      </c>
    </row>
    <row r="223" spans="2:11" ht="20.100000000000001" customHeight="1" thickBot="1">
      <c r="B223" s="123" t="s">
        <v>829</v>
      </c>
      <c r="C223" s="135">
        <f t="shared" ref="C223:K223" si="19">SUM(C221:C222)</f>
        <v>145292</v>
      </c>
      <c r="D223" s="135">
        <f t="shared" si="19"/>
        <v>200802</v>
      </c>
      <c r="E223" s="135">
        <f t="shared" si="19"/>
        <v>168750</v>
      </c>
      <c r="F223" s="135">
        <f t="shared" si="19"/>
        <v>168750</v>
      </c>
      <c r="G223" s="135">
        <f t="shared" si="19"/>
        <v>68750</v>
      </c>
      <c r="H223" s="135">
        <f t="shared" si="19"/>
        <v>63750</v>
      </c>
      <c r="I223" s="135">
        <f t="shared" si="19"/>
        <v>63750</v>
      </c>
      <c r="J223" s="135">
        <f t="shared" si="19"/>
        <v>63750</v>
      </c>
      <c r="K223" s="135">
        <f t="shared" si="19"/>
        <v>63750</v>
      </c>
    </row>
    <row r="224" spans="2:11" ht="7.5" customHeight="1">
      <c r="B224" s="126"/>
      <c r="C224" s="4"/>
      <c r="D224" s="4"/>
      <c r="E224" s="4"/>
      <c r="F224" s="4"/>
      <c r="G224" s="4"/>
      <c r="H224" s="4"/>
      <c r="I224" s="4"/>
      <c r="J224" s="4"/>
      <c r="K224" s="4"/>
    </row>
    <row r="225" spans="2:11">
      <c r="B225" s="124" t="s">
        <v>1275</v>
      </c>
      <c r="C225" s="2"/>
      <c r="D225" s="2"/>
      <c r="E225" s="2"/>
      <c r="F225" s="2"/>
      <c r="G225" s="2"/>
      <c r="H225" s="2"/>
      <c r="I225" s="2"/>
      <c r="J225" s="2"/>
      <c r="K225" s="2"/>
    </row>
    <row r="226" spans="2:11" ht="20.100000000000001" customHeight="1">
      <c r="B226" s="325" t="s">
        <v>652</v>
      </c>
      <c r="C226" s="2">
        <f>'Budget Detail FY 2017-24'!L457</f>
        <v>0</v>
      </c>
      <c r="D226" s="2">
        <f>'Budget Detail FY 2017-24'!M457</f>
        <v>0</v>
      </c>
      <c r="E226" s="2">
        <f>'Budget Detail FY 2017-24'!N457</f>
        <v>34411</v>
      </c>
      <c r="F226" s="2">
        <f>'Budget Detail FY 2017-24'!O457</f>
        <v>34411</v>
      </c>
      <c r="G226" s="2">
        <f>'Budget Detail FY 2017-24'!P457</f>
        <v>14080</v>
      </c>
      <c r="H226" s="2">
        <f>'Budget Detail FY 2017-24'!Q457</f>
        <v>16154</v>
      </c>
      <c r="I226" s="2">
        <f>'Budget Detail FY 2017-24'!R457</f>
        <v>20421</v>
      </c>
      <c r="J226" s="2">
        <f>'Budget Detail FY 2017-24'!S457</f>
        <v>37924</v>
      </c>
      <c r="K226" s="2">
        <f>'Budget Detail FY 2017-24'!T457</f>
        <v>43700</v>
      </c>
    </row>
    <row r="227" spans="2:11" ht="20.100000000000001" customHeight="1">
      <c r="B227" s="325" t="s">
        <v>653</v>
      </c>
      <c r="C227" s="2">
        <f>'Budget Detail FY 2017-24'!L458</f>
        <v>0</v>
      </c>
      <c r="D227" s="2">
        <f>'Budget Detail FY 2017-24'!M458</f>
        <v>0</v>
      </c>
      <c r="E227" s="2">
        <f>'Budget Detail FY 2017-24'!N458</f>
        <v>40000</v>
      </c>
      <c r="F227" s="2">
        <f>'Budget Detail FY 2017-24'!O458</f>
        <v>44985</v>
      </c>
      <c r="G227" s="2">
        <f>'Budget Detail FY 2017-24'!P458</f>
        <v>0</v>
      </c>
      <c r="H227" s="2">
        <f>'Budget Detail FY 2017-24'!Q458</f>
        <v>0</v>
      </c>
      <c r="I227" s="2">
        <f>'Budget Detail FY 2017-24'!R458</f>
        <v>0</v>
      </c>
      <c r="J227" s="2">
        <f>'Budget Detail FY 2017-24'!S458</f>
        <v>0</v>
      </c>
      <c r="K227" s="2">
        <f>'Budget Detail FY 2017-24'!T458</f>
        <v>0</v>
      </c>
    </row>
    <row r="228" spans="2:11" ht="20.100000000000001" customHeight="1" thickBot="1">
      <c r="B228" s="123" t="s">
        <v>829</v>
      </c>
      <c r="C228" s="135">
        <f>SUM(C226:C227)</f>
        <v>0</v>
      </c>
      <c r="D228" s="135">
        <f t="shared" ref="D228:K228" si="20">SUM(D226:D227)</f>
        <v>0</v>
      </c>
      <c r="E228" s="135">
        <f t="shared" si="20"/>
        <v>74411</v>
      </c>
      <c r="F228" s="135">
        <f t="shared" si="20"/>
        <v>79396</v>
      </c>
      <c r="G228" s="135">
        <f t="shared" si="20"/>
        <v>14080</v>
      </c>
      <c r="H228" s="135">
        <f t="shared" si="20"/>
        <v>16154</v>
      </c>
      <c r="I228" s="135">
        <f t="shared" si="20"/>
        <v>20421</v>
      </c>
      <c r="J228" s="135">
        <f t="shared" si="20"/>
        <v>37924</v>
      </c>
      <c r="K228" s="135">
        <f t="shared" si="20"/>
        <v>43700</v>
      </c>
    </row>
    <row r="229" spans="2:11" ht="7.5" customHeight="1">
      <c r="B229" s="126"/>
      <c r="C229" s="4"/>
      <c r="D229" s="4"/>
      <c r="E229" s="4"/>
      <c r="F229" s="4"/>
      <c r="G229" s="4"/>
      <c r="H229" s="4"/>
      <c r="I229" s="4"/>
      <c r="J229" s="4"/>
      <c r="K229" s="4"/>
    </row>
    <row r="230" spans="2:11">
      <c r="B230" s="124" t="s">
        <v>825</v>
      </c>
      <c r="C230" s="2"/>
      <c r="D230" s="2"/>
      <c r="E230" s="2"/>
      <c r="F230" s="2"/>
      <c r="G230" s="2"/>
      <c r="H230" s="2"/>
      <c r="I230" s="2"/>
      <c r="J230" s="2"/>
      <c r="K230" s="2"/>
    </row>
    <row r="231" spans="2:11" ht="20.100000000000001" customHeight="1">
      <c r="B231" s="325" t="s">
        <v>651</v>
      </c>
      <c r="C231" s="2">
        <f>SUM('Budget Detail FY 2017-24'!L462:L463)</f>
        <v>26244</v>
      </c>
      <c r="D231" s="2">
        <f>SUM('Budget Detail FY 2017-24'!M462:M463)</f>
        <v>34464</v>
      </c>
      <c r="E231" s="2">
        <f>SUM('Budget Detail FY 2017-24'!N462:N463)</f>
        <v>1750</v>
      </c>
      <c r="F231" s="2">
        <f>SUM('Budget Detail FY 2017-24'!O462:O463)</f>
        <v>784</v>
      </c>
      <c r="G231" s="2">
        <f>SUM('Budget Detail FY 2017-24'!P462:P463)</f>
        <v>750</v>
      </c>
      <c r="H231" s="2">
        <f>SUM('Budget Detail FY 2017-24'!Q462:Q463)</f>
        <v>750</v>
      </c>
      <c r="I231" s="2">
        <f>SUM('Budget Detail FY 2017-24'!R462:R463)</f>
        <v>750</v>
      </c>
      <c r="J231" s="2">
        <f>SUM('Budget Detail FY 2017-24'!S462:S463)</f>
        <v>750</v>
      </c>
      <c r="K231" s="2">
        <f>SUM('Budget Detail FY 2017-24'!T462:T463)</f>
        <v>750</v>
      </c>
    </row>
    <row r="232" spans="2:11" ht="20.100000000000001" customHeight="1">
      <c r="B232" s="325" t="s">
        <v>652</v>
      </c>
      <c r="C232" s="2">
        <f>'Budget Detail FY 2017-24'!L464</f>
        <v>0</v>
      </c>
      <c r="D232" s="2">
        <f>'Budget Detail FY 2017-24'!M464</f>
        <v>0</v>
      </c>
      <c r="E232" s="2">
        <f>'Budget Detail FY 2017-24'!N464</f>
        <v>2000</v>
      </c>
      <c r="F232" s="2">
        <f>'Budget Detail FY 2017-24'!O464</f>
        <v>0</v>
      </c>
      <c r="G232" s="2">
        <f>'Budget Detail FY 2017-24'!P464</f>
        <v>2000</v>
      </c>
      <c r="H232" s="2">
        <f>'Budget Detail FY 2017-24'!Q464</f>
        <v>2000</v>
      </c>
      <c r="I232" s="2">
        <f>'Budget Detail FY 2017-24'!R464</f>
        <v>2000</v>
      </c>
      <c r="J232" s="2">
        <f>'Budget Detail FY 2017-24'!S464</f>
        <v>2000</v>
      </c>
      <c r="K232" s="2">
        <f>'Budget Detail FY 2017-24'!T464</f>
        <v>2000</v>
      </c>
    </row>
    <row r="233" spans="2:11" ht="20.100000000000001" customHeight="1">
      <c r="B233" s="325" t="s">
        <v>653</v>
      </c>
      <c r="C233" s="2">
        <f>SUM('Budget Detail FY 2017-24'!L465:L466)</f>
        <v>68522</v>
      </c>
      <c r="D233" s="2">
        <f>SUM('Budget Detail FY 2017-24'!M465:M466)</f>
        <v>20821</v>
      </c>
      <c r="E233" s="2">
        <f>SUM('Budget Detail FY 2017-24'!N465:N466)</f>
        <v>48200</v>
      </c>
      <c r="F233" s="2">
        <f>SUM('Budget Detail FY 2017-24'!O465:O466)</f>
        <v>48200</v>
      </c>
      <c r="G233" s="2">
        <f>SUM('Budget Detail FY 2017-24'!P465:P466)</f>
        <v>7000</v>
      </c>
      <c r="H233" s="2">
        <f>SUM('Budget Detail FY 2017-24'!Q465:Q466)</f>
        <v>7000</v>
      </c>
      <c r="I233" s="2">
        <f>SUM('Budget Detail FY 2017-24'!R465:R466)</f>
        <v>7000</v>
      </c>
      <c r="J233" s="2">
        <f>SUM('Budget Detail FY 2017-24'!S465:S466)</f>
        <v>14000</v>
      </c>
      <c r="K233" s="2">
        <f>SUM('Budget Detail FY 2017-24'!T465:T466)</f>
        <v>0</v>
      </c>
    </row>
    <row r="234" spans="2:11" ht="20.100000000000001" customHeight="1">
      <c r="B234" s="325" t="s">
        <v>593</v>
      </c>
      <c r="C234" s="2">
        <f>SUM('Budget Detail FY 2017-24'!L468:L469)</f>
        <v>70815</v>
      </c>
      <c r="D234" s="2">
        <f>SUM('Budget Detail FY 2017-24'!M468:M469)</f>
        <v>70815</v>
      </c>
      <c r="E234" s="2">
        <f>SUM('Budget Detail FY 2017-24'!N468:N469)</f>
        <v>70815</v>
      </c>
      <c r="F234" s="2">
        <f>SUM('Budget Detail FY 2017-24'!O468:O469)</f>
        <v>72778</v>
      </c>
      <c r="G234" s="2">
        <f>SUM('Budget Detail FY 2017-24'!P468:P469)</f>
        <v>75524</v>
      </c>
      <c r="H234" s="2">
        <f>SUM('Budget Detail FY 2017-24'!Q468:Q469)</f>
        <v>75523</v>
      </c>
      <c r="I234" s="2">
        <f>SUM('Budget Detail FY 2017-24'!R468:R469)</f>
        <v>75523</v>
      </c>
      <c r="J234" s="2">
        <f>SUM('Budget Detail FY 2017-24'!S468:S469)</f>
        <v>75524</v>
      </c>
      <c r="K234" s="2">
        <f>SUM('Budget Detail FY 2017-24'!T468:T469)</f>
        <v>75523</v>
      </c>
    </row>
    <row r="235" spans="2:11" ht="20.100000000000001" customHeight="1" thickBot="1">
      <c r="B235" s="123" t="s">
        <v>829</v>
      </c>
      <c r="C235" s="135">
        <f>SUM(C231:C234)</f>
        <v>165581</v>
      </c>
      <c r="D235" s="135">
        <f t="shared" ref="D235:K235" si="21">SUM(D231:D234)</f>
        <v>126100</v>
      </c>
      <c r="E235" s="135">
        <f t="shared" si="21"/>
        <v>122765</v>
      </c>
      <c r="F235" s="135">
        <f t="shared" si="21"/>
        <v>121762</v>
      </c>
      <c r="G235" s="135">
        <f t="shared" si="21"/>
        <v>85274</v>
      </c>
      <c r="H235" s="135">
        <f t="shared" si="21"/>
        <v>85273</v>
      </c>
      <c r="I235" s="135">
        <f t="shared" si="21"/>
        <v>85273</v>
      </c>
      <c r="J235" s="135">
        <f t="shared" si="21"/>
        <v>92274</v>
      </c>
      <c r="K235" s="135">
        <f t="shared" si="21"/>
        <v>78273</v>
      </c>
    </row>
    <row r="236" spans="2:11" ht="7.5" customHeight="1">
      <c r="B236" s="126"/>
      <c r="C236" s="4"/>
      <c r="D236" s="4"/>
      <c r="E236" s="4"/>
      <c r="F236" s="4"/>
      <c r="G236" s="4"/>
      <c r="H236" s="4"/>
      <c r="I236" s="4"/>
      <c r="J236" s="4"/>
      <c r="K236" s="4"/>
    </row>
    <row r="237" spans="2:11">
      <c r="B237" s="124" t="s">
        <v>955</v>
      </c>
      <c r="C237" s="2"/>
      <c r="D237" s="2"/>
      <c r="E237" s="2"/>
      <c r="F237" s="2"/>
      <c r="G237" s="2"/>
      <c r="H237" s="2"/>
      <c r="I237" s="2"/>
      <c r="J237" s="2"/>
      <c r="K237" s="2"/>
    </row>
    <row r="238" spans="2:11" ht="20.100000000000001" customHeight="1">
      <c r="B238" s="325" t="s">
        <v>651</v>
      </c>
      <c r="C238" s="2">
        <f>'Budget Detail FY 2017-24'!L473+'Budget Detail FY 2017-24'!L474+'Budget Detail FY 2017-24'!L475</f>
        <v>1822</v>
      </c>
      <c r="D238" s="2">
        <f>'Budget Detail FY 2017-24'!M473+'Budget Detail FY 2017-24'!M474+'Budget Detail FY 2017-24'!M475</f>
        <v>850</v>
      </c>
      <c r="E238" s="2">
        <f>'Budget Detail FY 2017-24'!N473+'Budget Detail FY 2017-24'!N474+'Budget Detail FY 2017-24'!N475</f>
        <v>0</v>
      </c>
      <c r="F238" s="2">
        <f>'Budget Detail FY 2017-24'!O473+'Budget Detail FY 2017-24'!O474+'Budget Detail FY 2017-24'!O475</f>
        <v>0</v>
      </c>
      <c r="G238" s="2">
        <f>'Budget Detail FY 2017-24'!P473+'Budget Detail FY 2017-24'!P474+'Budget Detail FY 2017-24'!P475</f>
        <v>5000</v>
      </c>
      <c r="H238" s="2">
        <f>'Budget Detail FY 2017-24'!Q473+'Budget Detail FY 2017-24'!Q474+'Budget Detail FY 2017-24'!Q475</f>
        <v>2000</v>
      </c>
      <c r="I238" s="2">
        <f>'Budget Detail FY 2017-24'!R473+'Budget Detail FY 2017-24'!R474+'Budget Detail FY 2017-24'!R475</f>
        <v>2000</v>
      </c>
      <c r="J238" s="2">
        <f>'Budget Detail FY 2017-24'!S473+'Budget Detail FY 2017-24'!S474+'Budget Detail FY 2017-24'!S475</f>
        <v>2000</v>
      </c>
      <c r="K238" s="2">
        <f>'Budget Detail FY 2017-24'!T473+'Budget Detail FY 2017-24'!T474+'Budget Detail FY 2017-24'!T475</f>
        <v>2000</v>
      </c>
    </row>
    <row r="239" spans="2:11" ht="20.100000000000001" customHeight="1">
      <c r="B239" s="325" t="s">
        <v>653</v>
      </c>
      <c r="C239" s="2">
        <f>SUM('Budget Detail FY 2017-24'!L476:L477)</f>
        <v>53908</v>
      </c>
      <c r="D239" s="2">
        <f>SUM('Budget Detail FY 2017-24'!M476:M477)</f>
        <v>25167</v>
      </c>
      <c r="E239" s="2">
        <f>SUM('Budget Detail FY 2017-24'!N476:N477)</f>
        <v>50000</v>
      </c>
      <c r="F239" s="2">
        <f>SUM('Budget Detail FY 2017-24'!O476:O477)</f>
        <v>50000</v>
      </c>
      <c r="G239" s="2">
        <f>SUM('Budget Detail FY 2017-24'!P476:P477)</f>
        <v>50000</v>
      </c>
      <c r="H239" s="2">
        <f>SUM('Budget Detail FY 2017-24'!Q476:Q477)</f>
        <v>0</v>
      </c>
      <c r="I239" s="2">
        <f>SUM('Budget Detail FY 2017-24'!R476:R477)</f>
        <v>0</v>
      </c>
      <c r="J239" s="2">
        <f>SUM('Budget Detail FY 2017-24'!S476:S477)</f>
        <v>0</v>
      </c>
      <c r="K239" s="2">
        <f>SUM('Budget Detail FY 2017-24'!T476:T477)</f>
        <v>0</v>
      </c>
    </row>
    <row r="240" spans="2:11" ht="20.100000000000001" customHeight="1">
      <c r="B240" s="325" t="s">
        <v>593</v>
      </c>
      <c r="C240" s="2">
        <f>SUM('Budget Detail FY 2017-24'!L479:L480)</f>
        <v>2219</v>
      </c>
      <c r="D240" s="2">
        <f>SUM('Budget Detail FY 2017-24'!M479:M480)</f>
        <v>2219</v>
      </c>
      <c r="E240" s="2">
        <f>SUM('Budget Detail FY 2017-24'!N479:N480)</f>
        <v>2219</v>
      </c>
      <c r="F240" s="2">
        <f>SUM('Budget Detail FY 2017-24'!O479:O480)</f>
        <v>2280</v>
      </c>
      <c r="G240" s="2">
        <f>SUM('Budget Detail FY 2017-24'!P479:P480)</f>
        <v>2366</v>
      </c>
      <c r="H240" s="2">
        <f>SUM('Budget Detail FY 2017-24'!Q479:Q480)</f>
        <v>2366</v>
      </c>
      <c r="I240" s="2">
        <f>SUM('Budget Detail FY 2017-24'!R479:R480)</f>
        <v>2367</v>
      </c>
      <c r="J240" s="2">
        <f>SUM('Budget Detail FY 2017-24'!S479:S480)</f>
        <v>2366</v>
      </c>
      <c r="K240" s="2">
        <f>SUM('Budget Detail FY 2017-24'!T479:T480)</f>
        <v>2367</v>
      </c>
    </row>
    <row r="241" spans="2:11" ht="20.100000000000001" customHeight="1" thickBot="1">
      <c r="B241" s="123" t="s">
        <v>829</v>
      </c>
      <c r="C241" s="135">
        <f t="shared" ref="C241:K241" si="22">SUM(C238:C240)</f>
        <v>57949</v>
      </c>
      <c r="D241" s="135">
        <f t="shared" si="22"/>
        <v>28236</v>
      </c>
      <c r="E241" s="135">
        <f t="shared" si="22"/>
        <v>52219</v>
      </c>
      <c r="F241" s="135">
        <f t="shared" si="22"/>
        <v>52280</v>
      </c>
      <c r="G241" s="135">
        <f t="shared" si="22"/>
        <v>57366</v>
      </c>
      <c r="H241" s="135">
        <f t="shared" si="22"/>
        <v>4366</v>
      </c>
      <c r="I241" s="135">
        <f t="shared" si="22"/>
        <v>4367</v>
      </c>
      <c r="J241" s="135">
        <f t="shared" si="22"/>
        <v>4366</v>
      </c>
      <c r="K241" s="135">
        <f t="shared" si="22"/>
        <v>4367</v>
      </c>
    </row>
    <row r="242" spans="2:11" ht="7.5" customHeight="1">
      <c r="B242" s="126"/>
      <c r="C242" s="4"/>
      <c r="D242" s="4"/>
      <c r="E242" s="4"/>
      <c r="F242" s="4"/>
      <c r="G242" s="4"/>
      <c r="H242" s="4"/>
      <c r="I242" s="4"/>
      <c r="J242" s="4"/>
      <c r="K242" s="4"/>
    </row>
    <row r="243" spans="2:11" ht="20.100000000000001" customHeight="1" thickBot="1">
      <c r="B243" s="123" t="s">
        <v>655</v>
      </c>
      <c r="C243" s="121">
        <f t="shared" ref="C243:K243" si="23">C223+C235+C241+C228</f>
        <v>368822</v>
      </c>
      <c r="D243" s="121">
        <f t="shared" si="23"/>
        <v>355138</v>
      </c>
      <c r="E243" s="121">
        <f t="shared" si="23"/>
        <v>418145</v>
      </c>
      <c r="F243" s="121">
        <f t="shared" si="23"/>
        <v>422188</v>
      </c>
      <c r="G243" s="121">
        <f t="shared" si="23"/>
        <v>225470</v>
      </c>
      <c r="H243" s="121">
        <f t="shared" si="23"/>
        <v>169543</v>
      </c>
      <c r="I243" s="121">
        <f t="shared" si="23"/>
        <v>173811</v>
      </c>
      <c r="J243" s="121">
        <f t="shared" si="23"/>
        <v>198314</v>
      </c>
      <c r="K243" s="121">
        <f t="shared" si="23"/>
        <v>190090</v>
      </c>
    </row>
    <row r="244" spans="2:11" ht="7.5" customHeight="1">
      <c r="B244" s="126"/>
      <c r="C244" s="4"/>
      <c r="D244" s="4"/>
      <c r="E244" s="4"/>
      <c r="F244" s="4"/>
      <c r="G244" s="4"/>
      <c r="H244" s="4"/>
      <c r="I244" s="4"/>
      <c r="J244" s="4"/>
      <c r="K244" s="4"/>
    </row>
    <row r="245" spans="2:11" ht="20.100000000000001" customHeight="1">
      <c r="B245" s="327" t="s">
        <v>656</v>
      </c>
      <c r="C245" s="3">
        <f t="shared" ref="C245:K245" si="24">C218-C243</f>
        <v>268567</v>
      </c>
      <c r="D245" s="3">
        <f t="shared" si="24"/>
        <v>86840</v>
      </c>
      <c r="E245" s="3">
        <f t="shared" si="24"/>
        <v>-47643</v>
      </c>
      <c r="F245" s="3">
        <f t="shared" si="24"/>
        <v>25543</v>
      </c>
      <c r="G245" s="3">
        <f t="shared" si="24"/>
        <v>-64358</v>
      </c>
      <c r="H245" s="3">
        <f t="shared" si="24"/>
        <v>-5289</v>
      </c>
      <c r="I245" s="3">
        <f t="shared" si="24"/>
        <v>-5290</v>
      </c>
      <c r="J245" s="3">
        <f t="shared" si="24"/>
        <v>-9464</v>
      </c>
      <c r="K245" s="3">
        <f t="shared" si="24"/>
        <v>6345</v>
      </c>
    </row>
    <row r="246" spans="2:11" ht="7.5" customHeight="1">
      <c r="B246" s="133"/>
      <c r="C246" s="106"/>
      <c r="D246" s="106"/>
      <c r="E246" s="106"/>
      <c r="F246" s="106"/>
      <c r="G246" s="106"/>
      <c r="H246" s="106"/>
      <c r="I246" s="106"/>
      <c r="J246" s="106"/>
      <c r="K246" s="106"/>
    </row>
    <row r="247" spans="2:11">
      <c r="B247" s="134" t="s">
        <v>826</v>
      </c>
      <c r="C247" s="93">
        <v>0</v>
      </c>
      <c r="D247" s="93">
        <v>0</v>
      </c>
      <c r="E247" s="93">
        <v>0</v>
      </c>
      <c r="F247" s="93">
        <f>'Budget Detail FY 2017-24'!O487</f>
        <v>6068</v>
      </c>
      <c r="G247" s="93">
        <f>'Budget Detail FY 2017-24'!P487</f>
        <v>0</v>
      </c>
      <c r="H247" s="93">
        <f>'Budget Detail FY 2017-24'!Q487</f>
        <v>0</v>
      </c>
      <c r="I247" s="93">
        <f>'Budget Detail FY 2017-24'!R487</f>
        <v>0</v>
      </c>
      <c r="J247" s="93">
        <f>'Budget Detail FY 2017-24'!S487</f>
        <v>0</v>
      </c>
      <c r="K247" s="93">
        <f>'Budget Detail FY 2017-24'!T487</f>
        <v>0</v>
      </c>
    </row>
    <row r="248" spans="2:11" ht="7.5" customHeight="1">
      <c r="B248" s="134"/>
      <c r="C248" s="93"/>
      <c r="D248" s="93"/>
      <c r="E248" s="93"/>
      <c r="F248" s="93"/>
      <c r="G248" s="93"/>
      <c r="H248" s="93"/>
      <c r="I248" s="93"/>
      <c r="J248" s="93"/>
      <c r="K248" s="93"/>
    </row>
    <row r="249" spans="2:11">
      <c r="B249" s="134" t="s">
        <v>1274</v>
      </c>
      <c r="C249" s="93">
        <f>'Budget Detail FY 2017-24'!L489</f>
        <v>0</v>
      </c>
      <c r="D249" s="93">
        <f>'Budget Detail FY 2017-24'!M489</f>
        <v>0</v>
      </c>
      <c r="E249" s="93">
        <f>'Budget Detail FY 2017-24'!N489</f>
        <v>0</v>
      </c>
      <c r="F249" s="93">
        <f>'Budget Detail FY 2017-24'!O489</f>
        <v>0</v>
      </c>
      <c r="G249" s="93">
        <f>'Budget Detail FY 2017-24'!P489</f>
        <v>0</v>
      </c>
      <c r="H249" s="93">
        <f>'Budget Detail FY 2017-24'!Q489</f>
        <v>0</v>
      </c>
      <c r="I249" s="93">
        <f>'Budget Detail FY 2017-24'!R489</f>
        <v>0</v>
      </c>
      <c r="J249" s="93">
        <f>'Budget Detail FY 2017-24'!S489</f>
        <v>0</v>
      </c>
      <c r="K249" s="93">
        <f>'Budget Detail FY 2017-24'!T489</f>
        <v>0</v>
      </c>
    </row>
    <row r="250" spans="2:11">
      <c r="B250" s="134" t="s">
        <v>827</v>
      </c>
      <c r="C250" s="93">
        <v>0</v>
      </c>
      <c r="D250" s="93">
        <v>37930</v>
      </c>
      <c r="E250" s="93">
        <v>6435</v>
      </c>
      <c r="F250" s="93">
        <f>'Budget Detail FY 2017-24'!O491</f>
        <v>98335</v>
      </c>
      <c r="G250" s="93">
        <f>'Budget Detail FY 2017-24'!P491</f>
        <v>91561</v>
      </c>
      <c r="H250" s="93">
        <f>'Budget Detail FY 2017-24'!Q491</f>
        <v>84788</v>
      </c>
      <c r="I250" s="93">
        <f>'Budget Detail FY 2017-24'!R491</f>
        <v>78015</v>
      </c>
      <c r="J250" s="93">
        <f>'Budget Detail FY 2017-24'!S491</f>
        <v>67067</v>
      </c>
      <c r="K250" s="93">
        <f>'Budget Detail FY 2017-24'!T491</f>
        <v>71929</v>
      </c>
    </row>
    <row r="251" spans="2:11" ht="7.5" customHeight="1">
      <c r="B251" s="134"/>
      <c r="C251" s="93"/>
      <c r="D251" s="93"/>
      <c r="E251" s="93"/>
      <c r="F251" s="93"/>
      <c r="G251" s="93"/>
      <c r="H251" s="93"/>
      <c r="I251" s="93"/>
      <c r="J251" s="93"/>
      <c r="K251" s="93"/>
    </row>
    <row r="252" spans="2:11">
      <c r="B252" s="134" t="s">
        <v>956</v>
      </c>
      <c r="C252" s="93">
        <v>270407</v>
      </c>
      <c r="D252" s="93">
        <v>319316</v>
      </c>
      <c r="E252" s="93">
        <v>257366</v>
      </c>
      <c r="F252" s="93">
        <f>'Budget Detail FY 2017-24'!O493</f>
        <v>278386</v>
      </c>
      <c r="G252" s="93">
        <f>'Budget Detail FY 2017-24'!P493</f>
        <v>226870</v>
      </c>
      <c r="H252" s="93">
        <f>'Budget Detail FY 2017-24'!Q493</f>
        <v>228354</v>
      </c>
      <c r="I252" s="93">
        <f>'Budget Detail FY 2017-24'!R493</f>
        <v>229837</v>
      </c>
      <c r="J252" s="93">
        <f>'Budget Detail FY 2017-24'!S493</f>
        <v>231321</v>
      </c>
      <c r="K252" s="93">
        <f>'Budget Detail FY 2017-24'!T493</f>
        <v>232804</v>
      </c>
    </row>
    <row r="253" spans="2:11" ht="7.5" customHeight="1">
      <c r="B253" s="134"/>
      <c r="C253" s="93"/>
      <c r="D253" s="93"/>
      <c r="E253" s="93"/>
      <c r="F253" s="93"/>
      <c r="G253" s="93"/>
      <c r="H253" s="93"/>
      <c r="I253" s="93"/>
      <c r="J253" s="93"/>
      <c r="K253" s="93"/>
    </row>
    <row r="254" spans="2:11" ht="15.75" customHeight="1" thickBot="1">
      <c r="B254" s="122" t="s">
        <v>657</v>
      </c>
      <c r="C254" s="79">
        <v>270407</v>
      </c>
      <c r="D254" s="79">
        <v>357246</v>
      </c>
      <c r="E254" s="79">
        <v>263801</v>
      </c>
      <c r="F254" s="79">
        <f>D254+F245</f>
        <v>382789</v>
      </c>
      <c r="G254" s="79">
        <f>F254+G245</f>
        <v>318431</v>
      </c>
      <c r="H254" s="79">
        <f>G254+H245</f>
        <v>313142</v>
      </c>
      <c r="I254" s="79">
        <f>H254+I245</f>
        <v>307852</v>
      </c>
      <c r="J254" s="79">
        <f>I254+J245</f>
        <v>298388</v>
      </c>
      <c r="K254" s="79">
        <f>J254+K245</f>
        <v>304733</v>
      </c>
    </row>
    <row r="255" spans="2:11" ht="7.5" customHeight="1" thickTop="1">
      <c r="B255" s="128"/>
      <c r="C255" s="3"/>
      <c r="D255" s="3"/>
      <c r="E255" s="3"/>
      <c r="F255" s="2"/>
      <c r="G255" s="2"/>
      <c r="H255" s="2"/>
      <c r="I255" s="2"/>
      <c r="J255" s="2"/>
      <c r="K255" s="2"/>
    </row>
    <row r="256" spans="2:11">
      <c r="B256" s="128"/>
      <c r="C256" s="2"/>
      <c r="D256" s="2"/>
      <c r="E256" s="2"/>
      <c r="F256" s="2"/>
      <c r="G256" s="2"/>
      <c r="H256" s="2"/>
      <c r="I256" s="2"/>
      <c r="J256" s="2"/>
      <c r="K256" s="2"/>
    </row>
    <row r="257" spans="2:11">
      <c r="B257" s="1"/>
      <c r="C257" s="2"/>
      <c r="D257" s="2"/>
      <c r="E257" s="2"/>
      <c r="F257" s="2"/>
      <c r="G257" s="2"/>
      <c r="H257" s="2"/>
      <c r="I257" s="2"/>
      <c r="J257" s="2"/>
      <c r="K257" s="2"/>
    </row>
    <row r="258" spans="2:11">
      <c r="B258" s="1"/>
      <c r="C258" s="2"/>
      <c r="D258" s="2"/>
      <c r="E258" s="2"/>
      <c r="F258" s="2"/>
      <c r="G258" s="2"/>
      <c r="H258" s="2"/>
      <c r="I258" s="2"/>
      <c r="J258" s="2"/>
      <c r="K258" s="2"/>
    </row>
    <row r="259" spans="2:11">
      <c r="B259" s="1"/>
      <c r="C259" s="2"/>
      <c r="D259" s="2"/>
      <c r="E259" s="2"/>
      <c r="F259" s="2"/>
      <c r="G259" s="2"/>
      <c r="H259" s="2"/>
      <c r="I259" s="2"/>
      <c r="J259" s="2"/>
      <c r="K259" s="2"/>
    </row>
    <row r="260" spans="2:11">
      <c r="B260" s="1"/>
      <c r="C260" s="2"/>
      <c r="D260" s="2"/>
      <c r="E260" s="2"/>
      <c r="F260" s="2"/>
      <c r="G260" s="2"/>
      <c r="H260" s="2"/>
      <c r="I260" s="2"/>
      <c r="J260" s="2"/>
      <c r="K260" s="2"/>
    </row>
    <row r="261" spans="2:11">
      <c r="B261" s="1"/>
      <c r="C261" s="2"/>
      <c r="D261" s="2"/>
      <c r="E261" s="2"/>
      <c r="F261" s="2"/>
      <c r="G261" s="2"/>
      <c r="H261" s="2"/>
      <c r="I261" s="2"/>
      <c r="J261" s="2"/>
      <c r="K261" s="2"/>
    </row>
    <row r="262" spans="2:11">
      <c r="B262" s="1"/>
      <c r="C262" s="2"/>
      <c r="D262" s="2"/>
      <c r="E262" s="2"/>
      <c r="F262" s="2"/>
      <c r="G262" s="2"/>
      <c r="H262" s="2"/>
      <c r="I262" s="2"/>
      <c r="J262" s="2"/>
      <c r="K262" s="2"/>
    </row>
    <row r="263" spans="2:11">
      <c r="B263" s="1"/>
      <c r="C263" s="2"/>
      <c r="D263" s="2"/>
      <c r="E263" s="2"/>
      <c r="F263" s="2"/>
      <c r="G263" s="2"/>
      <c r="H263" s="2"/>
      <c r="I263" s="2"/>
      <c r="J263" s="2"/>
      <c r="K263" s="2"/>
    </row>
    <row r="264" spans="2:11">
      <c r="B264" s="1"/>
      <c r="C264" s="2"/>
      <c r="D264" s="2"/>
      <c r="E264" s="2"/>
      <c r="F264" s="2"/>
      <c r="G264" s="2"/>
      <c r="H264" s="2"/>
      <c r="I264" s="2"/>
      <c r="J264" s="2"/>
      <c r="K264" s="2"/>
    </row>
    <row r="265" spans="2:11">
      <c r="B265" s="1"/>
      <c r="C265" s="2"/>
      <c r="D265" s="2"/>
      <c r="E265" s="2"/>
      <c r="F265" s="2"/>
      <c r="G265" s="2"/>
      <c r="H265" s="2"/>
      <c r="I265" s="2"/>
      <c r="J265" s="2"/>
      <c r="K265" s="2"/>
    </row>
    <row r="266" spans="2:11">
      <c r="B266" s="1"/>
      <c r="C266" s="2"/>
      <c r="D266" s="2"/>
      <c r="E266" s="2"/>
      <c r="F266" s="2"/>
      <c r="G266" s="2"/>
      <c r="H266" s="2"/>
      <c r="I266" s="2"/>
      <c r="J266" s="2"/>
      <c r="K266" s="2"/>
    </row>
    <row r="268" spans="2:11">
      <c r="B268" s="476" t="s">
        <v>664</v>
      </c>
      <c r="C268" s="476"/>
      <c r="D268" s="476"/>
      <c r="E268" s="476"/>
      <c r="F268" s="476"/>
      <c r="G268" s="476"/>
      <c r="H268" s="476"/>
      <c r="I268" s="476"/>
      <c r="J268" s="476"/>
      <c r="K268" s="476"/>
    </row>
    <row r="269" spans="2:11">
      <c r="B269" s="63"/>
      <c r="C269" s="3"/>
      <c r="D269" s="2"/>
      <c r="E269" s="2"/>
      <c r="F269" s="2"/>
      <c r="G269" s="2"/>
      <c r="H269" s="2"/>
      <c r="I269" s="2"/>
      <c r="J269" s="2"/>
      <c r="K269" s="2"/>
    </row>
    <row r="270" spans="2:11" ht="12.75" customHeight="1">
      <c r="B270" s="467" t="s">
        <v>1041</v>
      </c>
      <c r="C270" s="467"/>
      <c r="D270" s="467"/>
      <c r="E270" s="467"/>
      <c r="F270" s="467"/>
      <c r="G270" s="467"/>
      <c r="H270" s="467"/>
      <c r="I270" s="467"/>
      <c r="J270" s="467"/>
      <c r="K270" s="467"/>
    </row>
    <row r="271" spans="2:11" ht="20.25" customHeight="1">
      <c r="B271" s="467"/>
      <c r="C271" s="467"/>
      <c r="D271" s="467"/>
      <c r="E271" s="467"/>
      <c r="F271" s="467"/>
      <c r="G271" s="467"/>
      <c r="H271" s="467"/>
      <c r="I271" s="467"/>
      <c r="J271" s="467"/>
      <c r="K271" s="467"/>
    </row>
    <row r="272" spans="2:11">
      <c r="B272" s="332"/>
      <c r="C272" s="21"/>
      <c r="D272" s="21"/>
      <c r="E272" s="21"/>
      <c r="F272" s="21"/>
      <c r="G272" s="21"/>
      <c r="H272" s="21"/>
      <c r="I272" s="21"/>
      <c r="J272" s="21"/>
      <c r="K272" s="21"/>
    </row>
    <row r="273" spans="2:11">
      <c r="B273" s="5"/>
      <c r="C273" s="64"/>
      <c r="D273" s="1"/>
      <c r="E273" s="64" t="s">
        <v>864</v>
      </c>
      <c r="F273" s="1"/>
      <c r="G273" s="1"/>
      <c r="H273" s="1"/>
      <c r="I273" s="1"/>
      <c r="J273" s="1"/>
      <c r="K273" s="1"/>
    </row>
    <row r="274" spans="2:11">
      <c r="B274" s="64"/>
      <c r="C274" s="63" t="s">
        <v>234</v>
      </c>
      <c r="D274" s="64" t="s">
        <v>790</v>
      </c>
      <c r="E274" s="64" t="s">
        <v>637</v>
      </c>
      <c r="F274" s="64" t="s">
        <v>864</v>
      </c>
      <c r="G274" s="64" t="s">
        <v>895</v>
      </c>
      <c r="H274" s="64" t="s">
        <v>896</v>
      </c>
      <c r="I274" s="64" t="s">
        <v>897</v>
      </c>
      <c r="J274" s="64" t="s">
        <v>898</v>
      </c>
      <c r="K274" s="64" t="s">
        <v>899</v>
      </c>
    </row>
    <row r="275" spans="2:11" ht="14.4" thickBot="1">
      <c r="B275" s="130"/>
      <c r="C275" s="66" t="s">
        <v>1</v>
      </c>
      <c r="D275" s="66" t="s">
        <v>1</v>
      </c>
      <c r="E275" s="66" t="s">
        <v>605</v>
      </c>
      <c r="F275" s="66" t="s">
        <v>19</v>
      </c>
      <c r="G275" s="66" t="str">
        <f>$M$1</f>
        <v>Adopted</v>
      </c>
      <c r="H275" s="66" t="s">
        <v>19</v>
      </c>
      <c r="I275" s="66" t="s">
        <v>19</v>
      </c>
      <c r="J275" s="66" t="s">
        <v>19</v>
      </c>
      <c r="K275" s="66" t="s">
        <v>19</v>
      </c>
    </row>
    <row r="276" spans="2:11">
      <c r="B276" s="62"/>
      <c r="C276" s="131"/>
      <c r="D276" s="2"/>
      <c r="E276" s="2"/>
      <c r="F276" s="2"/>
      <c r="G276" s="2"/>
      <c r="H276" s="2"/>
      <c r="I276" s="2"/>
      <c r="J276" s="2"/>
      <c r="K276" s="2"/>
    </row>
    <row r="277" spans="2:11">
      <c r="B277" s="124" t="s">
        <v>638</v>
      </c>
      <c r="C277" s="2"/>
      <c r="D277" s="2"/>
      <c r="E277" s="2"/>
      <c r="F277" s="2"/>
      <c r="G277" s="2"/>
      <c r="H277" s="2"/>
      <c r="I277" s="2"/>
      <c r="J277" s="2"/>
      <c r="K277" s="2"/>
    </row>
    <row r="278" spans="2:11" ht="20.100000000000001" customHeight="1">
      <c r="B278" s="323" t="s">
        <v>639</v>
      </c>
      <c r="C278" s="2">
        <f>'Budget Detail FY 2017-24'!L500</f>
        <v>47070</v>
      </c>
      <c r="D278" s="2">
        <f>'Budget Detail FY 2017-24'!M500</f>
        <v>0</v>
      </c>
      <c r="E278" s="2">
        <f>'Budget Detail FY 2017-24'!N500</f>
        <v>0</v>
      </c>
      <c r="F278" s="2">
        <f>'Budget Detail FY 2017-24'!O500</f>
        <v>0</v>
      </c>
      <c r="G278" s="2">
        <f>'Budget Detail FY 2017-24'!P500</f>
        <v>0</v>
      </c>
      <c r="H278" s="2">
        <f>'Budget Detail FY 2017-24'!Q500</f>
        <v>0</v>
      </c>
      <c r="I278" s="2">
        <f>'Budget Detail FY 2017-24'!R500</f>
        <v>0</v>
      </c>
      <c r="J278" s="2">
        <f>'Budget Detail FY 2017-24'!S500</f>
        <v>0</v>
      </c>
      <c r="K278" s="2">
        <f>'Budget Detail FY 2017-24'!T500</f>
        <v>0</v>
      </c>
    </row>
    <row r="279" spans="2:11" ht="20.100000000000001" customHeight="1">
      <c r="B279" s="323" t="s">
        <v>641</v>
      </c>
      <c r="C279" s="2">
        <f>'Budget Detail FY 2017-24'!L501+'Budget Detail FY 2017-24'!L502</f>
        <v>7015</v>
      </c>
      <c r="D279" s="2">
        <f>'Budget Detail FY 2017-24'!M501+'Budget Detail FY 2017-24'!M502</f>
        <v>11303</v>
      </c>
      <c r="E279" s="2">
        <f>'Budget Detail FY 2017-24'!N501+'Budget Detail FY 2017-24'!N502</f>
        <v>6000</v>
      </c>
      <c r="F279" s="2">
        <f>'Budget Detail FY 2017-24'!O501+'Budget Detail FY 2017-24'!O502</f>
        <v>10000</v>
      </c>
      <c r="G279" s="2">
        <f>'Budget Detail FY 2017-24'!P501+'Budget Detail FY 2017-24'!P502</f>
        <v>4646</v>
      </c>
      <c r="H279" s="2">
        <f>'Budget Detail FY 2017-24'!Q501+'Budget Detail FY 2017-24'!Q502</f>
        <v>4646</v>
      </c>
      <c r="I279" s="2">
        <f>'Budget Detail FY 2017-24'!R501+'Budget Detail FY 2017-24'!R502</f>
        <v>4646</v>
      </c>
      <c r="J279" s="2">
        <f>'Budget Detail FY 2017-24'!S501+'Budget Detail FY 2017-24'!S502</f>
        <v>4646</v>
      </c>
      <c r="K279" s="2">
        <f>'Budget Detail FY 2017-24'!T501+'Budget Detail FY 2017-24'!T502</f>
        <v>0</v>
      </c>
    </row>
    <row r="280" spans="2:11" ht="20.100000000000001" customHeight="1">
      <c r="B280" s="324" t="s">
        <v>647</v>
      </c>
      <c r="C280" s="2">
        <f>SUM('Budget Detail FY 2017-24'!L503:L503)</f>
        <v>266979</v>
      </c>
      <c r="D280" s="2">
        <f>SUM('Budget Detail FY 2017-24'!M503:M503)</f>
        <v>309972</v>
      </c>
      <c r="E280" s="2">
        <f>SUM('Budget Detail FY 2017-24'!N503:N503)</f>
        <v>318725</v>
      </c>
      <c r="F280" s="2">
        <f>SUM('Budget Detail FY 2017-24'!O503:O503)</f>
        <v>314725</v>
      </c>
      <c r="G280" s="2">
        <f>SUM('Budget Detail FY 2017-24'!P503:P503)</f>
        <v>319379</v>
      </c>
      <c r="H280" s="2">
        <f>SUM('Budget Detail FY 2017-24'!Q503:Q503)</f>
        <v>318579</v>
      </c>
      <c r="I280" s="2">
        <f>SUM('Budget Detail FY 2017-24'!R503:R503)</f>
        <v>324729</v>
      </c>
      <c r="J280" s="2">
        <f>SUM('Budget Detail FY 2017-24'!S503:S503)</f>
        <v>325429</v>
      </c>
      <c r="K280" s="2">
        <f>SUM('Budget Detail FY 2017-24'!T503:T503)</f>
        <v>0</v>
      </c>
    </row>
    <row r="281" spans="2:11" ht="20.100000000000001" customHeight="1" thickBot="1">
      <c r="B281" s="123" t="s">
        <v>648</v>
      </c>
      <c r="C281" s="121">
        <f t="shared" ref="C281:K281" si="25">SUM(C278:C280)</f>
        <v>321064</v>
      </c>
      <c r="D281" s="121">
        <f t="shared" si="25"/>
        <v>321275</v>
      </c>
      <c r="E281" s="121">
        <f t="shared" si="25"/>
        <v>324725</v>
      </c>
      <c r="F281" s="121">
        <f t="shared" si="25"/>
        <v>324725</v>
      </c>
      <c r="G281" s="121">
        <f t="shared" si="25"/>
        <v>324025</v>
      </c>
      <c r="H281" s="121">
        <f t="shared" si="25"/>
        <v>323225</v>
      </c>
      <c r="I281" s="121">
        <f t="shared" si="25"/>
        <v>329375</v>
      </c>
      <c r="J281" s="121">
        <f t="shared" si="25"/>
        <v>330075</v>
      </c>
      <c r="K281" s="121">
        <f t="shared" si="25"/>
        <v>0</v>
      </c>
    </row>
    <row r="282" spans="2:11">
      <c r="B282" s="1"/>
      <c r="C282" s="2"/>
      <c r="D282" s="2"/>
      <c r="E282" s="2"/>
      <c r="F282" s="2"/>
      <c r="G282" s="2"/>
      <c r="H282" s="2"/>
      <c r="I282" s="2"/>
      <c r="J282" s="2"/>
      <c r="K282" s="2"/>
    </row>
    <row r="283" spans="2:11">
      <c r="B283" s="124" t="s">
        <v>457</v>
      </c>
      <c r="C283" s="2"/>
      <c r="D283" s="2"/>
      <c r="E283" s="2"/>
      <c r="F283" s="2"/>
      <c r="G283" s="2"/>
      <c r="H283" s="2"/>
      <c r="I283" s="2"/>
      <c r="J283" s="2"/>
      <c r="K283" s="2"/>
    </row>
    <row r="284" spans="2:11" ht="20.100000000000001" customHeight="1">
      <c r="B284" s="325" t="s">
        <v>651</v>
      </c>
      <c r="C284" s="2">
        <f>'Budget Detail FY 2017-24'!L508+'Budget Detail FY 2017-24'!L507</f>
        <v>914</v>
      </c>
      <c r="D284" s="2">
        <f>'Budget Detail FY 2017-24'!M508+'Budget Detail FY 2017-24'!M507</f>
        <v>1525</v>
      </c>
      <c r="E284" s="2">
        <f>'Budget Detail FY 2017-24'!N508+'Budget Detail FY 2017-24'!N507</f>
        <v>475</v>
      </c>
      <c r="F284" s="2">
        <f>'Budget Detail FY 2017-24'!O508+'Budget Detail FY 2017-24'!O507</f>
        <v>475</v>
      </c>
      <c r="G284" s="2">
        <f>'Budget Detail FY 2017-24'!P508+'Budget Detail FY 2017-24'!P507</f>
        <v>475</v>
      </c>
      <c r="H284" s="2">
        <f>'Budget Detail FY 2017-24'!Q508+'Budget Detail FY 2017-24'!Q507</f>
        <v>475</v>
      </c>
      <c r="I284" s="2">
        <f>'Budget Detail FY 2017-24'!R508+'Budget Detail FY 2017-24'!R507</f>
        <v>475</v>
      </c>
      <c r="J284" s="2">
        <f>'Budget Detail FY 2017-24'!S508+'Budget Detail FY 2017-24'!S507</f>
        <v>475</v>
      </c>
      <c r="K284" s="2">
        <f>'Budget Detail FY 2017-24'!T508+'Budget Detail FY 2017-24'!T507</f>
        <v>0</v>
      </c>
    </row>
    <row r="285" spans="2:11" ht="20.100000000000001" customHeight="1">
      <c r="B285" s="325" t="s">
        <v>593</v>
      </c>
      <c r="C285" s="2">
        <f>SUM('Budget Detail FY 2017-24'!L510:L511)</f>
        <v>320150</v>
      </c>
      <c r="D285" s="2">
        <f>SUM('Budget Detail FY 2017-24'!M510:M511)</f>
        <v>319750</v>
      </c>
      <c r="E285" s="2">
        <f>SUM('Budget Detail FY 2017-24'!N510:N511)</f>
        <v>324250</v>
      </c>
      <c r="F285" s="2">
        <f>SUM('Budget Detail FY 2017-24'!O510:O511)</f>
        <v>324250</v>
      </c>
      <c r="G285" s="2">
        <f>SUM('Budget Detail FY 2017-24'!P510:P511)</f>
        <v>323550</v>
      </c>
      <c r="H285" s="2">
        <f>SUM('Budget Detail FY 2017-24'!Q510:Q511)</f>
        <v>322750</v>
      </c>
      <c r="I285" s="2">
        <f>SUM('Budget Detail FY 2017-24'!R510:R511)</f>
        <v>328900</v>
      </c>
      <c r="J285" s="2">
        <f>SUM('Budget Detail FY 2017-24'!S510:S511)</f>
        <v>329600</v>
      </c>
      <c r="K285" s="2">
        <f>SUM('Budget Detail FY 2017-24'!T510:T511)</f>
        <v>0</v>
      </c>
    </row>
    <row r="286" spans="2:11" ht="20.100000000000001" customHeight="1" thickBot="1">
      <c r="B286" s="123" t="s">
        <v>655</v>
      </c>
      <c r="C286" s="121">
        <f t="shared" ref="C286:K286" si="26">SUM(C284:C285)</f>
        <v>321064</v>
      </c>
      <c r="D286" s="121">
        <f t="shared" si="26"/>
        <v>321275</v>
      </c>
      <c r="E286" s="121">
        <f t="shared" si="26"/>
        <v>324725</v>
      </c>
      <c r="F286" s="121">
        <f t="shared" si="26"/>
        <v>324725</v>
      </c>
      <c r="G286" s="121">
        <f t="shared" si="26"/>
        <v>324025</v>
      </c>
      <c r="H286" s="121">
        <f t="shared" si="26"/>
        <v>323225</v>
      </c>
      <c r="I286" s="121">
        <f t="shared" si="26"/>
        <v>329375</v>
      </c>
      <c r="J286" s="121">
        <f t="shared" si="26"/>
        <v>330075</v>
      </c>
      <c r="K286" s="121">
        <f t="shared" si="26"/>
        <v>0</v>
      </c>
    </row>
    <row r="287" spans="2:11">
      <c r="B287" s="126"/>
      <c r="C287" s="3"/>
      <c r="D287" s="2"/>
      <c r="E287" s="2"/>
      <c r="F287" s="2"/>
      <c r="G287" s="2"/>
      <c r="H287" s="2"/>
      <c r="I287" s="2"/>
      <c r="J287" s="2"/>
      <c r="K287" s="2"/>
    </row>
    <row r="288" spans="2:11" ht="20.100000000000001" customHeight="1">
      <c r="B288" s="327" t="s">
        <v>656</v>
      </c>
      <c r="C288" s="3">
        <f t="shared" ref="C288:K288" si="27">+C281-C286</f>
        <v>0</v>
      </c>
      <c r="D288" s="3">
        <f t="shared" si="27"/>
        <v>0</v>
      </c>
      <c r="E288" s="3">
        <f t="shared" si="27"/>
        <v>0</v>
      </c>
      <c r="F288" s="3">
        <f t="shared" si="27"/>
        <v>0</v>
      </c>
      <c r="G288" s="3">
        <f t="shared" si="27"/>
        <v>0</v>
      </c>
      <c r="H288" s="3">
        <f t="shared" si="27"/>
        <v>0</v>
      </c>
      <c r="I288" s="3">
        <f t="shared" si="27"/>
        <v>0</v>
      </c>
      <c r="J288" s="3">
        <f t="shared" si="27"/>
        <v>0</v>
      </c>
      <c r="K288" s="3">
        <f t="shared" si="27"/>
        <v>0</v>
      </c>
    </row>
    <row r="289" spans="2:11">
      <c r="B289" s="127"/>
      <c r="C289" s="3"/>
      <c r="D289" s="2"/>
      <c r="E289" s="2"/>
      <c r="F289" s="2"/>
      <c r="G289" s="2"/>
      <c r="H289" s="2"/>
      <c r="I289" s="2"/>
      <c r="J289" s="2"/>
      <c r="K289" s="2"/>
    </row>
    <row r="290" spans="2:11" ht="20.100000000000001" customHeight="1" thickBot="1">
      <c r="B290" s="122" t="s">
        <v>657</v>
      </c>
      <c r="C290" s="79">
        <v>0</v>
      </c>
      <c r="D290" s="79">
        <v>0</v>
      </c>
      <c r="E290" s="79">
        <v>0</v>
      </c>
      <c r="F290" s="79">
        <f>D290+F288</f>
        <v>0</v>
      </c>
      <c r="G290" s="79">
        <f>F290+G288</f>
        <v>0</v>
      </c>
      <c r="H290" s="79">
        <f>G290+H288</f>
        <v>0</v>
      </c>
      <c r="I290" s="79">
        <f>H290+I288</f>
        <v>0</v>
      </c>
      <c r="J290" s="79">
        <f>I290+J288</f>
        <v>0</v>
      </c>
      <c r="K290" s="79">
        <f>J290+K288</f>
        <v>0</v>
      </c>
    </row>
    <row r="291" spans="2:11" ht="14.4" thickTop="1">
      <c r="B291" s="128"/>
      <c r="C291" s="3"/>
      <c r="D291" s="3"/>
      <c r="E291" s="3"/>
      <c r="F291" s="2"/>
      <c r="G291" s="2"/>
      <c r="H291" s="2"/>
      <c r="I291" s="2"/>
      <c r="J291" s="2"/>
      <c r="K291" s="2"/>
    </row>
    <row r="292" spans="2:11">
      <c r="B292" s="128"/>
      <c r="C292" s="2"/>
      <c r="D292" s="2"/>
      <c r="E292" s="2"/>
      <c r="F292" s="2"/>
      <c r="G292" s="2"/>
      <c r="H292" s="2"/>
      <c r="I292" s="2"/>
      <c r="J292" s="2"/>
      <c r="K292" s="2"/>
    </row>
    <row r="293" spans="2:11">
      <c r="B293" s="1"/>
      <c r="C293" s="2"/>
      <c r="D293" s="2"/>
      <c r="E293" s="2"/>
      <c r="F293" s="2"/>
      <c r="G293" s="2"/>
      <c r="H293" s="2"/>
      <c r="I293" s="2"/>
      <c r="J293" s="2"/>
      <c r="K293" s="2"/>
    </row>
    <row r="294" spans="2:11">
      <c r="B294" s="1"/>
      <c r="C294" s="2"/>
      <c r="D294" s="2"/>
      <c r="E294" s="2"/>
      <c r="F294" s="2"/>
      <c r="G294" s="2"/>
      <c r="H294" s="2"/>
      <c r="I294" s="2"/>
      <c r="J294" s="2"/>
      <c r="K294" s="2"/>
    </row>
    <row r="295" spans="2:11">
      <c r="B295" s="1"/>
      <c r="C295" s="2"/>
      <c r="D295" s="2"/>
      <c r="E295" s="2"/>
      <c r="F295" s="2"/>
      <c r="G295" s="2"/>
      <c r="H295" s="2"/>
      <c r="I295" s="2"/>
      <c r="J295" s="2"/>
      <c r="K295" s="2"/>
    </row>
    <row r="296" spans="2:11">
      <c r="B296" s="1"/>
      <c r="C296" s="2"/>
      <c r="D296" s="2"/>
      <c r="E296" s="2"/>
      <c r="F296" s="2"/>
      <c r="G296" s="2"/>
      <c r="H296" s="2"/>
      <c r="I296" s="2"/>
      <c r="J296" s="2"/>
      <c r="K296" s="2"/>
    </row>
    <row r="297" spans="2:11">
      <c r="B297" s="1"/>
      <c r="C297" s="2"/>
      <c r="D297" s="2"/>
      <c r="E297" s="2"/>
      <c r="F297" s="2"/>
      <c r="G297" s="2"/>
      <c r="H297" s="2"/>
      <c r="I297" s="2"/>
      <c r="J297" s="2"/>
      <c r="K297" s="2"/>
    </row>
    <row r="298" spans="2:11">
      <c r="B298" s="1"/>
      <c r="C298" s="2"/>
      <c r="D298" s="2"/>
      <c r="E298" s="2"/>
      <c r="F298" s="2"/>
      <c r="G298" s="2"/>
      <c r="H298" s="2"/>
      <c r="I298" s="2"/>
      <c r="J298" s="2"/>
      <c r="K298" s="2"/>
    </row>
    <row r="299" spans="2:11">
      <c r="B299" s="1"/>
      <c r="C299" s="2"/>
      <c r="D299" s="2"/>
      <c r="E299" s="2"/>
      <c r="F299" s="2"/>
      <c r="G299" s="2"/>
      <c r="H299" s="2"/>
      <c r="I299" s="2"/>
      <c r="J299" s="2"/>
      <c r="K299" s="2"/>
    </row>
    <row r="300" spans="2:11">
      <c r="B300" s="1"/>
      <c r="C300" s="2"/>
      <c r="D300" s="2"/>
      <c r="E300" s="2"/>
      <c r="F300" s="2"/>
      <c r="G300" s="2"/>
      <c r="H300" s="2"/>
      <c r="I300" s="2"/>
      <c r="J300" s="2"/>
      <c r="K300" s="2"/>
    </row>
    <row r="301" spans="2:11">
      <c r="B301" s="1"/>
      <c r="C301" s="2"/>
      <c r="D301" s="2"/>
      <c r="E301" s="2"/>
      <c r="F301" s="2"/>
      <c r="G301" s="2"/>
      <c r="H301" s="2"/>
      <c r="I301" s="2"/>
      <c r="J301" s="2"/>
      <c r="K301" s="2"/>
    </row>
    <row r="302" spans="2:11">
      <c r="B302" s="1"/>
      <c r="C302" s="2"/>
      <c r="D302" s="2"/>
      <c r="E302" s="2"/>
      <c r="F302" s="2"/>
      <c r="G302" s="2"/>
      <c r="H302" s="2"/>
      <c r="I302" s="2"/>
      <c r="J302" s="2"/>
      <c r="K302" s="2"/>
    </row>
    <row r="304" spans="2:11">
      <c r="B304" s="476" t="s">
        <v>665</v>
      </c>
      <c r="C304" s="476"/>
      <c r="D304" s="476"/>
      <c r="E304" s="476"/>
      <c r="F304" s="476"/>
      <c r="G304" s="476"/>
      <c r="H304" s="476"/>
      <c r="I304" s="476"/>
      <c r="J304" s="476"/>
      <c r="K304" s="476"/>
    </row>
    <row r="305" spans="2:13">
      <c r="B305" s="63"/>
      <c r="C305" s="3"/>
      <c r="D305" s="2"/>
      <c r="E305" s="2"/>
      <c r="F305" s="2"/>
      <c r="G305" s="2"/>
      <c r="H305" s="2"/>
      <c r="I305" s="2"/>
      <c r="J305" s="2"/>
      <c r="K305" s="2"/>
    </row>
    <row r="306" spans="2:13" ht="12.75" customHeight="1">
      <c r="B306" s="467" t="s">
        <v>666</v>
      </c>
      <c r="C306" s="467"/>
      <c r="D306" s="467"/>
      <c r="E306" s="467"/>
      <c r="F306" s="467"/>
      <c r="G306" s="467"/>
      <c r="H306" s="467"/>
      <c r="I306" s="467"/>
      <c r="J306" s="467"/>
      <c r="K306" s="467"/>
    </row>
    <row r="307" spans="2:13" ht="18" customHeight="1">
      <c r="B307" s="467"/>
      <c r="C307" s="467"/>
      <c r="D307" s="467"/>
      <c r="E307" s="467"/>
      <c r="F307" s="467"/>
      <c r="G307" s="467"/>
      <c r="H307" s="467"/>
      <c r="I307" s="467"/>
      <c r="J307" s="467"/>
      <c r="K307" s="467"/>
    </row>
    <row r="308" spans="2:13" ht="7.5" customHeight="1">
      <c r="B308" s="332"/>
      <c r="C308" s="21"/>
      <c r="D308" s="21"/>
      <c r="E308" s="21"/>
      <c r="F308" s="2"/>
      <c r="G308" s="2"/>
      <c r="H308" s="2"/>
      <c r="I308" s="2"/>
      <c r="J308" s="2"/>
      <c r="K308" s="2"/>
    </row>
    <row r="309" spans="2:13">
      <c r="B309" s="5"/>
      <c r="C309" s="64"/>
      <c r="D309" s="1"/>
      <c r="E309" s="64" t="s">
        <v>864</v>
      </c>
      <c r="F309" s="1"/>
      <c r="G309" s="1"/>
      <c r="H309" s="1"/>
      <c r="I309" s="1"/>
      <c r="J309" s="1"/>
      <c r="K309" s="1"/>
    </row>
    <row r="310" spans="2:13">
      <c r="B310" s="64"/>
      <c r="C310" s="63" t="s">
        <v>234</v>
      </c>
      <c r="D310" s="64" t="s">
        <v>790</v>
      </c>
      <c r="E310" s="64" t="s">
        <v>637</v>
      </c>
      <c r="F310" s="64" t="s">
        <v>864</v>
      </c>
      <c r="G310" s="64" t="s">
        <v>895</v>
      </c>
      <c r="H310" s="64" t="s">
        <v>896</v>
      </c>
      <c r="I310" s="64" t="s">
        <v>897</v>
      </c>
      <c r="J310" s="64" t="s">
        <v>898</v>
      </c>
      <c r="K310" s="64" t="s">
        <v>899</v>
      </c>
    </row>
    <row r="311" spans="2:13" ht="14.4" thickBot="1">
      <c r="B311" s="130"/>
      <c r="C311" s="66" t="s">
        <v>1</v>
      </c>
      <c r="D311" s="66" t="s">
        <v>1</v>
      </c>
      <c r="E311" s="66" t="s">
        <v>605</v>
      </c>
      <c r="F311" s="66" t="s">
        <v>19</v>
      </c>
      <c r="G311" s="66" t="str">
        <f>$M$1</f>
        <v>Adopted</v>
      </c>
      <c r="H311" s="66" t="s">
        <v>19</v>
      </c>
      <c r="I311" s="66" t="s">
        <v>19</v>
      </c>
      <c r="J311" s="66" t="s">
        <v>19</v>
      </c>
      <c r="K311" s="66" t="s">
        <v>19</v>
      </c>
    </row>
    <row r="312" spans="2:13">
      <c r="B312" s="62"/>
      <c r="C312" s="131"/>
      <c r="D312" s="2"/>
      <c r="E312" s="2"/>
      <c r="F312" s="2"/>
      <c r="G312" s="2"/>
      <c r="H312" s="2"/>
      <c r="I312" s="2"/>
      <c r="J312" s="2"/>
      <c r="K312" s="2"/>
    </row>
    <row r="313" spans="2:13">
      <c r="B313" s="124" t="s">
        <v>638</v>
      </c>
      <c r="C313" s="2"/>
      <c r="D313" s="2"/>
      <c r="E313" s="2"/>
      <c r="F313" s="2"/>
      <c r="G313" s="2"/>
      <c r="H313" s="2"/>
      <c r="I313" s="2"/>
      <c r="J313" s="2"/>
      <c r="K313" s="2"/>
    </row>
    <row r="314" spans="2:13" ht="20.100000000000001" customHeight="1">
      <c r="B314" s="323" t="s">
        <v>641</v>
      </c>
      <c r="C314" s="2">
        <f>'Budget Detail FY 2017-24'!L521</f>
        <v>171840</v>
      </c>
      <c r="D314" s="2">
        <f>'Budget Detail FY 2017-24'!M521</f>
        <v>165755</v>
      </c>
      <c r="E314" s="2">
        <f>'Budget Detail FY 2017-24'!N521</f>
        <v>0</v>
      </c>
      <c r="F314" s="2">
        <f>'Budget Detail FY 2017-24'!O521</f>
        <v>0</v>
      </c>
      <c r="G314" s="2">
        <f>'Budget Detail FY 2017-24'!P521</f>
        <v>0</v>
      </c>
      <c r="H314" s="2">
        <f>'Budget Detail FY 2017-24'!Q521</f>
        <v>0</v>
      </c>
      <c r="I314" s="2">
        <f>'Budget Detail FY 2017-24'!R521</f>
        <v>0</v>
      </c>
      <c r="J314" s="2">
        <f>'Budget Detail FY 2017-24'!S521</f>
        <v>0</v>
      </c>
      <c r="K314" s="2">
        <f>'Budget Detail FY 2017-24'!T521</f>
        <v>0</v>
      </c>
      <c r="M314" s="323"/>
    </row>
    <row r="315" spans="2:13" ht="20.100000000000001" customHeight="1">
      <c r="B315" s="324" t="s">
        <v>643</v>
      </c>
      <c r="C315" s="2">
        <f>SUM('Budget Detail FY 2017-24'!L522:L527)</f>
        <v>3955944</v>
      </c>
      <c r="D315" s="2">
        <f>SUM('Budget Detail FY 2017-24'!M522:M527)</f>
        <v>4489995</v>
      </c>
      <c r="E315" s="2">
        <f>SUM('Budget Detail FY 2017-24'!N522:N527)</f>
        <v>4326486</v>
      </c>
      <c r="F315" s="2">
        <f>SUM('Budget Detail FY 2017-24'!O522:O527)</f>
        <v>4595800</v>
      </c>
      <c r="G315" s="2">
        <f>SUM('Budget Detail FY 2017-24'!P522:P527)</f>
        <v>4401300</v>
      </c>
      <c r="H315" s="2">
        <f>SUM('Budget Detail FY 2017-24'!Q522:Q527)</f>
        <v>4570215</v>
      </c>
      <c r="I315" s="2">
        <f>SUM('Budget Detail FY 2017-24'!R522:R527)</f>
        <v>4750476</v>
      </c>
      <c r="J315" s="2">
        <f>SUM('Budget Detail FY 2017-24'!S522:S527)</f>
        <v>4934500</v>
      </c>
      <c r="K315" s="2">
        <f>SUM('Budget Detail FY 2017-24'!T522:T527)</f>
        <v>5132725</v>
      </c>
      <c r="M315" s="324"/>
    </row>
    <row r="316" spans="2:13" ht="20.100000000000001" customHeight="1">
      <c r="B316" s="324" t="s">
        <v>644</v>
      </c>
      <c r="C316" s="2">
        <f>'Budget Detail FY 2017-24'!L528+'Budget Detail FY 2017-24'!L529</f>
        <v>9729</v>
      </c>
      <c r="D316" s="2">
        <f>'Budget Detail FY 2017-24'!M528+'Budget Detail FY 2017-24'!M529</f>
        <v>11727</v>
      </c>
      <c r="E316" s="2">
        <f>'Budget Detail FY 2017-24'!N528+'Budget Detail FY 2017-24'!N529</f>
        <v>7000</v>
      </c>
      <c r="F316" s="2">
        <f>'Budget Detail FY 2017-24'!O528+'Budget Detail FY 2017-24'!O529</f>
        <v>18000</v>
      </c>
      <c r="G316" s="2">
        <f>'Budget Detail FY 2017-24'!P528+'Budget Detail FY 2017-24'!P529</f>
        <v>23851</v>
      </c>
      <c r="H316" s="2">
        <f>'Budget Detail FY 2017-24'!Q528+'Budget Detail FY 2017-24'!Q529</f>
        <v>19150</v>
      </c>
      <c r="I316" s="2">
        <f>'Budget Detail FY 2017-24'!R528+'Budget Detail FY 2017-24'!R529</f>
        <v>19183</v>
      </c>
      <c r="J316" s="2">
        <f>'Budget Detail FY 2017-24'!S528+'Budget Detail FY 2017-24'!S529</f>
        <v>21780</v>
      </c>
      <c r="K316" s="2">
        <f>'Budget Detail FY 2017-24'!T528+'Budget Detail FY 2017-24'!T529</f>
        <v>43986</v>
      </c>
      <c r="M316" s="324"/>
    </row>
    <row r="317" spans="2:13" ht="20.100000000000001" customHeight="1">
      <c r="B317" s="324" t="s">
        <v>645</v>
      </c>
      <c r="C317" s="2">
        <f>SUM('Budget Detail FY 2017-24'!L530:L530)</f>
        <v>27256</v>
      </c>
      <c r="D317" s="2">
        <f>SUM('Budget Detail FY 2017-24'!M530:M530)</f>
        <v>388</v>
      </c>
      <c r="E317" s="2">
        <f>SUM('Budget Detail FY 2017-24'!N530:N530)</f>
        <v>0</v>
      </c>
      <c r="F317" s="2">
        <f>SUM('Budget Detail FY 2017-24'!O530:O530)</f>
        <v>15753</v>
      </c>
      <c r="G317" s="2">
        <f>SUM('Budget Detail FY 2017-24'!P530:P530)</f>
        <v>0</v>
      </c>
      <c r="H317" s="2">
        <f>SUM('Budget Detail FY 2017-24'!Q530:Q530)</f>
        <v>0</v>
      </c>
      <c r="I317" s="2">
        <f>SUM('Budget Detail FY 2017-24'!R530:R530)</f>
        <v>0</v>
      </c>
      <c r="J317" s="2">
        <f>SUM('Budget Detail FY 2017-24'!S530:S530)</f>
        <v>0</v>
      </c>
      <c r="K317" s="2">
        <f>SUM('Budget Detail FY 2017-24'!T530:T530)</f>
        <v>0</v>
      </c>
      <c r="M317" s="324"/>
    </row>
    <row r="318" spans="2:13" ht="20.100000000000001" customHeight="1">
      <c r="B318" s="324" t="s">
        <v>646</v>
      </c>
      <c r="C318" s="2">
        <f>SUM('Budget Detail FY 2017-24'!L531:L532)</f>
        <v>60865</v>
      </c>
      <c r="D318" s="2">
        <f>SUM('Budget Detail FY 2017-24'!M531:M532)</f>
        <v>61221</v>
      </c>
      <c r="E318" s="2">
        <f>SUM('Budget Detail FY 2017-24'!N531:N532)</f>
        <v>62491</v>
      </c>
      <c r="F318" s="2">
        <f>SUM('Budget Detail FY 2017-24'!O531:O532)</f>
        <v>62847</v>
      </c>
      <c r="G318" s="2">
        <f>SUM('Budget Detail FY 2017-24'!P531:P532)</f>
        <v>95999</v>
      </c>
      <c r="H318" s="2">
        <f>SUM('Budget Detail FY 2017-24'!Q531:Q532)</f>
        <v>98393</v>
      </c>
      <c r="I318" s="2">
        <f>SUM('Budget Detail FY 2017-24'!R531:R532)</f>
        <v>100847</v>
      </c>
      <c r="J318" s="2">
        <f>SUM('Budget Detail FY 2017-24'!S531:S532)</f>
        <v>103362</v>
      </c>
      <c r="K318" s="2">
        <f>SUM('Budget Detail FY 2017-24'!T531:T532)</f>
        <v>105940</v>
      </c>
      <c r="M318" s="324"/>
    </row>
    <row r="319" spans="2:13" ht="20.100000000000001" customHeight="1">
      <c r="B319" s="324" t="s">
        <v>647</v>
      </c>
      <c r="C319" s="2">
        <f>SUM('Budget Detail FY 2017-24'!L533:L537)</f>
        <v>6325992</v>
      </c>
      <c r="D319" s="2">
        <f>SUM('Budget Detail FY 2017-24'!M533:M537)</f>
        <v>139116</v>
      </c>
      <c r="E319" s="2">
        <f>SUM('Budget Detail FY 2017-24'!N533:N537)</f>
        <v>142541</v>
      </c>
      <c r="F319" s="2">
        <f>SUM('Budget Detail FY 2017-24'!O533:O537)</f>
        <v>142705</v>
      </c>
      <c r="G319" s="2">
        <f>SUM('Budget Detail FY 2017-24'!P533:P537)</f>
        <v>178781</v>
      </c>
      <c r="H319" s="2">
        <f>SUM('Budget Detail FY 2017-24'!Q533:Q537)</f>
        <v>179020</v>
      </c>
      <c r="I319" s="2">
        <f>SUM('Budget Detail FY 2017-24'!R533:R537)</f>
        <v>180233</v>
      </c>
      <c r="J319" s="2">
        <f>SUM('Budget Detail FY 2017-24'!S533:S537)</f>
        <v>177859</v>
      </c>
      <c r="K319" s="2">
        <f>SUM('Budget Detail FY 2017-24'!T533:T537)</f>
        <v>178752</v>
      </c>
    </row>
    <row r="320" spans="2:13" ht="20.100000000000001" customHeight="1" thickBot="1">
      <c r="B320" s="123" t="s">
        <v>648</v>
      </c>
      <c r="C320" s="121">
        <f t="shared" ref="C320:K320" si="28">SUM(C314:C319)</f>
        <v>10551626</v>
      </c>
      <c r="D320" s="121">
        <f t="shared" si="28"/>
        <v>4868202</v>
      </c>
      <c r="E320" s="121">
        <f t="shared" si="28"/>
        <v>4538518</v>
      </c>
      <c r="F320" s="121">
        <f t="shared" si="28"/>
        <v>4835105</v>
      </c>
      <c r="G320" s="121">
        <f t="shared" si="28"/>
        <v>4699931</v>
      </c>
      <c r="H320" s="121">
        <f t="shared" si="28"/>
        <v>4866778</v>
      </c>
      <c r="I320" s="121">
        <f t="shared" si="28"/>
        <v>5050739</v>
      </c>
      <c r="J320" s="121">
        <f t="shared" si="28"/>
        <v>5237501</v>
      </c>
      <c r="K320" s="121">
        <f t="shared" si="28"/>
        <v>5461403</v>
      </c>
    </row>
    <row r="321" spans="2:13" ht="7.5" customHeight="1">
      <c r="B321" s="1"/>
      <c r="C321" s="2"/>
      <c r="D321" s="2"/>
      <c r="E321" s="2"/>
      <c r="F321" s="2"/>
      <c r="G321" s="2"/>
      <c r="H321" s="2"/>
      <c r="I321" s="2"/>
      <c r="J321" s="2"/>
      <c r="K321" s="2"/>
    </row>
    <row r="322" spans="2:13">
      <c r="B322" s="124" t="s">
        <v>459</v>
      </c>
      <c r="C322" s="2"/>
      <c r="D322" s="2"/>
      <c r="E322" s="2"/>
      <c r="F322" s="2"/>
      <c r="G322" s="2"/>
      <c r="H322" s="2"/>
      <c r="I322" s="2"/>
      <c r="J322" s="2"/>
      <c r="K322" s="2"/>
    </row>
    <row r="323" spans="2:13" ht="20.100000000000001" customHeight="1">
      <c r="B323" s="325" t="s">
        <v>649</v>
      </c>
      <c r="C323" s="2">
        <f>SUM('Budget Detail FY 2017-24'!L542:L544)</f>
        <v>390595</v>
      </c>
      <c r="D323" s="2">
        <f>SUM('Budget Detail FY 2017-24'!M542:M544)</f>
        <v>412773</v>
      </c>
      <c r="E323" s="2">
        <f>SUM('Budget Detail FY 2017-24'!N542:N544)</f>
        <v>441121</v>
      </c>
      <c r="F323" s="2">
        <f>SUM('Budget Detail FY 2017-24'!O542:O544)</f>
        <v>397200</v>
      </c>
      <c r="G323" s="2">
        <f>SUM('Budget Detail FY 2017-24'!P542:P544)</f>
        <v>519935</v>
      </c>
      <c r="H323" s="2">
        <f>SUM('Budget Detail FY 2017-24'!Q542:Q544)</f>
        <v>538356</v>
      </c>
      <c r="I323" s="2">
        <f>SUM('Budget Detail FY 2017-24'!R542:R544)</f>
        <v>553247</v>
      </c>
      <c r="J323" s="2">
        <f>SUM('Budget Detail FY 2017-24'!S542:S544)</f>
        <v>568584</v>
      </c>
      <c r="K323" s="2">
        <f>SUM('Budget Detail FY 2017-24'!T542:T544)</f>
        <v>584382</v>
      </c>
      <c r="M323" s="325"/>
    </row>
    <row r="324" spans="2:13" ht="20.100000000000001" customHeight="1">
      <c r="B324" s="325" t="s">
        <v>650</v>
      </c>
      <c r="C324" s="2">
        <f>SUM('Budget Detail FY 2017-24'!L545:L552)</f>
        <v>235050</v>
      </c>
      <c r="D324" s="2">
        <f>SUM('Budget Detail FY 2017-24'!M545:M552)</f>
        <v>246029</v>
      </c>
      <c r="E324" s="2">
        <f>SUM('Budget Detail FY 2017-24'!N545:N552)</f>
        <v>257466</v>
      </c>
      <c r="F324" s="2">
        <f>SUM('Budget Detail FY 2017-24'!O545:O552)</f>
        <v>215155</v>
      </c>
      <c r="G324" s="2">
        <f>SUM('Budget Detail FY 2017-24'!P545:P552)</f>
        <v>263064</v>
      </c>
      <c r="H324" s="2">
        <f>SUM('Budget Detail FY 2017-24'!Q545:Q552)</f>
        <v>280751</v>
      </c>
      <c r="I324" s="2">
        <f>SUM('Budget Detail FY 2017-24'!R545:R552)</f>
        <v>299099</v>
      </c>
      <c r="J324" s="2">
        <f>SUM('Budget Detail FY 2017-24'!S545:S552)</f>
        <v>318756</v>
      </c>
      <c r="K324" s="2">
        <f>SUM('Budget Detail FY 2017-24'!T545:T552)</f>
        <v>339814</v>
      </c>
      <c r="M324" s="325"/>
    </row>
    <row r="325" spans="2:13" ht="20.100000000000001" customHeight="1">
      <c r="B325" s="325" t="s">
        <v>651</v>
      </c>
      <c r="C325" s="2">
        <f>SUM('Budget Detail FY 2017-24'!L553:L576)</f>
        <v>827278</v>
      </c>
      <c r="D325" s="2">
        <f>SUM('Budget Detail FY 2017-24'!M553:M576)</f>
        <v>872119</v>
      </c>
      <c r="E325" s="2">
        <f>SUM('Budget Detail FY 2017-24'!N553:N576)</f>
        <v>734523</v>
      </c>
      <c r="F325" s="2">
        <f>SUM('Budget Detail FY 2017-24'!O553:O576)</f>
        <v>759299</v>
      </c>
      <c r="G325" s="2">
        <f>SUM('Budget Detail FY 2017-24'!P553:P576)</f>
        <v>804218</v>
      </c>
      <c r="H325" s="2">
        <f>SUM('Budget Detail FY 2017-24'!Q553:Q576)</f>
        <v>794963</v>
      </c>
      <c r="I325" s="2">
        <f>SUM('Budget Detail FY 2017-24'!R553:R576)</f>
        <v>848200</v>
      </c>
      <c r="J325" s="2">
        <f>SUM('Budget Detail FY 2017-24'!S553:S576)</f>
        <v>843193</v>
      </c>
      <c r="K325" s="2">
        <f>SUM('Budget Detail FY 2017-24'!T553:T576)</f>
        <v>868728</v>
      </c>
      <c r="M325" s="325"/>
    </row>
    <row r="326" spans="2:13" ht="20.100000000000001" customHeight="1">
      <c r="B326" s="325" t="s">
        <v>652</v>
      </c>
      <c r="C326" s="2">
        <f>SUM('Budget Detail FY 2017-24'!L577:L585)</f>
        <v>326045</v>
      </c>
      <c r="D326" s="2">
        <f>SUM('Budget Detail FY 2017-24'!M577:M585)</f>
        <v>327921</v>
      </c>
      <c r="E326" s="2">
        <f>SUM('Budget Detail FY 2017-24'!N577:N585)</f>
        <v>361948</v>
      </c>
      <c r="F326" s="2">
        <f>SUM('Budget Detail FY 2017-24'!O577:O585)</f>
        <v>361948</v>
      </c>
      <c r="G326" s="2">
        <f>SUM('Budget Detail FY 2017-24'!P577:P585)</f>
        <v>393281</v>
      </c>
      <c r="H326" s="2">
        <f>SUM('Budget Detail FY 2017-24'!Q577:Q585)</f>
        <v>405405</v>
      </c>
      <c r="I326" s="2">
        <f>SUM('Budget Detail FY 2017-24'!R577:R585)</f>
        <v>418135</v>
      </c>
      <c r="J326" s="2">
        <f>SUM('Budget Detail FY 2017-24'!S577:S585)</f>
        <v>431501</v>
      </c>
      <c r="K326" s="2">
        <f>SUM('Budget Detail FY 2017-24'!T577:T585)</f>
        <v>445536</v>
      </c>
      <c r="M326" s="325"/>
    </row>
    <row r="327" spans="2:13" ht="20.100000000000001" customHeight="1">
      <c r="B327" s="325" t="s">
        <v>653</v>
      </c>
      <c r="C327" s="2">
        <f>SUM('Budget Detail FY 2017-24'!L586:L597)</f>
        <v>3499902</v>
      </c>
      <c r="D327" s="2">
        <f>SUM('Budget Detail FY 2017-24'!M586:M597)</f>
        <v>889684</v>
      </c>
      <c r="E327" s="2">
        <f>SUM('Budget Detail FY 2017-24'!N586:N597)</f>
        <v>1555976</v>
      </c>
      <c r="F327" s="2">
        <f>SUM('Budget Detail FY 2017-24'!O586:O597)</f>
        <v>672199</v>
      </c>
      <c r="G327" s="2">
        <f>SUM('Budget Detail FY 2017-24'!P586:P597)</f>
        <v>1428146</v>
      </c>
      <c r="H327" s="2">
        <f>SUM('Budget Detail FY 2017-24'!Q586:Q597)</f>
        <v>1019538</v>
      </c>
      <c r="I327" s="2">
        <f>SUM('Budget Detail FY 2017-24'!R586:R597)</f>
        <v>1116538</v>
      </c>
      <c r="J327" s="2">
        <f>SUM('Budget Detail FY 2017-24'!S586:S597)</f>
        <v>1162905</v>
      </c>
      <c r="K327" s="2">
        <f>SUM('Budget Detail FY 2017-24'!T586:T597)</f>
        <v>285000</v>
      </c>
      <c r="M327" s="325"/>
    </row>
    <row r="328" spans="2:13" ht="20.100000000000001" customHeight="1">
      <c r="B328" s="326" t="s">
        <v>593</v>
      </c>
      <c r="C328" s="2">
        <f>SUM('Budget Detail FY 2017-24'!L599:L618)</f>
        <v>1449609</v>
      </c>
      <c r="D328" s="2">
        <f>SUM('Budget Detail FY 2017-24'!M599:M618)</f>
        <v>1343250</v>
      </c>
      <c r="E328" s="2">
        <f>SUM('Budget Detail FY 2017-24'!N599:N618)</f>
        <v>1532837</v>
      </c>
      <c r="F328" s="2">
        <f>SUM('Budget Detail FY 2017-24'!O599:O618)</f>
        <v>1532837</v>
      </c>
      <c r="G328" s="2">
        <f>SUM('Budget Detail FY 2017-24'!P599:P618)</f>
        <v>2361500</v>
      </c>
      <c r="H328" s="2">
        <f>SUM('Budget Detail FY 2017-24'!Q599:Q618)</f>
        <v>2305935</v>
      </c>
      <c r="I328" s="2">
        <f>SUM('Budget Detail FY 2017-24'!R599:R618)</f>
        <v>1815830</v>
      </c>
      <c r="J328" s="2">
        <f>SUM('Budget Detail FY 2017-24'!S599:S618)</f>
        <v>1654108</v>
      </c>
      <c r="K328" s="2">
        <f>SUM('Budget Detail FY 2017-24'!T599:T618)</f>
        <v>714373</v>
      </c>
      <c r="M328" s="326"/>
    </row>
    <row r="329" spans="2:13" ht="20.100000000000001" customHeight="1">
      <c r="B329" s="324" t="s">
        <v>654</v>
      </c>
      <c r="C329" s="2">
        <f>'Budget Detail FY 2017-24'!L621+'Budget Detail FY 2017-24'!L620</f>
        <v>6193291</v>
      </c>
      <c r="D329" s="2">
        <f>'Budget Detail FY 2017-24'!M621+'Budget Detail FY 2017-24'!M620</f>
        <v>1018308</v>
      </c>
      <c r="E329" s="2">
        <f>'Budget Detail FY 2017-24'!N621+'Budget Detail FY 2017-24'!N620</f>
        <v>0</v>
      </c>
      <c r="F329" s="2">
        <f>'Budget Detail FY 2017-24'!O621+'Budget Detail FY 2017-24'!O620</f>
        <v>0</v>
      </c>
      <c r="G329" s="2">
        <f>'Budget Detail FY 2017-24'!P621+'Budget Detail FY 2017-24'!P620</f>
        <v>0</v>
      </c>
      <c r="H329" s="2">
        <f>'Budget Detail FY 2017-24'!Q621+'Budget Detail FY 2017-24'!Q620</f>
        <v>0</v>
      </c>
      <c r="I329" s="2">
        <f>'Budget Detail FY 2017-24'!R621+'Budget Detail FY 2017-24'!R620</f>
        <v>0</v>
      </c>
      <c r="J329" s="2">
        <f>'Budget Detail FY 2017-24'!S621+'Budget Detail FY 2017-24'!S620</f>
        <v>0</v>
      </c>
      <c r="K329" s="2">
        <f>'Budget Detail FY 2017-24'!T621+'Budget Detail FY 2017-24'!T620</f>
        <v>0</v>
      </c>
      <c r="M329" s="324"/>
    </row>
    <row r="330" spans="2:13" ht="20.100000000000001" customHeight="1" thickBot="1">
      <c r="B330" s="123" t="s">
        <v>668</v>
      </c>
      <c r="C330" s="121">
        <f>SUM(C323:C329)</f>
        <v>12921770</v>
      </c>
      <c r="D330" s="121">
        <f t="shared" ref="D330:K330" si="29">SUM(D323:D329)</f>
        <v>5110084</v>
      </c>
      <c r="E330" s="121">
        <f t="shared" si="29"/>
        <v>4883871</v>
      </c>
      <c r="F330" s="121">
        <f t="shared" si="29"/>
        <v>3938638</v>
      </c>
      <c r="G330" s="121">
        <f t="shared" si="29"/>
        <v>5770144</v>
      </c>
      <c r="H330" s="121">
        <f t="shared" si="29"/>
        <v>5344948</v>
      </c>
      <c r="I330" s="121">
        <f t="shared" si="29"/>
        <v>5051049</v>
      </c>
      <c r="J330" s="121">
        <f t="shared" si="29"/>
        <v>4979047</v>
      </c>
      <c r="K330" s="121">
        <f t="shared" si="29"/>
        <v>3237833</v>
      </c>
    </row>
    <row r="331" spans="2:13" ht="7.5" customHeight="1">
      <c r="B331" s="126"/>
      <c r="C331" s="3"/>
      <c r="D331" s="2"/>
      <c r="E331" s="2"/>
      <c r="F331" s="2"/>
      <c r="G331" s="2"/>
      <c r="H331" s="2"/>
      <c r="I331" s="2"/>
      <c r="J331" s="2"/>
      <c r="K331" s="2"/>
    </row>
    <row r="332" spans="2:13" ht="20.100000000000001" customHeight="1">
      <c r="B332" s="327" t="s">
        <v>656</v>
      </c>
      <c r="C332" s="3">
        <f t="shared" ref="C332:K332" si="30">+C320-C330</f>
        <v>-2370144</v>
      </c>
      <c r="D332" s="3">
        <f t="shared" si="30"/>
        <v>-241882</v>
      </c>
      <c r="E332" s="3">
        <f t="shared" si="30"/>
        <v>-345353</v>
      </c>
      <c r="F332" s="3">
        <f t="shared" si="30"/>
        <v>896467</v>
      </c>
      <c r="G332" s="3">
        <f t="shared" si="30"/>
        <v>-1070213</v>
      </c>
      <c r="H332" s="3">
        <f t="shared" si="30"/>
        <v>-478170</v>
      </c>
      <c r="I332" s="3">
        <f t="shared" si="30"/>
        <v>-310</v>
      </c>
      <c r="J332" s="3">
        <f t="shared" si="30"/>
        <v>258454</v>
      </c>
      <c r="K332" s="3">
        <f t="shared" si="30"/>
        <v>2223570</v>
      </c>
    </row>
    <row r="333" spans="2:13" ht="7.5" customHeight="1">
      <c r="B333" s="127"/>
      <c r="C333" s="3"/>
      <c r="D333" s="2"/>
      <c r="E333" s="2"/>
      <c r="F333" s="2"/>
      <c r="G333" s="2"/>
      <c r="H333" s="2"/>
      <c r="I333" s="2"/>
      <c r="J333" s="2"/>
      <c r="K333" s="2"/>
    </row>
    <row r="334" spans="2:13" ht="20.100000000000001" customHeight="1" thickBot="1">
      <c r="B334" s="122" t="s">
        <v>669</v>
      </c>
      <c r="C334" s="79">
        <v>2826144</v>
      </c>
      <c r="D334" s="79">
        <v>2584259</v>
      </c>
      <c r="E334" s="79">
        <v>1952155</v>
      </c>
      <c r="F334" s="79">
        <f>D334+F332</f>
        <v>3480726</v>
      </c>
      <c r="G334" s="79">
        <f>F334+G332</f>
        <v>2410513</v>
      </c>
      <c r="H334" s="79">
        <f>G334+H332</f>
        <v>1932343</v>
      </c>
      <c r="I334" s="79">
        <f>H334+I332</f>
        <v>1932033</v>
      </c>
      <c r="J334" s="79">
        <f>I334+J332</f>
        <v>2190487</v>
      </c>
      <c r="K334" s="79">
        <f>J334+K332</f>
        <v>4414057</v>
      </c>
    </row>
    <row r="335" spans="2:13" ht="14.4" thickTop="1">
      <c r="B335" s="128"/>
      <c r="C335" s="129">
        <f t="shared" ref="C335:K335" si="31">+C334/C330</f>
        <v>0.21871183282166454</v>
      </c>
      <c r="D335" s="129">
        <f t="shared" si="31"/>
        <v>0.50571751853785574</v>
      </c>
      <c r="E335" s="129">
        <f t="shared" si="31"/>
        <v>0.39971469352896505</v>
      </c>
      <c r="F335" s="129">
        <f t="shared" si="31"/>
        <v>0.88373849031060991</v>
      </c>
      <c r="G335" s="129">
        <f t="shared" si="31"/>
        <v>0.41775612532373541</v>
      </c>
      <c r="H335" s="129">
        <f t="shared" si="31"/>
        <v>0.36152699708210445</v>
      </c>
      <c r="I335" s="129">
        <f t="shared" si="31"/>
        <v>0.38250133784091184</v>
      </c>
      <c r="J335" s="129">
        <f t="shared" si="31"/>
        <v>0.43994101682510728</v>
      </c>
      <c r="K335" s="129">
        <f t="shared" si="31"/>
        <v>1.36327506699697</v>
      </c>
    </row>
    <row r="336" spans="2:13">
      <c r="B336" s="128"/>
      <c r="C336" s="129"/>
      <c r="D336" s="129"/>
      <c r="E336" s="129"/>
      <c r="F336" s="129"/>
      <c r="G336" s="129"/>
      <c r="H336" s="129"/>
      <c r="I336" s="129"/>
      <c r="J336" s="129"/>
      <c r="K336" s="129"/>
    </row>
    <row r="337" spans="2:11" ht="7.5" customHeight="1">
      <c r="B337" s="128"/>
      <c r="C337" s="2"/>
      <c r="D337" s="2"/>
      <c r="E337" s="2"/>
      <c r="F337" s="2"/>
      <c r="G337" s="2"/>
      <c r="H337" s="2"/>
      <c r="I337" s="2"/>
      <c r="J337" s="2"/>
      <c r="K337" s="2"/>
    </row>
    <row r="338" spans="2:11">
      <c r="B338" s="1"/>
      <c r="C338" s="2"/>
      <c r="D338" s="2"/>
      <c r="E338" s="2"/>
      <c r="F338" s="2"/>
      <c r="G338" s="2"/>
      <c r="H338" s="2"/>
      <c r="I338" s="2"/>
      <c r="J338" s="2"/>
      <c r="K338" s="2"/>
    </row>
    <row r="339" spans="2:11">
      <c r="B339" s="1"/>
      <c r="C339" s="2"/>
      <c r="D339" s="2"/>
      <c r="E339" s="2"/>
      <c r="F339" s="2"/>
      <c r="G339" s="2"/>
      <c r="H339" s="2"/>
      <c r="I339" s="2"/>
      <c r="J339" s="2"/>
      <c r="K339" s="2"/>
    </row>
    <row r="340" spans="2:11">
      <c r="B340" s="1"/>
      <c r="C340" s="2"/>
      <c r="D340" s="2"/>
      <c r="E340" s="2"/>
      <c r="F340" s="2"/>
      <c r="G340" s="2"/>
      <c r="H340" s="2"/>
      <c r="I340" s="2"/>
      <c r="J340" s="2"/>
      <c r="K340" s="2"/>
    </row>
    <row r="341" spans="2:11">
      <c r="B341" s="1"/>
      <c r="C341" s="2"/>
      <c r="D341" s="2"/>
      <c r="E341" s="2"/>
      <c r="F341" s="2"/>
      <c r="G341" s="2"/>
      <c r="H341" s="2"/>
      <c r="I341" s="2"/>
      <c r="J341" s="2"/>
      <c r="K341" s="2"/>
    </row>
    <row r="342" spans="2:11">
      <c r="B342" s="1"/>
      <c r="C342" s="2"/>
      <c r="D342" s="2"/>
      <c r="E342" s="2"/>
      <c r="F342" s="2"/>
      <c r="G342" s="2"/>
      <c r="H342" s="2"/>
      <c r="I342" s="2"/>
      <c r="J342" s="2"/>
      <c r="K342" s="2"/>
    </row>
    <row r="343" spans="2:11">
      <c r="B343" s="1"/>
      <c r="C343" s="2"/>
      <c r="D343" s="2"/>
      <c r="E343" s="2"/>
      <c r="F343" s="2"/>
      <c r="G343" s="2"/>
      <c r="H343" s="2"/>
      <c r="I343" s="2"/>
      <c r="J343" s="2"/>
      <c r="K343" s="2"/>
    </row>
    <row r="344" spans="2:11">
      <c r="B344" s="1"/>
      <c r="C344" s="2"/>
      <c r="D344" s="2"/>
      <c r="E344" s="2"/>
      <c r="F344" s="2"/>
      <c r="G344" s="2"/>
      <c r="H344" s="2"/>
      <c r="I344" s="2"/>
      <c r="J344" s="2"/>
      <c r="K344" s="2"/>
    </row>
    <row r="345" spans="2:11">
      <c r="B345" s="1"/>
      <c r="C345" s="2"/>
      <c r="D345" s="2"/>
      <c r="E345" s="2"/>
      <c r="F345" s="2"/>
      <c r="G345" s="2"/>
      <c r="H345" s="2"/>
      <c r="I345" s="2"/>
      <c r="J345" s="2"/>
      <c r="K345" s="2"/>
    </row>
    <row r="346" spans="2:11">
      <c r="B346" s="1"/>
      <c r="C346" s="2"/>
      <c r="D346" s="2"/>
      <c r="E346" s="2"/>
      <c r="F346" s="2"/>
      <c r="G346" s="2"/>
      <c r="H346" s="2"/>
      <c r="I346" s="2"/>
      <c r="J346" s="2"/>
      <c r="K346" s="2"/>
    </row>
    <row r="347" spans="2:11">
      <c r="B347" s="1"/>
      <c r="C347" s="2"/>
      <c r="D347" s="2"/>
      <c r="E347" s="2"/>
      <c r="F347" s="2"/>
      <c r="G347" s="2"/>
      <c r="H347" s="2"/>
      <c r="I347" s="2"/>
      <c r="J347" s="2"/>
      <c r="K347" s="2"/>
    </row>
    <row r="348" spans="2:11">
      <c r="B348" s="1"/>
      <c r="C348" s="2"/>
      <c r="D348" s="2"/>
      <c r="E348" s="2"/>
      <c r="F348" s="2"/>
      <c r="G348" s="2"/>
      <c r="H348" s="2"/>
      <c r="I348" s="2"/>
      <c r="J348" s="2"/>
      <c r="K348" s="2"/>
    </row>
    <row r="350" spans="2:11">
      <c r="B350" s="476" t="s">
        <v>670</v>
      </c>
      <c r="C350" s="476"/>
      <c r="D350" s="476"/>
      <c r="E350" s="476"/>
      <c r="F350" s="476"/>
      <c r="G350" s="476"/>
      <c r="H350" s="476"/>
      <c r="I350" s="476"/>
      <c r="J350" s="476"/>
      <c r="K350" s="476"/>
    </row>
    <row r="351" spans="2:11">
      <c r="B351" s="63"/>
      <c r="C351" s="3"/>
      <c r="D351" s="2"/>
      <c r="E351" s="2"/>
      <c r="F351" s="2"/>
      <c r="G351" s="2"/>
      <c r="H351" s="2"/>
      <c r="I351" s="2"/>
      <c r="J351" s="2"/>
      <c r="K351" s="2"/>
    </row>
    <row r="352" spans="2:11" ht="12.75" customHeight="1">
      <c r="B352" s="467" t="s">
        <v>671</v>
      </c>
      <c r="C352" s="467"/>
      <c r="D352" s="467"/>
      <c r="E352" s="467"/>
      <c r="F352" s="467"/>
      <c r="G352" s="467"/>
      <c r="H352" s="467"/>
      <c r="I352" s="467"/>
      <c r="J352" s="467"/>
      <c r="K352" s="467"/>
    </row>
    <row r="353" spans="2:13" ht="18" customHeight="1">
      <c r="B353" s="467"/>
      <c r="C353" s="467"/>
      <c r="D353" s="467"/>
      <c r="E353" s="467"/>
      <c r="F353" s="467"/>
      <c r="G353" s="467"/>
      <c r="H353" s="467"/>
      <c r="I353" s="467"/>
      <c r="J353" s="467"/>
      <c r="K353" s="467"/>
    </row>
    <row r="354" spans="2:13" ht="7.5" customHeight="1">
      <c r="B354" s="332"/>
      <c r="C354" s="21"/>
      <c r="D354" s="21"/>
      <c r="E354" s="21"/>
      <c r="F354" s="2"/>
      <c r="G354" s="2"/>
      <c r="H354" s="2"/>
      <c r="I354" s="2"/>
      <c r="J354" s="2"/>
      <c r="K354" s="2"/>
    </row>
    <row r="355" spans="2:13">
      <c r="B355" s="5"/>
      <c r="C355" s="64"/>
      <c r="D355" s="1"/>
      <c r="E355" s="64" t="s">
        <v>864</v>
      </c>
      <c r="F355" s="1"/>
      <c r="G355" s="1"/>
      <c r="H355" s="1"/>
      <c r="I355" s="1"/>
      <c r="J355" s="1"/>
      <c r="K355" s="1"/>
    </row>
    <row r="356" spans="2:13">
      <c r="B356" s="64"/>
      <c r="C356" s="63" t="s">
        <v>234</v>
      </c>
      <c r="D356" s="64" t="s">
        <v>790</v>
      </c>
      <c r="E356" s="64" t="s">
        <v>637</v>
      </c>
      <c r="F356" s="64" t="s">
        <v>864</v>
      </c>
      <c r="G356" s="64" t="s">
        <v>895</v>
      </c>
      <c r="H356" s="64" t="s">
        <v>896</v>
      </c>
      <c r="I356" s="64" t="s">
        <v>897</v>
      </c>
      <c r="J356" s="64" t="s">
        <v>898</v>
      </c>
      <c r="K356" s="64" t="s">
        <v>899</v>
      </c>
    </row>
    <row r="357" spans="2:13" ht="14.4" thickBot="1">
      <c r="B357" s="130"/>
      <c r="C357" s="66" t="s">
        <v>1</v>
      </c>
      <c r="D357" s="66" t="s">
        <v>1</v>
      </c>
      <c r="E357" s="66" t="s">
        <v>605</v>
      </c>
      <c r="F357" s="66" t="s">
        <v>19</v>
      </c>
      <c r="G357" s="66" t="str">
        <f>$M$1</f>
        <v>Adopted</v>
      </c>
      <c r="H357" s="66" t="s">
        <v>19</v>
      </c>
      <c r="I357" s="66" t="s">
        <v>19</v>
      </c>
      <c r="J357" s="66" t="s">
        <v>19</v>
      </c>
      <c r="K357" s="66" t="s">
        <v>19</v>
      </c>
    </row>
    <row r="358" spans="2:13" ht="7.5" customHeight="1">
      <c r="B358" s="62"/>
      <c r="C358" s="131"/>
      <c r="D358" s="2"/>
      <c r="E358" s="2"/>
      <c r="F358" s="2"/>
      <c r="G358" s="2"/>
      <c r="H358" s="2"/>
      <c r="I358" s="2"/>
      <c r="J358" s="2"/>
      <c r="K358" s="2"/>
    </row>
    <row r="359" spans="2:13">
      <c r="B359" s="124" t="s">
        <v>638</v>
      </c>
      <c r="C359" s="2"/>
      <c r="D359" s="2"/>
      <c r="E359" s="2"/>
      <c r="F359" s="2"/>
      <c r="G359" s="2"/>
      <c r="H359" s="2"/>
      <c r="I359" s="2"/>
      <c r="J359" s="2"/>
      <c r="K359" s="2"/>
    </row>
    <row r="360" spans="2:13" ht="20.100000000000001" customHeight="1">
      <c r="B360" s="323" t="s">
        <v>641</v>
      </c>
      <c r="C360" s="2">
        <f>'Budget Detail FY 2017-24'!L634</f>
        <v>105392</v>
      </c>
      <c r="D360" s="2">
        <f>'Budget Detail FY 2017-24'!M634</f>
        <v>93000</v>
      </c>
      <c r="E360" s="2">
        <f>'Budget Detail FY 2017-24'!N634</f>
        <v>0</v>
      </c>
      <c r="F360" s="2">
        <f>'Budget Detail FY 2017-24'!O634</f>
        <v>0</v>
      </c>
      <c r="G360" s="2">
        <f>'Budget Detail FY 2017-24'!P634</f>
        <v>0</v>
      </c>
      <c r="H360" s="2">
        <f>'Budget Detail FY 2017-24'!Q634</f>
        <v>0</v>
      </c>
      <c r="I360" s="2">
        <f>'Budget Detail FY 2017-24'!R634</f>
        <v>0</v>
      </c>
      <c r="J360" s="2">
        <f>'Budget Detail FY 2017-24'!S634</f>
        <v>0</v>
      </c>
      <c r="K360" s="2">
        <f>'Budget Detail FY 2017-24'!T634</f>
        <v>0</v>
      </c>
      <c r="M360" s="323"/>
    </row>
    <row r="361" spans="2:13" ht="20.100000000000001" customHeight="1">
      <c r="B361" s="324" t="s">
        <v>643</v>
      </c>
      <c r="C361" s="2">
        <f>SUM('Budget Detail FY 2017-24'!L635:L640)</f>
        <v>1286891</v>
      </c>
      <c r="D361" s="2">
        <f>SUM('Budget Detail FY 2017-24'!M635:M640)</f>
        <v>1595338</v>
      </c>
      <c r="E361" s="2">
        <f>SUM('Budget Detail FY 2017-24'!N635:N640)</f>
        <v>1558658</v>
      </c>
      <c r="F361" s="2">
        <f>SUM('Budget Detail FY 2017-24'!O635:O640)</f>
        <v>1535378</v>
      </c>
      <c r="G361" s="2">
        <f>SUM('Budget Detail FY 2017-24'!P635:P640)</f>
        <v>1567500</v>
      </c>
      <c r="H361" s="2">
        <f>SUM('Budget Detail FY 2017-24'!Q635:Q640)</f>
        <v>1596876</v>
      </c>
      <c r="I361" s="2">
        <f>SUM('Budget Detail FY 2017-24'!R635:R640)</f>
        <v>1632133</v>
      </c>
      <c r="J361" s="2">
        <f>SUM('Budget Detail FY 2017-24'!S635:S640)</f>
        <v>1663298</v>
      </c>
      <c r="K361" s="2">
        <f>SUM('Budget Detail FY 2017-24'!T635:T640)</f>
        <v>1700398</v>
      </c>
      <c r="M361" s="324"/>
    </row>
    <row r="362" spans="2:13" ht="20.100000000000001" customHeight="1">
      <c r="B362" s="324" t="s">
        <v>644</v>
      </c>
      <c r="C362" s="2">
        <f>'Budget Detail FY 2017-24'!L641+'Budget Detail FY 2017-24'!L642</f>
        <v>3899</v>
      </c>
      <c r="D362" s="2">
        <f>'Budget Detail FY 2017-24'!M641+'Budget Detail FY 2017-24'!M642</f>
        <v>24274</v>
      </c>
      <c r="E362" s="2">
        <f>'Budget Detail FY 2017-24'!N641+'Budget Detail FY 2017-24'!N642</f>
        <v>1250</v>
      </c>
      <c r="F362" s="2">
        <f>'Budget Detail FY 2017-24'!O641+'Budget Detail FY 2017-24'!O642</f>
        <v>10500</v>
      </c>
      <c r="G362" s="2">
        <f>'Budget Detail FY 2017-24'!P641+'Budget Detail FY 2017-24'!P642</f>
        <v>7149</v>
      </c>
      <c r="H362" s="2">
        <f>'Budget Detail FY 2017-24'!Q641+'Budget Detail FY 2017-24'!Q642</f>
        <v>5006</v>
      </c>
      <c r="I362" s="2">
        <f>'Budget Detail FY 2017-24'!R641+'Budget Detail FY 2017-24'!R642</f>
        <v>6369</v>
      </c>
      <c r="J362" s="2">
        <f>'Budget Detail FY 2017-24'!S641+'Budget Detail FY 2017-24'!S642</f>
        <v>9165</v>
      </c>
      <c r="K362" s="2">
        <f>'Budget Detail FY 2017-24'!T641+'Budget Detail FY 2017-24'!T642</f>
        <v>16027</v>
      </c>
      <c r="M362" s="324"/>
    </row>
    <row r="363" spans="2:13" ht="20.100000000000001" customHeight="1">
      <c r="B363" s="324" t="s">
        <v>645</v>
      </c>
      <c r="C363" s="2">
        <f>SUM('Budget Detail FY 2017-24'!L643:L643)</f>
        <v>8149</v>
      </c>
      <c r="D363" s="2">
        <f>SUM('Budget Detail FY 2017-24'!M643:M643)</f>
        <v>54</v>
      </c>
      <c r="E363" s="2">
        <f>SUM('Budget Detail FY 2017-24'!N643:N643)</f>
        <v>0</v>
      </c>
      <c r="F363" s="2">
        <f>SUM('Budget Detail FY 2017-24'!O643:O643)</f>
        <v>1465</v>
      </c>
      <c r="G363" s="2">
        <f>SUM('Budget Detail FY 2017-24'!P643:P643)</f>
        <v>0</v>
      </c>
      <c r="H363" s="2">
        <f>SUM('Budget Detail FY 2017-24'!Q643:Q643)</f>
        <v>0</v>
      </c>
      <c r="I363" s="2">
        <f>SUM('Budget Detail FY 2017-24'!R643:R643)</f>
        <v>0</v>
      </c>
      <c r="J363" s="2">
        <f>SUM('Budget Detail FY 2017-24'!S643:S643)</f>
        <v>0</v>
      </c>
      <c r="K363" s="2">
        <f>SUM('Budget Detail FY 2017-24'!T643:T643)</f>
        <v>0</v>
      </c>
      <c r="M363" s="324"/>
    </row>
    <row r="364" spans="2:13" ht="20.100000000000001" customHeight="1">
      <c r="B364" s="324" t="s">
        <v>647</v>
      </c>
      <c r="C364" s="2">
        <f>'Budget Detail FY 2017-24'!L644</f>
        <v>1134052</v>
      </c>
      <c r="D364" s="2">
        <f>'Budget Detail FY 2017-24'!M644</f>
        <v>1137166</v>
      </c>
      <c r="E364" s="2">
        <f>'Budget Detail FY 2017-24'!N644</f>
        <v>856583</v>
      </c>
      <c r="F364" s="2">
        <f>'Budget Detail FY 2017-24'!O644</f>
        <v>856583</v>
      </c>
      <c r="G364" s="2">
        <f>'Budget Detail FY 2017-24'!P644</f>
        <v>575030</v>
      </c>
      <c r="H364" s="2">
        <f>'Budget Detail FY 2017-24'!Q644</f>
        <v>586749</v>
      </c>
      <c r="I364" s="2">
        <f>'Budget Detail FY 2017-24'!R644</f>
        <v>994479</v>
      </c>
      <c r="J364" s="2">
        <f>'Budget Detail FY 2017-24'!S644</f>
        <v>1135964</v>
      </c>
      <c r="K364" s="2">
        <f>'Budget Detail FY 2017-24'!T644</f>
        <v>1134606</v>
      </c>
      <c r="M364" s="324"/>
    </row>
    <row r="365" spans="2:13" ht="20.100000000000001" customHeight="1" thickBot="1">
      <c r="B365" s="123" t="s">
        <v>648</v>
      </c>
      <c r="C365" s="121">
        <f t="shared" ref="C365:K365" si="32">SUM(C360:C364)</f>
        <v>2538383</v>
      </c>
      <c r="D365" s="121">
        <f t="shared" si="32"/>
        <v>2849832</v>
      </c>
      <c r="E365" s="121">
        <f t="shared" si="32"/>
        <v>2416491</v>
      </c>
      <c r="F365" s="121">
        <f t="shared" si="32"/>
        <v>2403926</v>
      </c>
      <c r="G365" s="121">
        <f t="shared" si="32"/>
        <v>2149679</v>
      </c>
      <c r="H365" s="121">
        <f t="shared" si="32"/>
        <v>2188631</v>
      </c>
      <c r="I365" s="121">
        <f t="shared" si="32"/>
        <v>2632981</v>
      </c>
      <c r="J365" s="121">
        <f t="shared" si="32"/>
        <v>2808427</v>
      </c>
      <c r="K365" s="121">
        <f t="shared" si="32"/>
        <v>2851031</v>
      </c>
    </row>
    <row r="366" spans="2:13" ht="7.5" customHeight="1">
      <c r="B366" s="1"/>
      <c r="C366" s="2"/>
      <c r="D366" s="2"/>
      <c r="E366" s="2"/>
      <c r="F366" s="2"/>
      <c r="G366" s="2"/>
      <c r="H366" s="2"/>
      <c r="I366" s="2"/>
      <c r="J366" s="2"/>
      <c r="K366" s="2"/>
    </row>
    <row r="367" spans="2:13">
      <c r="B367" s="124" t="s">
        <v>459</v>
      </c>
      <c r="C367" s="2"/>
      <c r="D367" s="2"/>
      <c r="E367" s="2"/>
      <c r="F367" s="2"/>
      <c r="G367" s="2"/>
      <c r="H367" s="2"/>
      <c r="I367" s="2"/>
      <c r="J367" s="2"/>
      <c r="K367" s="2"/>
    </row>
    <row r="368" spans="2:13" ht="20.100000000000001" customHeight="1">
      <c r="B368" s="325" t="s">
        <v>649</v>
      </c>
      <c r="C368" s="2">
        <f>SUM('Budget Detail FY 2017-24'!L649:L651)</f>
        <v>212574</v>
      </c>
      <c r="D368" s="2">
        <f>SUM('Budget Detail FY 2017-24'!M649:M651)</f>
        <v>224215</v>
      </c>
      <c r="E368" s="2">
        <f>SUM('Budget Detail FY 2017-24'!N649:N651)</f>
        <v>234507</v>
      </c>
      <c r="F368" s="2">
        <f>SUM('Budget Detail FY 2017-24'!O649:O651)</f>
        <v>198500</v>
      </c>
      <c r="G368" s="2">
        <f>SUM('Budget Detail FY 2017-24'!P649:P651)</f>
        <v>270946</v>
      </c>
      <c r="H368" s="2">
        <f>SUM('Budget Detail FY 2017-24'!Q649:Q651)</f>
        <v>282992</v>
      </c>
      <c r="I368" s="2">
        <f>SUM('Budget Detail FY 2017-24'!R649:R651)</f>
        <v>291317</v>
      </c>
      <c r="J368" s="2">
        <f>SUM('Budget Detail FY 2017-24'!S649:S651)</f>
        <v>299892</v>
      </c>
      <c r="K368" s="2">
        <f>SUM('Budget Detail FY 2017-24'!T649:T651)</f>
        <v>308724</v>
      </c>
      <c r="M368" s="325"/>
    </row>
    <row r="369" spans="2:13" ht="20.100000000000001" customHeight="1">
      <c r="B369" s="325" t="s">
        <v>650</v>
      </c>
      <c r="C369" s="2">
        <f>SUM('Budget Detail FY 2017-24'!L652:L659)</f>
        <v>105974</v>
      </c>
      <c r="D369" s="2">
        <f>SUM('Budget Detail FY 2017-24'!M652:M659)</f>
        <v>111531</v>
      </c>
      <c r="E369" s="2">
        <f>SUM('Budget Detail FY 2017-24'!N652:N659)</f>
        <v>113682</v>
      </c>
      <c r="F369" s="2">
        <f>SUM('Budget Detail FY 2017-24'!O652:O659)</f>
        <v>99755</v>
      </c>
      <c r="G369" s="2">
        <f>SUM('Budget Detail FY 2017-24'!P652:P659)</f>
        <v>164060</v>
      </c>
      <c r="H369" s="2">
        <f>SUM('Budget Detail FY 2017-24'!Q652:Q659)</f>
        <v>175735</v>
      </c>
      <c r="I369" s="2">
        <f>SUM('Budget Detail FY 2017-24'!R652:R659)</f>
        <v>187664</v>
      </c>
      <c r="J369" s="2">
        <f>SUM('Budget Detail FY 2017-24'!S652:S659)</f>
        <v>200460</v>
      </c>
      <c r="K369" s="2">
        <f>SUM('Budget Detail FY 2017-24'!T652:T659)</f>
        <v>214190</v>
      </c>
      <c r="M369" s="325"/>
    </row>
    <row r="370" spans="2:13" ht="20.100000000000001" customHeight="1">
      <c r="B370" s="325" t="s">
        <v>651</v>
      </c>
      <c r="C370" s="2">
        <f>SUM('Budget Detail FY 2017-24'!L660:L676)</f>
        <v>170831</v>
      </c>
      <c r="D370" s="2">
        <f>SUM('Budget Detail FY 2017-24'!M660:M676)</f>
        <v>221111</v>
      </c>
      <c r="E370" s="2">
        <f>SUM('Budget Detail FY 2017-24'!N660:N676)</f>
        <v>139140</v>
      </c>
      <c r="F370" s="2">
        <f>SUM('Budget Detail FY 2017-24'!O660:O676)</f>
        <v>142065</v>
      </c>
      <c r="G370" s="2">
        <f>SUM('Budget Detail FY 2017-24'!P660:P676)</f>
        <v>232677</v>
      </c>
      <c r="H370" s="2">
        <f>SUM('Budget Detail FY 2017-24'!Q660:Q676)</f>
        <v>162587</v>
      </c>
      <c r="I370" s="2">
        <f>SUM('Budget Detail FY 2017-24'!R660:R676)</f>
        <v>165040</v>
      </c>
      <c r="J370" s="2">
        <f>SUM('Budget Detail FY 2017-24'!S660:S676)</f>
        <v>166314</v>
      </c>
      <c r="K370" s="2">
        <f>SUM('Budget Detail FY 2017-24'!T660:T676)</f>
        <v>169361</v>
      </c>
      <c r="M370" s="325"/>
    </row>
    <row r="371" spans="2:13" ht="20.100000000000001" customHeight="1">
      <c r="B371" s="325" t="s">
        <v>652</v>
      </c>
      <c r="C371" s="2">
        <f>SUM('Budget Detail FY 2017-24'!L677:L685)</f>
        <v>38912</v>
      </c>
      <c r="D371" s="2">
        <f>SUM('Budget Detail FY 2017-24'!M677:M685)</f>
        <v>45902</v>
      </c>
      <c r="E371" s="2">
        <f>SUM('Budget Detail FY 2017-24'!N677:N685)</f>
        <v>55880</v>
      </c>
      <c r="F371" s="2">
        <f>SUM('Budget Detail FY 2017-24'!O677:O685)</f>
        <v>72880</v>
      </c>
      <c r="G371" s="2">
        <f>SUM('Budget Detail FY 2017-24'!P677:P685)</f>
        <v>62650</v>
      </c>
      <c r="H371" s="2">
        <f>SUM('Budget Detail FY 2017-24'!Q677:Q685)</f>
        <v>63774</v>
      </c>
      <c r="I371" s="2">
        <f>SUM('Budget Detail FY 2017-24'!R677:R685)</f>
        <v>64954</v>
      </c>
      <c r="J371" s="2">
        <f>SUM('Budget Detail FY 2017-24'!S677:S685)</f>
        <v>66193</v>
      </c>
      <c r="K371" s="2">
        <f>SUM('Budget Detail FY 2017-24'!T677:T685)</f>
        <v>67494</v>
      </c>
      <c r="M371" s="325"/>
    </row>
    <row r="372" spans="2:13" ht="20.100000000000001" customHeight="1">
      <c r="B372" s="325" t="s">
        <v>653</v>
      </c>
      <c r="C372" s="2">
        <f>SUM('Budget Detail FY 2017-24'!L686:L693)</f>
        <v>228131</v>
      </c>
      <c r="D372" s="2">
        <f>SUM('Budget Detail FY 2017-24'!M686:M693)</f>
        <v>228179</v>
      </c>
      <c r="E372" s="2">
        <f>SUM('Budget Detail FY 2017-24'!N686:N693)</f>
        <v>513167</v>
      </c>
      <c r="F372" s="2">
        <f>SUM('Budget Detail FY 2017-24'!O686:O693)</f>
        <v>234905</v>
      </c>
      <c r="G372" s="2">
        <f>SUM('Budget Detail FY 2017-24'!P686:P693)</f>
        <v>350861</v>
      </c>
      <c r="H372" s="2">
        <f>SUM('Budget Detail FY 2017-24'!Q686:Q693)</f>
        <v>352488</v>
      </c>
      <c r="I372" s="2">
        <f>SUM('Budget Detail FY 2017-24'!R686:R693)</f>
        <v>418488</v>
      </c>
      <c r="J372" s="2">
        <f>SUM('Budget Detail FY 2017-24'!S686:S693)</f>
        <v>429370</v>
      </c>
      <c r="K372" s="2">
        <f>SUM('Budget Detail FY 2017-24'!T686:T693)</f>
        <v>200000</v>
      </c>
      <c r="M372" s="325"/>
    </row>
    <row r="373" spans="2:13" ht="20.100000000000001" customHeight="1">
      <c r="B373" s="326" t="s">
        <v>667</v>
      </c>
      <c r="C373" s="2">
        <f>SUM('Budget Detail FY 2017-24'!L694:L694)</f>
        <v>33872</v>
      </c>
      <c r="D373" s="2">
        <f>SUM('Budget Detail FY 2017-24'!M694:M694)</f>
        <v>34888</v>
      </c>
      <c r="E373" s="2">
        <f>SUM('Budget Detail FY 2017-24'!N694:N694)</f>
        <v>35938</v>
      </c>
      <c r="F373" s="2">
        <f>SUM('Budget Detail FY 2017-24'!O694:O694)</f>
        <v>35938</v>
      </c>
      <c r="G373" s="2">
        <f>SUM('Budget Detail FY 2017-24'!P694:P694)</f>
        <v>30721</v>
      </c>
      <c r="H373" s="2">
        <f>SUM('Budget Detail FY 2017-24'!Q694:Q694)</f>
        <v>0</v>
      </c>
      <c r="I373" s="2">
        <f>SUM('Budget Detail FY 2017-24'!R694:R694)</f>
        <v>0</v>
      </c>
      <c r="J373" s="2">
        <f>SUM('Budget Detail FY 2017-24'!S694:S694)</f>
        <v>0</v>
      </c>
      <c r="K373" s="2">
        <f>SUM('Budget Detail FY 2017-24'!T694:T694)</f>
        <v>0</v>
      </c>
      <c r="M373" s="326"/>
    </row>
    <row r="374" spans="2:13" ht="20.100000000000001" customHeight="1">
      <c r="B374" s="326" t="s">
        <v>593</v>
      </c>
      <c r="C374" s="2">
        <f>SUM('Budget Detail FY 2017-24'!L695:L706)</f>
        <v>1865857</v>
      </c>
      <c r="D374" s="2">
        <f>SUM('Budget Detail FY 2017-24'!M695:M706)</f>
        <v>1877110</v>
      </c>
      <c r="E374" s="2">
        <f>SUM('Budget Detail FY 2017-24'!N695:N706)</f>
        <v>1880265</v>
      </c>
      <c r="F374" s="2">
        <f>SUM('Budget Detail FY 2017-24'!O695:O706)</f>
        <v>1880265</v>
      </c>
      <c r="G374" s="2">
        <f>SUM('Budget Detail FY 2017-24'!P695:P706)</f>
        <v>1352307</v>
      </c>
      <c r="H374" s="2">
        <f>SUM('Budget Detail FY 2017-24'!Q695:Q706)</f>
        <v>1300798</v>
      </c>
      <c r="I374" s="2">
        <f>SUM('Budget Detail FY 2017-24'!R695:R706)</f>
        <v>1300780</v>
      </c>
      <c r="J374" s="2">
        <f>SUM('Budget Detail FY 2017-24'!S695:S706)</f>
        <v>1299024</v>
      </c>
      <c r="K374" s="2">
        <f>SUM('Budget Detail FY 2017-24'!T695:T706)</f>
        <v>1134606</v>
      </c>
      <c r="M374" s="326"/>
    </row>
    <row r="375" spans="2:13" ht="20.100000000000001" customHeight="1">
      <c r="B375" s="326" t="s">
        <v>654</v>
      </c>
      <c r="C375" s="2">
        <f>SUM('Budget Detail FY 2017-24'!L707:L707)</f>
        <v>75075</v>
      </c>
      <c r="D375" s="2">
        <f>SUM('Budget Detail FY 2017-24'!M707:M707)</f>
        <v>73875</v>
      </c>
      <c r="E375" s="2">
        <f>SUM('Budget Detail FY 2017-24'!N707:N707)</f>
        <v>77675</v>
      </c>
      <c r="F375" s="2">
        <f>SUM('Budget Detail FY 2017-24'!O707:O707)</f>
        <v>77675</v>
      </c>
      <c r="G375" s="2">
        <f>SUM('Budget Detail FY 2017-24'!P707:P707)</f>
        <v>73875</v>
      </c>
      <c r="H375" s="2">
        <f>SUM('Budget Detail FY 2017-24'!Q707:Q707)</f>
        <v>75125</v>
      </c>
      <c r="I375" s="2">
        <f>SUM('Budget Detail FY 2017-24'!R707:R707)</f>
        <v>75675</v>
      </c>
      <c r="J375" s="2">
        <f>SUM('Budget Detail FY 2017-24'!S707:S707)</f>
        <v>73650</v>
      </c>
      <c r="K375" s="2">
        <f>SUM('Budget Detail FY 2017-24'!T707:T707)</f>
        <v>74125</v>
      </c>
      <c r="M375" s="326"/>
    </row>
    <row r="376" spans="2:13" ht="20.100000000000001" customHeight="1" thickBot="1">
      <c r="B376" s="123" t="s">
        <v>668</v>
      </c>
      <c r="C376" s="121">
        <f t="shared" ref="C376:J376" si="33">SUM(C368:C375)</f>
        <v>2731226</v>
      </c>
      <c r="D376" s="121">
        <f>SUM(D368:D375)</f>
        <v>2816811</v>
      </c>
      <c r="E376" s="121">
        <f t="shared" si="33"/>
        <v>3050254</v>
      </c>
      <c r="F376" s="121">
        <f>SUM(F368:F375)</f>
        <v>2741983</v>
      </c>
      <c r="G376" s="121">
        <f t="shared" si="33"/>
        <v>2538097</v>
      </c>
      <c r="H376" s="121">
        <f t="shared" si="33"/>
        <v>2413499</v>
      </c>
      <c r="I376" s="121">
        <f t="shared" si="33"/>
        <v>2503918</v>
      </c>
      <c r="J376" s="121">
        <f t="shared" si="33"/>
        <v>2534903</v>
      </c>
      <c r="K376" s="121">
        <f>SUM(K368:K375)</f>
        <v>2168500</v>
      </c>
    </row>
    <row r="377" spans="2:13" ht="7.5" customHeight="1">
      <c r="B377" s="126"/>
      <c r="C377" s="3"/>
      <c r="D377" s="2"/>
      <c r="E377" s="2"/>
      <c r="F377" s="2"/>
      <c r="G377" s="2"/>
      <c r="H377" s="2"/>
      <c r="I377" s="2"/>
      <c r="J377" s="2"/>
      <c r="K377" s="2"/>
    </row>
    <row r="378" spans="2:13" ht="20.100000000000001" customHeight="1">
      <c r="B378" s="327" t="s">
        <v>656</v>
      </c>
      <c r="C378" s="3">
        <f t="shared" ref="C378:K378" si="34">+C365-C376</f>
        <v>-192843</v>
      </c>
      <c r="D378" s="3">
        <f t="shared" si="34"/>
        <v>33021</v>
      </c>
      <c r="E378" s="3">
        <f t="shared" si="34"/>
        <v>-633763</v>
      </c>
      <c r="F378" s="3">
        <f t="shared" si="34"/>
        <v>-338057</v>
      </c>
      <c r="G378" s="3">
        <f t="shared" si="34"/>
        <v>-388418</v>
      </c>
      <c r="H378" s="3">
        <f t="shared" si="34"/>
        <v>-224868</v>
      </c>
      <c r="I378" s="3">
        <f t="shared" si="34"/>
        <v>129063</v>
      </c>
      <c r="J378" s="3">
        <f t="shared" si="34"/>
        <v>273524</v>
      </c>
      <c r="K378" s="3">
        <f t="shared" si="34"/>
        <v>682531</v>
      </c>
    </row>
    <row r="379" spans="2:13" ht="7.5" customHeight="1">
      <c r="B379" s="127"/>
      <c r="C379" s="3"/>
      <c r="D379" s="2"/>
      <c r="E379" s="2"/>
      <c r="F379" s="2"/>
      <c r="G379" s="2"/>
      <c r="H379" s="2"/>
      <c r="I379" s="2"/>
      <c r="J379" s="2"/>
      <c r="K379" s="2"/>
    </row>
    <row r="380" spans="2:13" ht="20.100000000000001" customHeight="1" thickBot="1">
      <c r="B380" s="122" t="s">
        <v>669</v>
      </c>
      <c r="C380" s="79">
        <v>1378030</v>
      </c>
      <c r="D380" s="79">
        <v>1411053</v>
      </c>
      <c r="E380" s="79">
        <v>705765</v>
      </c>
      <c r="F380" s="79">
        <f>D380+F378</f>
        <v>1072996</v>
      </c>
      <c r="G380" s="79">
        <f>F380+G378</f>
        <v>684578</v>
      </c>
      <c r="H380" s="79">
        <f>G380+H378</f>
        <v>459710</v>
      </c>
      <c r="I380" s="79">
        <f>H380+I378</f>
        <v>588773</v>
      </c>
      <c r="J380" s="79">
        <f>I380+J378</f>
        <v>862297</v>
      </c>
      <c r="K380" s="79">
        <f>J380+K378</f>
        <v>1544828</v>
      </c>
    </row>
    <row r="381" spans="2:13" ht="14.4" thickTop="1">
      <c r="B381" s="128"/>
      <c r="C381" s="129">
        <f t="shared" ref="C381:K381" si="35">+C380/C376</f>
        <v>0.50454630997215166</v>
      </c>
      <c r="D381" s="129">
        <f t="shared" si="35"/>
        <v>0.50093989266585515</v>
      </c>
      <c r="E381" s="129">
        <f t="shared" si="35"/>
        <v>0.23137909170842821</v>
      </c>
      <c r="F381" s="129">
        <f t="shared" si="35"/>
        <v>0.39132117157546198</v>
      </c>
      <c r="G381" s="129">
        <f t="shared" si="35"/>
        <v>0.26972097599106731</v>
      </c>
      <c r="H381" s="129">
        <f t="shared" si="35"/>
        <v>0.1904744936708074</v>
      </c>
      <c r="I381" s="129">
        <f t="shared" si="35"/>
        <v>0.23514068751452724</v>
      </c>
      <c r="J381" s="129">
        <f t="shared" si="35"/>
        <v>0.34016962384753974</v>
      </c>
      <c r="K381" s="129">
        <f t="shared" si="35"/>
        <v>0.7123947429098455</v>
      </c>
    </row>
    <row r="382" spans="2:13">
      <c r="B382" s="128"/>
      <c r="C382" s="129"/>
      <c r="D382" s="129"/>
      <c r="E382" s="129"/>
      <c r="F382" s="129"/>
      <c r="G382" s="129"/>
      <c r="H382" s="129"/>
      <c r="I382" s="129"/>
      <c r="J382" s="129"/>
      <c r="K382" s="129"/>
    </row>
    <row r="383" spans="2:13" ht="7.5" customHeight="1">
      <c r="B383" s="128"/>
      <c r="C383" s="2"/>
      <c r="D383" s="2"/>
      <c r="E383" s="2"/>
      <c r="F383" s="2"/>
      <c r="G383" s="2"/>
      <c r="H383" s="2"/>
      <c r="I383" s="2"/>
      <c r="J383" s="2"/>
      <c r="K383" s="2"/>
    </row>
    <row r="384" spans="2:13">
      <c r="B384" s="1"/>
      <c r="C384" s="2"/>
      <c r="D384" s="2"/>
      <c r="E384" s="2"/>
      <c r="F384" s="2"/>
      <c r="G384" s="2"/>
      <c r="H384" s="2"/>
      <c r="I384" s="2"/>
      <c r="J384" s="2"/>
      <c r="K384" s="2"/>
    </row>
    <row r="385" spans="2:11">
      <c r="B385" s="1"/>
      <c r="C385" s="2"/>
      <c r="D385" s="2"/>
      <c r="E385" s="2"/>
      <c r="F385" s="2"/>
      <c r="G385" s="2"/>
      <c r="H385" s="2"/>
      <c r="I385" s="2"/>
      <c r="J385" s="2"/>
      <c r="K385" s="2"/>
    </row>
    <row r="386" spans="2:11">
      <c r="B386" s="1"/>
      <c r="C386" s="2"/>
      <c r="D386" s="2"/>
      <c r="E386" s="2"/>
      <c r="F386" s="2"/>
      <c r="G386" s="2"/>
      <c r="H386" s="2"/>
      <c r="I386" s="2"/>
      <c r="J386" s="2"/>
      <c r="K386" s="2"/>
    </row>
    <row r="387" spans="2:11">
      <c r="B387" s="1"/>
      <c r="C387" s="2"/>
      <c r="D387" s="2"/>
      <c r="E387" s="2"/>
      <c r="F387" s="2"/>
      <c r="G387" s="2"/>
      <c r="H387" s="2"/>
      <c r="I387" s="2"/>
      <c r="J387" s="2"/>
      <c r="K387" s="2"/>
    </row>
    <row r="388" spans="2:11">
      <c r="B388" s="1"/>
      <c r="C388" s="2"/>
      <c r="D388" s="2"/>
      <c r="E388" s="2"/>
      <c r="F388" s="2"/>
      <c r="G388" s="2"/>
      <c r="H388" s="2"/>
      <c r="I388" s="2"/>
      <c r="J388" s="2"/>
      <c r="K388" s="2"/>
    </row>
    <row r="389" spans="2:11">
      <c r="B389" s="1"/>
      <c r="C389" s="2"/>
      <c r="D389" s="2"/>
      <c r="E389" s="2"/>
      <c r="F389" s="2"/>
      <c r="G389" s="2"/>
      <c r="H389" s="2"/>
      <c r="I389" s="2"/>
      <c r="J389" s="2"/>
      <c r="K389" s="2"/>
    </row>
    <row r="390" spans="2:11">
      <c r="B390" s="1"/>
      <c r="C390" s="2"/>
      <c r="D390" s="2"/>
      <c r="E390" s="2"/>
      <c r="F390" s="2"/>
      <c r="G390" s="2"/>
      <c r="H390" s="2"/>
      <c r="I390" s="2"/>
      <c r="J390" s="2"/>
      <c r="K390" s="2"/>
    </row>
    <row r="391" spans="2:11">
      <c r="B391" s="1"/>
      <c r="C391" s="2"/>
      <c r="D391" s="2"/>
      <c r="E391" s="2"/>
      <c r="F391" s="2"/>
      <c r="G391" s="2"/>
      <c r="H391" s="2"/>
      <c r="I391" s="2"/>
      <c r="J391" s="2"/>
      <c r="K391" s="2"/>
    </row>
    <row r="392" spans="2:11">
      <c r="B392" s="1"/>
      <c r="C392" s="2"/>
      <c r="D392" s="2"/>
      <c r="E392" s="2"/>
      <c r="F392" s="2"/>
      <c r="G392" s="2"/>
      <c r="H392" s="2"/>
      <c r="I392" s="2"/>
      <c r="J392" s="2"/>
      <c r="K392" s="2"/>
    </row>
    <row r="393" spans="2:11">
      <c r="B393" s="1"/>
      <c r="C393" s="2"/>
      <c r="D393" s="2"/>
      <c r="E393" s="2"/>
      <c r="F393" s="2"/>
      <c r="G393" s="2"/>
      <c r="H393" s="2"/>
      <c r="I393" s="2"/>
      <c r="J393" s="2"/>
      <c r="K393" s="2"/>
    </row>
    <row r="394" spans="2:11">
      <c r="B394" s="1"/>
      <c r="C394" s="2"/>
      <c r="D394" s="2"/>
      <c r="E394" s="2"/>
      <c r="F394" s="2"/>
      <c r="G394" s="2"/>
      <c r="H394" s="2"/>
      <c r="I394" s="2"/>
      <c r="J394" s="2"/>
      <c r="K394" s="2"/>
    </row>
    <row r="395" spans="2:11">
      <c r="B395" s="1"/>
      <c r="C395" s="2"/>
      <c r="D395" s="2"/>
      <c r="E395" s="2"/>
      <c r="F395" s="2"/>
      <c r="G395" s="2"/>
      <c r="H395" s="2"/>
      <c r="I395" s="2"/>
      <c r="J395" s="2"/>
      <c r="K395" s="2"/>
    </row>
    <row r="398" spans="2:11">
      <c r="B398" s="476" t="s">
        <v>672</v>
      </c>
      <c r="C398" s="476"/>
      <c r="D398" s="476"/>
      <c r="E398" s="476"/>
      <c r="F398" s="476"/>
      <c r="G398" s="476"/>
      <c r="H398" s="476"/>
      <c r="I398" s="476"/>
      <c r="J398" s="476"/>
      <c r="K398" s="476"/>
    </row>
    <row r="399" spans="2:11">
      <c r="B399" s="63"/>
      <c r="C399" s="3"/>
      <c r="D399" s="2"/>
      <c r="E399" s="2"/>
      <c r="F399" s="2"/>
      <c r="G399" s="2"/>
      <c r="H399" s="2"/>
      <c r="I399" s="2"/>
      <c r="J399" s="2"/>
      <c r="K399" s="2"/>
    </row>
    <row r="400" spans="2:11" ht="12.75" customHeight="1">
      <c r="B400" s="477" t="s">
        <v>673</v>
      </c>
      <c r="C400" s="477"/>
      <c r="D400" s="477"/>
      <c r="E400" s="477"/>
      <c r="F400" s="477"/>
      <c r="G400" s="477"/>
      <c r="H400" s="477"/>
      <c r="I400" s="477"/>
      <c r="J400" s="477"/>
      <c r="K400" s="477"/>
    </row>
    <row r="401" spans="2:11" ht="12.75" customHeight="1">
      <c r="B401" s="477"/>
      <c r="C401" s="477"/>
      <c r="D401" s="477"/>
      <c r="E401" s="477"/>
      <c r="F401" s="477"/>
      <c r="G401" s="477"/>
      <c r="H401" s="477"/>
      <c r="I401" s="477"/>
      <c r="J401" s="477"/>
      <c r="K401" s="477"/>
    </row>
    <row r="402" spans="2:11" ht="18.75" customHeight="1">
      <c r="B402" s="477"/>
      <c r="C402" s="477"/>
      <c r="D402" s="477"/>
      <c r="E402" s="477"/>
      <c r="F402" s="477"/>
      <c r="G402" s="477"/>
      <c r="H402" s="477"/>
      <c r="I402" s="477"/>
      <c r="J402" s="477"/>
      <c r="K402" s="477"/>
    </row>
    <row r="403" spans="2:11">
      <c r="B403" s="5"/>
      <c r="C403" s="64"/>
      <c r="D403" s="1"/>
      <c r="E403" s="64" t="s">
        <v>864</v>
      </c>
      <c r="F403" s="1"/>
      <c r="G403" s="1"/>
      <c r="H403" s="1"/>
      <c r="I403" s="1"/>
      <c r="J403" s="1"/>
      <c r="K403" s="1"/>
    </row>
    <row r="404" spans="2:11">
      <c r="B404" s="64"/>
      <c r="C404" s="63" t="s">
        <v>234</v>
      </c>
      <c r="D404" s="64" t="s">
        <v>790</v>
      </c>
      <c r="E404" s="64" t="s">
        <v>637</v>
      </c>
      <c r="F404" s="64" t="s">
        <v>864</v>
      </c>
      <c r="G404" s="64" t="s">
        <v>895</v>
      </c>
      <c r="H404" s="64" t="s">
        <v>896</v>
      </c>
      <c r="I404" s="64" t="s">
        <v>897</v>
      </c>
      <c r="J404" s="64" t="s">
        <v>898</v>
      </c>
      <c r="K404" s="64" t="s">
        <v>899</v>
      </c>
    </row>
    <row r="405" spans="2:11" ht="14.4" thickBot="1">
      <c r="B405" s="130"/>
      <c r="C405" s="66" t="s">
        <v>1</v>
      </c>
      <c r="D405" s="66" t="s">
        <v>1</v>
      </c>
      <c r="E405" s="66" t="s">
        <v>605</v>
      </c>
      <c r="F405" s="66" t="s">
        <v>19</v>
      </c>
      <c r="G405" s="66" t="str">
        <f>$M$1</f>
        <v>Adopted</v>
      </c>
      <c r="H405" s="66" t="s">
        <v>19</v>
      </c>
      <c r="I405" s="66" t="s">
        <v>19</v>
      </c>
      <c r="J405" s="66" t="s">
        <v>19</v>
      </c>
      <c r="K405" s="66" t="s">
        <v>19</v>
      </c>
    </row>
    <row r="406" spans="2:11">
      <c r="B406" s="62"/>
      <c r="C406" s="131"/>
      <c r="D406" s="2"/>
      <c r="E406" s="2"/>
      <c r="F406" s="2"/>
      <c r="G406" s="2"/>
      <c r="H406" s="2"/>
      <c r="I406" s="2"/>
      <c r="J406" s="2"/>
      <c r="K406" s="2"/>
    </row>
    <row r="407" spans="2:11">
      <c r="B407" s="124" t="s">
        <v>638</v>
      </c>
      <c r="C407" s="2"/>
      <c r="D407" s="2"/>
      <c r="E407" s="2"/>
      <c r="F407" s="2"/>
      <c r="G407" s="2"/>
      <c r="H407" s="2"/>
      <c r="I407" s="2"/>
      <c r="J407" s="2"/>
      <c r="K407" s="2"/>
    </row>
    <row r="408" spans="2:11" ht="20.100000000000001" customHeight="1">
      <c r="B408" s="324" t="s">
        <v>640</v>
      </c>
      <c r="C408" s="2">
        <f>SUM('Budget Detail FY 2017-24'!L720:L721)</f>
        <v>15711</v>
      </c>
      <c r="D408" s="2">
        <f>SUM('Budget Detail FY 2017-24'!M720:M721)</f>
        <v>0</v>
      </c>
      <c r="E408" s="2">
        <f>SUM('Budget Detail FY 2017-24'!N720:N721)</f>
        <v>702474</v>
      </c>
      <c r="F408" s="2">
        <f>SUM('Budget Detail FY 2017-24'!O720:O721)</f>
        <v>702474</v>
      </c>
      <c r="G408" s="2">
        <f>SUM('Budget Detail FY 2017-24'!P720:P721)</f>
        <v>0</v>
      </c>
      <c r="H408" s="2">
        <f>SUM('Budget Detail FY 2017-24'!Q720:Q721)</f>
        <v>0</v>
      </c>
      <c r="I408" s="2">
        <f>SUM('Budget Detail FY 2017-24'!R720:R721)</f>
        <v>0</v>
      </c>
      <c r="J408" s="2">
        <f>SUM('Budget Detail FY 2017-24'!S720:S721)</f>
        <v>0</v>
      </c>
      <c r="K408" s="2">
        <f>SUM('Budget Detail FY 2017-24'!T720:T721)</f>
        <v>0</v>
      </c>
    </row>
    <row r="409" spans="2:11" ht="20.100000000000001" customHeight="1">
      <c r="B409" s="323" t="s">
        <v>641</v>
      </c>
      <c r="C409" s="2">
        <f>'Budget Detail FY 2017-24'!L722</f>
        <v>1103</v>
      </c>
      <c r="D409" s="2">
        <f>'Budget Detail FY 2017-24'!M722</f>
        <v>1505</v>
      </c>
      <c r="E409" s="2">
        <f>'Budget Detail FY 2017-24'!N722</f>
        <v>0</v>
      </c>
      <c r="F409" s="2">
        <f>'Budget Detail FY 2017-24'!O722</f>
        <v>0</v>
      </c>
      <c r="G409" s="2">
        <f>'Budget Detail FY 2017-24'!P722</f>
        <v>0</v>
      </c>
      <c r="H409" s="2">
        <f>'Budget Detail FY 2017-24'!Q722</f>
        <v>0</v>
      </c>
      <c r="I409" s="2">
        <f>'Budget Detail FY 2017-24'!R722</f>
        <v>0</v>
      </c>
      <c r="J409" s="2">
        <f>'Budget Detail FY 2017-24'!S722</f>
        <v>0</v>
      </c>
      <c r="K409" s="2">
        <f>'Budget Detail FY 2017-24'!T722</f>
        <v>0</v>
      </c>
    </row>
    <row r="410" spans="2:11" ht="20.100000000000001" customHeight="1">
      <c r="B410" s="324" t="s">
        <v>674</v>
      </c>
      <c r="C410" s="2">
        <f>SUM('Budget Detail FY 2017-24'!L724:L737)</f>
        <v>47753</v>
      </c>
      <c r="D410" s="2">
        <f>SUM('Budget Detail FY 2017-24'!M724:M737)</f>
        <v>125491</v>
      </c>
      <c r="E410" s="2">
        <f>SUM('Budget Detail FY 2017-24'!N724:N737)</f>
        <v>11639</v>
      </c>
      <c r="F410" s="2">
        <f>SUM('Budget Detail FY 2017-24'!O724:O737)</f>
        <v>162779</v>
      </c>
      <c r="G410" s="2">
        <f>SUM('Budget Detail FY 2017-24'!P724:P737)</f>
        <v>58435</v>
      </c>
      <c r="H410" s="2">
        <f>SUM('Budget Detail FY 2017-24'!Q724:Q737)</f>
        <v>19579</v>
      </c>
      <c r="I410" s="2">
        <f>SUM('Budget Detail FY 2017-24'!R724:R737)</f>
        <v>0</v>
      </c>
      <c r="J410" s="2">
        <f>SUM('Budget Detail FY 2017-24'!S724:S737)</f>
        <v>0</v>
      </c>
      <c r="K410" s="2">
        <f>SUM('Budget Detail FY 2017-24'!T724:T737)</f>
        <v>28305</v>
      </c>
    </row>
    <row r="411" spans="2:11" ht="20.100000000000001" customHeight="1">
      <c r="B411" s="324" t="s">
        <v>645</v>
      </c>
      <c r="C411" s="2">
        <f>'Budget Detail FY 2017-24'!L723</f>
        <v>63796</v>
      </c>
      <c r="D411" s="2">
        <f>'Budget Detail FY 2017-24'!M723</f>
        <v>5701</v>
      </c>
      <c r="E411" s="2">
        <f>'Budget Detail FY 2017-24'!N723</f>
        <v>0</v>
      </c>
      <c r="F411" s="2">
        <f>'Budget Detail FY 2017-24'!O723</f>
        <v>0</v>
      </c>
      <c r="G411" s="2">
        <f>'Budget Detail FY 2017-24'!P723</f>
        <v>0</v>
      </c>
      <c r="H411" s="2">
        <f>'Budget Detail FY 2017-24'!Q723</f>
        <v>0</v>
      </c>
      <c r="I411" s="2">
        <f>'Budget Detail FY 2017-24'!R723</f>
        <v>0</v>
      </c>
      <c r="J411" s="2">
        <f>'Budget Detail FY 2017-24'!S723</f>
        <v>0</v>
      </c>
      <c r="K411" s="2">
        <f>'Budget Detail FY 2017-24'!T723</f>
        <v>0</v>
      </c>
    </row>
    <row r="412" spans="2:11" ht="20.100000000000001" customHeight="1">
      <c r="B412" s="324" t="s">
        <v>646</v>
      </c>
      <c r="C412" s="2">
        <f>'Budget Detail FY 2017-24'!L738</f>
        <v>0</v>
      </c>
      <c r="D412" s="2">
        <f>'Budget Detail FY 2017-24'!M738</f>
        <v>0</v>
      </c>
      <c r="E412" s="2">
        <f>'Budget Detail FY 2017-24'!N738</f>
        <v>0</v>
      </c>
      <c r="F412" s="2">
        <f>'Budget Detail FY 2017-24'!O738</f>
        <v>3406</v>
      </c>
      <c r="G412" s="2">
        <f>'Budget Detail FY 2017-24'!P738</f>
        <v>0</v>
      </c>
      <c r="H412" s="2">
        <f>'Budget Detail FY 2017-24'!Q738</f>
        <v>0</v>
      </c>
      <c r="I412" s="2">
        <f>'Budget Detail FY 2017-24'!R738</f>
        <v>0</v>
      </c>
      <c r="J412" s="2">
        <f>'Budget Detail FY 2017-24'!S738</f>
        <v>0</v>
      </c>
      <c r="K412" s="2">
        <f>'Budget Detail FY 2017-24'!T738</f>
        <v>0</v>
      </c>
    </row>
    <row r="413" spans="2:11" ht="20.100000000000001" customHeight="1">
      <c r="B413" s="324" t="s">
        <v>647</v>
      </c>
      <c r="C413" s="2">
        <f>'Budget Detail FY 2017-24'!L739</f>
        <v>2500</v>
      </c>
      <c r="D413" s="2">
        <f>'Budget Detail FY 2017-24'!M739</f>
        <v>2503</v>
      </c>
      <c r="E413" s="2">
        <f>'Budget Detail FY 2017-24'!N739</f>
        <v>0</v>
      </c>
      <c r="F413" s="2">
        <f>'Budget Detail FY 2017-24'!O739</f>
        <v>0</v>
      </c>
      <c r="G413" s="2">
        <f>'Budget Detail FY 2017-24'!P739</f>
        <v>0</v>
      </c>
      <c r="H413" s="2">
        <f>'Budget Detail FY 2017-24'!Q739</f>
        <v>0</v>
      </c>
      <c r="I413" s="2">
        <f>'Budget Detail FY 2017-24'!R739</f>
        <v>0</v>
      </c>
      <c r="J413" s="2">
        <f>'Budget Detail FY 2017-24'!S739</f>
        <v>0</v>
      </c>
      <c r="K413" s="2">
        <f>'Budget Detail FY 2017-24'!T739</f>
        <v>0</v>
      </c>
    </row>
    <row r="414" spans="2:11" ht="20.100000000000001" customHeight="1" thickBot="1">
      <c r="B414" s="123" t="s">
        <v>648</v>
      </c>
      <c r="C414" s="121">
        <f t="shared" ref="C414:K414" si="36">SUM(C408:C413)</f>
        <v>130863</v>
      </c>
      <c r="D414" s="121">
        <f t="shared" si="36"/>
        <v>135200</v>
      </c>
      <c r="E414" s="121">
        <f t="shared" si="36"/>
        <v>714113</v>
      </c>
      <c r="F414" s="121">
        <f t="shared" si="36"/>
        <v>868659</v>
      </c>
      <c r="G414" s="121">
        <f t="shared" si="36"/>
        <v>58435</v>
      </c>
      <c r="H414" s="121">
        <f t="shared" si="36"/>
        <v>19579</v>
      </c>
      <c r="I414" s="121">
        <f t="shared" si="36"/>
        <v>0</v>
      </c>
      <c r="J414" s="121">
        <f t="shared" si="36"/>
        <v>0</v>
      </c>
      <c r="K414" s="121">
        <f t="shared" si="36"/>
        <v>28305</v>
      </c>
    </row>
    <row r="415" spans="2:11">
      <c r="B415" s="1"/>
      <c r="C415" s="2"/>
      <c r="D415" s="2"/>
      <c r="E415" s="2"/>
      <c r="F415" s="2"/>
      <c r="G415" s="2"/>
      <c r="H415" s="2"/>
      <c r="I415" s="2"/>
      <c r="J415" s="2"/>
      <c r="K415" s="2"/>
    </row>
    <row r="416" spans="2:11">
      <c r="B416" s="124" t="s">
        <v>457</v>
      </c>
      <c r="C416" s="2"/>
      <c r="D416" s="2"/>
      <c r="E416" s="2"/>
      <c r="F416" s="2"/>
      <c r="G416" s="2"/>
      <c r="H416" s="2"/>
      <c r="I416" s="2"/>
      <c r="J416" s="2"/>
      <c r="K416" s="2"/>
    </row>
    <row r="417" spans="2:11" ht="20.100000000000001" customHeight="1">
      <c r="B417" s="325" t="s">
        <v>651</v>
      </c>
      <c r="C417" s="2">
        <f>'Budget Detail FY 2017-24'!L743+'Budget Detail FY 2017-24'!L744</f>
        <v>1103</v>
      </c>
      <c r="D417" s="2">
        <f>'Budget Detail FY 2017-24'!M743+'Budget Detail FY 2017-24'!M744</f>
        <v>1505</v>
      </c>
      <c r="E417" s="2">
        <f>'Budget Detail FY 2017-24'!N743+'Budget Detail FY 2017-24'!N744</f>
        <v>0</v>
      </c>
      <c r="F417" s="2">
        <f>'Budget Detail FY 2017-24'!O743+'Budget Detail FY 2017-24'!O744</f>
        <v>4795</v>
      </c>
      <c r="G417" s="2">
        <f>'Budget Detail FY 2017-24'!P743+'Budget Detail FY 2017-24'!P744</f>
        <v>4850</v>
      </c>
      <c r="H417" s="2">
        <f>'Budget Detail FY 2017-24'!Q743+'Budget Detail FY 2017-24'!Q744</f>
        <v>4850</v>
      </c>
      <c r="I417" s="2">
        <f>'Budget Detail FY 2017-24'!R743+'Budget Detail FY 2017-24'!R744</f>
        <v>5000</v>
      </c>
      <c r="J417" s="2">
        <f>'Budget Detail FY 2017-24'!S743+'Budget Detail FY 2017-24'!S744</f>
        <v>5000</v>
      </c>
      <c r="K417" s="2">
        <f>'Budget Detail FY 2017-24'!T743+'Budget Detail FY 2017-24'!T744</f>
        <v>5000</v>
      </c>
    </row>
    <row r="418" spans="2:11" ht="20.100000000000001" customHeight="1">
      <c r="B418" s="325" t="s">
        <v>653</v>
      </c>
      <c r="C418" s="2">
        <f>SUM('Budget Detail FY 2017-24'!L745:L758)</f>
        <v>91762</v>
      </c>
      <c r="D418" s="2">
        <f>SUM('Budget Detail FY 2017-24'!M745:M758)</f>
        <v>662215</v>
      </c>
      <c r="E418" s="2">
        <f>SUM('Budget Detail FY 2017-24'!N745:N758)</f>
        <v>435000</v>
      </c>
      <c r="F418" s="2">
        <f>SUM('Budget Detail FY 2017-24'!O745:O758)</f>
        <v>379500</v>
      </c>
      <c r="G418" s="2">
        <f>SUM('Budget Detail FY 2017-24'!P745:P758)</f>
        <v>100000</v>
      </c>
      <c r="H418" s="2">
        <f>SUM('Budget Detail FY 2017-24'!Q745:Q758)</f>
        <v>100000</v>
      </c>
      <c r="I418" s="2">
        <f>SUM('Budget Detail FY 2017-24'!R745:R758)</f>
        <v>0</v>
      </c>
      <c r="J418" s="2">
        <f>SUM('Budget Detail FY 2017-24'!S745:S758)</f>
        <v>75000</v>
      </c>
      <c r="K418" s="2">
        <f>SUM('Budget Detail FY 2017-24'!T745:T758)</f>
        <v>210000</v>
      </c>
    </row>
    <row r="419" spans="2:11" ht="20.100000000000001" customHeight="1" thickBot="1">
      <c r="B419" s="123" t="s">
        <v>655</v>
      </c>
      <c r="C419" s="121">
        <f>SUM(C417:C418)</f>
        <v>92865</v>
      </c>
      <c r="D419" s="121">
        <f t="shared" ref="D419:K419" si="37">SUM(D417:D418)</f>
        <v>663720</v>
      </c>
      <c r="E419" s="121">
        <f t="shared" si="37"/>
        <v>435000</v>
      </c>
      <c r="F419" s="121">
        <f t="shared" si="37"/>
        <v>384295</v>
      </c>
      <c r="G419" s="121">
        <f t="shared" si="37"/>
        <v>104850</v>
      </c>
      <c r="H419" s="121">
        <f t="shared" si="37"/>
        <v>104850</v>
      </c>
      <c r="I419" s="121">
        <f t="shared" si="37"/>
        <v>5000</v>
      </c>
      <c r="J419" s="121">
        <f t="shared" si="37"/>
        <v>80000</v>
      </c>
      <c r="K419" s="121">
        <f t="shared" si="37"/>
        <v>215000</v>
      </c>
    </row>
    <row r="420" spans="2:11">
      <c r="B420" s="126"/>
      <c r="C420" s="3"/>
      <c r="D420" s="2"/>
      <c r="E420" s="2"/>
      <c r="F420" s="2"/>
      <c r="G420" s="2"/>
      <c r="H420" s="2"/>
      <c r="I420" s="2"/>
      <c r="J420" s="2"/>
      <c r="K420" s="2"/>
    </row>
    <row r="421" spans="2:11" ht="20.100000000000001" customHeight="1">
      <c r="B421" s="327" t="s">
        <v>656</v>
      </c>
      <c r="C421" s="3">
        <f t="shared" ref="C421:K421" si="38">+C414-C419</f>
        <v>37998</v>
      </c>
      <c r="D421" s="3">
        <f t="shared" si="38"/>
        <v>-528520</v>
      </c>
      <c r="E421" s="3">
        <f t="shared" si="38"/>
        <v>279113</v>
      </c>
      <c r="F421" s="3">
        <f t="shared" si="38"/>
        <v>484364</v>
      </c>
      <c r="G421" s="3">
        <f t="shared" si="38"/>
        <v>-46415</v>
      </c>
      <c r="H421" s="3">
        <f t="shared" si="38"/>
        <v>-85271</v>
      </c>
      <c r="I421" s="3">
        <f t="shared" si="38"/>
        <v>-5000</v>
      </c>
      <c r="J421" s="3">
        <f t="shared" si="38"/>
        <v>-80000</v>
      </c>
      <c r="K421" s="3">
        <f t="shared" si="38"/>
        <v>-186695</v>
      </c>
    </row>
    <row r="422" spans="2:11">
      <c r="B422" s="127"/>
      <c r="C422" s="3"/>
      <c r="D422" s="2"/>
      <c r="E422" s="2"/>
      <c r="F422" s="2"/>
      <c r="G422" s="2"/>
      <c r="H422" s="2"/>
      <c r="I422" s="2"/>
      <c r="J422" s="2"/>
      <c r="K422" s="2"/>
    </row>
    <row r="423" spans="2:11" ht="20.100000000000001" customHeight="1" thickBot="1">
      <c r="B423" s="122" t="s">
        <v>657</v>
      </c>
      <c r="C423" s="79">
        <v>250318</v>
      </c>
      <c r="D423" s="79">
        <v>-278204</v>
      </c>
      <c r="E423" s="79">
        <v>62362</v>
      </c>
      <c r="F423" s="79">
        <f>D423+F421</f>
        <v>206160</v>
      </c>
      <c r="G423" s="79">
        <f>F423+G421</f>
        <v>159745</v>
      </c>
      <c r="H423" s="79">
        <f>G423+H421</f>
        <v>74474</v>
      </c>
      <c r="I423" s="79">
        <f>H423+I421</f>
        <v>69474</v>
      </c>
      <c r="J423" s="79">
        <f>I423+J421</f>
        <v>-10526</v>
      </c>
      <c r="K423" s="79">
        <f>J423+K421</f>
        <v>-197221</v>
      </c>
    </row>
    <row r="424" spans="2:11" ht="14.4" thickTop="1">
      <c r="B424" s="128"/>
      <c r="C424" s="3"/>
      <c r="D424" s="3"/>
      <c r="E424" s="3"/>
      <c r="F424" s="2"/>
      <c r="G424" s="2"/>
      <c r="H424" s="2"/>
      <c r="I424" s="2"/>
      <c r="J424" s="2"/>
      <c r="K424" s="2"/>
    </row>
    <row r="425" spans="2:11">
      <c r="B425" s="128"/>
      <c r="C425" s="2"/>
      <c r="D425" s="2"/>
      <c r="E425" s="2"/>
      <c r="F425" s="2"/>
      <c r="G425" s="2"/>
      <c r="H425" s="2"/>
      <c r="I425" s="2"/>
      <c r="J425" s="2"/>
      <c r="K425" s="2"/>
    </row>
    <row r="426" spans="2:11">
      <c r="B426" s="1"/>
      <c r="C426" s="2"/>
      <c r="D426" s="2"/>
      <c r="E426" s="2"/>
      <c r="F426" s="2"/>
      <c r="G426" s="2"/>
      <c r="H426" s="2"/>
      <c r="I426" s="2"/>
      <c r="J426" s="2"/>
      <c r="K426" s="2"/>
    </row>
    <row r="427" spans="2:11">
      <c r="B427" s="1"/>
      <c r="C427" s="2"/>
      <c r="D427" s="2"/>
      <c r="E427" s="2"/>
      <c r="F427" s="2"/>
      <c r="G427" s="2"/>
      <c r="H427" s="2"/>
      <c r="I427" s="2"/>
      <c r="J427" s="2"/>
      <c r="K427" s="2"/>
    </row>
    <row r="428" spans="2:11">
      <c r="B428" s="1"/>
      <c r="C428" s="2"/>
      <c r="D428" s="2"/>
      <c r="E428" s="2"/>
      <c r="F428" s="2"/>
      <c r="G428" s="2"/>
      <c r="H428" s="2"/>
      <c r="I428" s="2"/>
      <c r="J428" s="2"/>
      <c r="K428" s="2"/>
    </row>
    <row r="429" spans="2:11">
      <c r="B429" s="1"/>
      <c r="C429" s="2"/>
      <c r="D429" s="2"/>
      <c r="E429" s="2"/>
      <c r="F429" s="2"/>
      <c r="G429" s="2"/>
      <c r="H429" s="2"/>
      <c r="I429" s="2"/>
      <c r="J429" s="2"/>
      <c r="K429" s="2"/>
    </row>
    <row r="430" spans="2:11">
      <c r="B430" s="1"/>
      <c r="C430" s="2"/>
      <c r="D430" s="2"/>
      <c r="E430" s="2"/>
      <c r="F430" s="2"/>
      <c r="G430" s="2"/>
      <c r="H430" s="2"/>
      <c r="I430" s="2"/>
      <c r="J430" s="2"/>
      <c r="K430" s="2"/>
    </row>
    <row r="431" spans="2:11">
      <c r="B431" s="1"/>
      <c r="C431" s="2"/>
      <c r="D431" s="2"/>
      <c r="E431" s="2"/>
      <c r="F431" s="2"/>
      <c r="G431" s="2"/>
      <c r="H431" s="2"/>
      <c r="I431" s="2"/>
      <c r="J431" s="2"/>
      <c r="K431" s="2"/>
    </row>
    <row r="432" spans="2:11">
      <c r="B432" s="1"/>
      <c r="C432" s="2"/>
      <c r="D432" s="2"/>
      <c r="E432" s="2"/>
      <c r="F432" s="2"/>
      <c r="G432" s="2"/>
      <c r="H432" s="2"/>
      <c r="I432" s="2"/>
      <c r="J432" s="2"/>
      <c r="K432" s="2"/>
    </row>
    <row r="433" spans="2:11">
      <c r="B433" s="1"/>
      <c r="C433" s="2"/>
      <c r="D433" s="2"/>
      <c r="E433" s="2"/>
      <c r="F433" s="2"/>
      <c r="G433" s="2"/>
      <c r="H433" s="2"/>
      <c r="I433" s="2"/>
      <c r="J433" s="2"/>
      <c r="K433" s="2"/>
    </row>
    <row r="434" spans="2:11">
      <c r="B434" s="1"/>
      <c r="C434" s="2"/>
      <c r="D434" s="2"/>
      <c r="E434" s="2"/>
      <c r="F434" s="2"/>
      <c r="G434" s="2"/>
      <c r="H434" s="2"/>
      <c r="I434" s="2"/>
      <c r="J434" s="2"/>
      <c r="K434" s="2"/>
    </row>
    <row r="435" spans="2:11">
      <c r="B435" s="1"/>
      <c r="C435" s="2"/>
      <c r="D435" s="2"/>
      <c r="E435" s="2"/>
      <c r="F435" s="2"/>
      <c r="G435" s="2"/>
      <c r="H435" s="2"/>
      <c r="I435" s="2"/>
      <c r="J435" s="2"/>
      <c r="K435" s="2"/>
    </row>
    <row r="436" spans="2:11">
      <c r="B436" s="1"/>
      <c r="C436" s="2"/>
      <c r="D436" s="2"/>
      <c r="E436" s="2"/>
      <c r="F436" s="2"/>
      <c r="G436" s="2"/>
      <c r="H436" s="2"/>
      <c r="I436" s="2"/>
      <c r="J436" s="2"/>
      <c r="K436" s="2"/>
    </row>
    <row r="439" spans="2:11" ht="18.75" customHeight="1">
      <c r="B439" s="476" t="s">
        <v>675</v>
      </c>
      <c r="C439" s="476"/>
      <c r="D439" s="476"/>
      <c r="E439" s="476"/>
      <c r="F439" s="476"/>
      <c r="G439" s="476"/>
      <c r="H439" s="476"/>
      <c r="I439" s="476"/>
      <c r="J439" s="476"/>
      <c r="K439" s="476"/>
    </row>
    <row r="440" spans="2:11">
      <c r="B440" s="63"/>
      <c r="C440" s="3"/>
      <c r="D440" s="2"/>
      <c r="E440" s="2"/>
      <c r="F440" s="2"/>
      <c r="G440" s="2"/>
      <c r="H440" s="2"/>
      <c r="I440" s="2"/>
      <c r="J440" s="2"/>
      <c r="K440" s="2"/>
    </row>
    <row r="441" spans="2:11" ht="12.75" customHeight="1">
      <c r="B441" s="467" t="s">
        <v>676</v>
      </c>
      <c r="C441" s="467"/>
      <c r="D441" s="467"/>
      <c r="E441" s="467"/>
      <c r="F441" s="467"/>
      <c r="G441" s="467"/>
      <c r="H441" s="467"/>
      <c r="I441" s="467"/>
      <c r="J441" s="467"/>
      <c r="K441" s="467"/>
    </row>
    <row r="442" spans="2:11" ht="12.75" customHeight="1">
      <c r="B442" s="467"/>
      <c r="C442" s="467"/>
      <c r="D442" s="467"/>
      <c r="E442" s="467"/>
      <c r="F442" s="467"/>
      <c r="G442" s="467"/>
      <c r="H442" s="467"/>
      <c r="I442" s="467"/>
      <c r="J442" s="467"/>
      <c r="K442" s="467"/>
    </row>
    <row r="443" spans="2:11" ht="12.75" customHeight="1">
      <c r="B443" s="467"/>
      <c r="C443" s="467"/>
      <c r="D443" s="467"/>
      <c r="E443" s="467"/>
      <c r="F443" s="467"/>
      <c r="G443" s="467"/>
      <c r="H443" s="467"/>
      <c r="I443" s="467"/>
      <c r="J443" s="467"/>
      <c r="K443" s="467"/>
    </row>
    <row r="444" spans="2:11" ht="23.25" customHeight="1">
      <c r="B444" s="467"/>
      <c r="C444" s="467"/>
      <c r="D444" s="467"/>
      <c r="E444" s="467"/>
      <c r="F444" s="467"/>
      <c r="G444" s="467"/>
      <c r="H444" s="467"/>
      <c r="I444" s="467"/>
      <c r="J444" s="467"/>
      <c r="K444" s="467"/>
    </row>
    <row r="445" spans="2:11">
      <c r="B445" s="5"/>
      <c r="C445" s="64"/>
      <c r="D445" s="1"/>
      <c r="E445" s="64" t="s">
        <v>864</v>
      </c>
      <c r="F445" s="1"/>
      <c r="G445" s="1"/>
      <c r="H445" s="1"/>
      <c r="I445" s="1"/>
      <c r="J445" s="1"/>
      <c r="K445" s="1"/>
    </row>
    <row r="446" spans="2:11">
      <c r="B446" s="64"/>
      <c r="C446" s="63" t="s">
        <v>234</v>
      </c>
      <c r="D446" s="64" t="s">
        <v>790</v>
      </c>
      <c r="E446" s="64" t="s">
        <v>637</v>
      </c>
      <c r="F446" s="64" t="s">
        <v>864</v>
      </c>
      <c r="G446" s="64" t="s">
        <v>895</v>
      </c>
      <c r="H446" s="64" t="s">
        <v>896</v>
      </c>
      <c r="I446" s="64" t="s">
        <v>897</v>
      </c>
      <c r="J446" s="64" t="s">
        <v>898</v>
      </c>
      <c r="K446" s="64" t="s">
        <v>899</v>
      </c>
    </row>
    <row r="447" spans="2:11" ht="14.4" thickBot="1">
      <c r="B447" s="130"/>
      <c r="C447" s="66" t="s">
        <v>1</v>
      </c>
      <c r="D447" s="66" t="s">
        <v>1</v>
      </c>
      <c r="E447" s="66" t="s">
        <v>605</v>
      </c>
      <c r="F447" s="66" t="s">
        <v>19</v>
      </c>
      <c r="G447" s="66" t="str">
        <f>$M$1</f>
        <v>Adopted</v>
      </c>
      <c r="H447" s="66" t="s">
        <v>19</v>
      </c>
      <c r="I447" s="66" t="s">
        <v>19</v>
      </c>
      <c r="J447" s="66" t="s">
        <v>19</v>
      </c>
      <c r="K447" s="66" t="s">
        <v>19</v>
      </c>
    </row>
    <row r="448" spans="2:11" ht="7.5" customHeight="1">
      <c r="B448" s="62"/>
      <c r="C448" s="131"/>
      <c r="D448" s="2"/>
      <c r="E448" s="2"/>
      <c r="F448" s="2"/>
      <c r="G448" s="2"/>
      <c r="H448" s="2"/>
      <c r="I448" s="2"/>
      <c r="J448" s="2"/>
      <c r="K448" s="2"/>
    </row>
    <row r="449" spans="2:13">
      <c r="B449" s="124" t="s">
        <v>638</v>
      </c>
      <c r="C449" s="2"/>
      <c r="D449" s="2"/>
      <c r="E449" s="2"/>
      <c r="F449" s="2"/>
      <c r="G449" s="2"/>
      <c r="H449" s="2"/>
      <c r="I449" s="2"/>
      <c r="J449" s="2"/>
      <c r="K449" s="2"/>
    </row>
    <row r="450" spans="2:13" ht="20.100000000000001" customHeight="1">
      <c r="B450" s="324" t="s">
        <v>640</v>
      </c>
      <c r="C450" s="2">
        <f>'Budget Detail FY 2017-24'!L768</f>
        <v>0</v>
      </c>
      <c r="D450" s="2">
        <f>'Budget Detail FY 2017-24'!M768</f>
        <v>0</v>
      </c>
      <c r="E450" s="2">
        <f>'Budget Detail FY 2017-24'!N768</f>
        <v>81815</v>
      </c>
      <c r="F450" s="2">
        <f>'Budget Detail FY 2017-24'!O768</f>
        <v>81815</v>
      </c>
      <c r="G450" s="2">
        <f>'Budget Detail FY 2017-24'!P768</f>
        <v>0</v>
      </c>
      <c r="H450" s="2">
        <f>'Budget Detail FY 2017-24'!Q768</f>
        <v>0</v>
      </c>
      <c r="I450" s="2">
        <f>'Budget Detail FY 2017-24'!R768</f>
        <v>0</v>
      </c>
      <c r="J450" s="2">
        <f>'Budget Detail FY 2017-24'!S768</f>
        <v>0</v>
      </c>
      <c r="K450" s="2">
        <f>'Budget Detail FY 2017-24'!T768</f>
        <v>0</v>
      </c>
      <c r="M450" s="324"/>
    </row>
    <row r="451" spans="2:13" ht="20.100000000000001" customHeight="1">
      <c r="B451" s="324" t="s">
        <v>643</v>
      </c>
      <c r="C451" s="2">
        <f>SUM('Budget Detail FY 2017-24'!L769:L772)</f>
        <v>455676</v>
      </c>
      <c r="D451" s="2">
        <f>SUM('Budget Detail FY 2017-24'!M769:M772)</f>
        <v>453466</v>
      </c>
      <c r="E451" s="2">
        <f>SUM('Budget Detail FY 2017-24'!N769:N772)</f>
        <v>565000</v>
      </c>
      <c r="F451" s="2">
        <f>SUM('Budget Detail FY 2017-24'!O769:O772)</f>
        <v>578000</v>
      </c>
      <c r="G451" s="2">
        <f>SUM('Budget Detail FY 2017-24'!P769:P772)</f>
        <v>632000</v>
      </c>
      <c r="H451" s="2">
        <f>SUM('Budget Detail FY 2017-24'!Q769:Q772)</f>
        <v>632000</v>
      </c>
      <c r="I451" s="2">
        <f>SUM('Budget Detail FY 2017-24'!R769:R772)</f>
        <v>632000</v>
      </c>
      <c r="J451" s="2">
        <f>SUM('Budget Detail FY 2017-24'!S769:S772)</f>
        <v>632000</v>
      </c>
      <c r="K451" s="2">
        <f>SUM('Budget Detail FY 2017-24'!T769:T772)</f>
        <v>632000</v>
      </c>
      <c r="M451" s="324"/>
    </row>
    <row r="452" spans="2:13" ht="20.100000000000001" customHeight="1">
      <c r="B452" s="324" t="s">
        <v>644</v>
      </c>
      <c r="C452" s="2">
        <f>'Budget Detail FY 2017-24'!L773</f>
        <v>328</v>
      </c>
      <c r="D452" s="2">
        <f>'Budget Detail FY 2017-24'!M773</f>
        <v>800</v>
      </c>
      <c r="E452" s="2">
        <f>'Budget Detail FY 2017-24'!N773</f>
        <v>500</v>
      </c>
      <c r="F452" s="2">
        <f>'Budget Detail FY 2017-24'!O773</f>
        <v>1500</v>
      </c>
      <c r="G452" s="2">
        <f>'Budget Detail FY 2017-24'!P773</f>
        <v>1500</v>
      </c>
      <c r="H452" s="2">
        <f>'Budget Detail FY 2017-24'!Q773</f>
        <v>1500</v>
      </c>
      <c r="I452" s="2">
        <f>'Budget Detail FY 2017-24'!R773</f>
        <v>1500</v>
      </c>
      <c r="J452" s="2">
        <f>'Budget Detail FY 2017-24'!S773</f>
        <v>1500</v>
      </c>
      <c r="K452" s="2">
        <f>'Budget Detail FY 2017-24'!T773</f>
        <v>1500</v>
      </c>
      <c r="M452" s="324"/>
    </row>
    <row r="453" spans="2:13" ht="20.100000000000001" customHeight="1">
      <c r="B453" s="324" t="s">
        <v>645</v>
      </c>
      <c r="C453" s="2">
        <f>SUM('Budget Detail FY 2017-24'!L774:L774)</f>
        <v>3002</v>
      </c>
      <c r="D453" s="2">
        <f>SUM('Budget Detail FY 2017-24'!M774:M774)</f>
        <v>174</v>
      </c>
      <c r="E453" s="2">
        <f>SUM('Budget Detail FY 2017-24'!N774:N774)</f>
        <v>0</v>
      </c>
      <c r="F453" s="2">
        <f>SUM('Budget Detail FY 2017-24'!O774:O774)</f>
        <v>19158</v>
      </c>
      <c r="G453" s="2">
        <f>SUM('Budget Detail FY 2017-24'!P774:P774)</f>
        <v>0</v>
      </c>
      <c r="H453" s="2">
        <f>SUM('Budget Detail FY 2017-24'!Q774:Q774)</f>
        <v>0</v>
      </c>
      <c r="I453" s="2">
        <f>SUM('Budget Detail FY 2017-24'!R774:R774)</f>
        <v>0</v>
      </c>
      <c r="J453" s="2">
        <f>SUM('Budget Detail FY 2017-24'!S774:S774)</f>
        <v>0</v>
      </c>
      <c r="K453" s="2">
        <f>SUM('Budget Detail FY 2017-24'!T774:T774)</f>
        <v>0</v>
      </c>
      <c r="M453" s="324"/>
    </row>
    <row r="454" spans="2:13" ht="20.100000000000001" customHeight="1">
      <c r="B454" s="324" t="s">
        <v>646</v>
      </c>
      <c r="C454" s="2">
        <f>SUM('Budget Detail FY 2017-24'!L775:L779)</f>
        <v>209970</v>
      </c>
      <c r="D454" s="2">
        <f>SUM('Budget Detail FY 2017-24'!M775:M779)</f>
        <v>234784</v>
      </c>
      <c r="E454" s="2">
        <f>SUM('Budget Detail FY 2017-24'!N775:N779)</f>
        <v>201000</v>
      </c>
      <c r="F454" s="2">
        <f>SUM('Budget Detail FY 2017-24'!O775:O779)</f>
        <v>204849</v>
      </c>
      <c r="G454" s="2">
        <f>SUM('Budget Detail FY 2017-24'!P775:P779)</f>
        <v>200500</v>
      </c>
      <c r="H454" s="2">
        <f>SUM('Budget Detail FY 2017-24'!Q775:Q779)</f>
        <v>202416</v>
      </c>
      <c r="I454" s="2">
        <f>SUM('Budget Detail FY 2017-24'!R775:R779)</f>
        <v>204409</v>
      </c>
      <c r="J454" s="2">
        <f>SUM('Budget Detail FY 2017-24'!S775:S779)</f>
        <v>206481</v>
      </c>
      <c r="K454" s="2">
        <f>SUM('Budget Detail FY 2017-24'!T775:T779)</f>
        <v>208636</v>
      </c>
      <c r="M454" s="324"/>
    </row>
    <row r="455" spans="2:13" ht="20.100000000000001" customHeight="1">
      <c r="B455" s="324" t="s">
        <v>647</v>
      </c>
      <c r="C455" s="2">
        <f>'Budget Detail FY 2017-24'!L780</f>
        <v>1118638</v>
      </c>
      <c r="D455" s="2">
        <f>'Budget Detail FY 2017-24'!M780</f>
        <v>1308583</v>
      </c>
      <c r="E455" s="2">
        <f>'Budget Detail FY 2017-24'!N780</f>
        <v>1274699</v>
      </c>
      <c r="F455" s="2">
        <f>'Budget Detail FY 2017-24'!O780</f>
        <v>1274699</v>
      </c>
      <c r="G455" s="2">
        <f>'Budget Detail FY 2017-24'!P780</f>
        <v>1410988</v>
      </c>
      <c r="H455" s="2">
        <f>'Budget Detail FY 2017-24'!Q780</f>
        <v>1558701</v>
      </c>
      <c r="I455" s="2">
        <f>'Budget Detail FY 2017-24'!R780</f>
        <v>1622068</v>
      </c>
      <c r="J455" s="2">
        <f>'Budget Detail FY 2017-24'!S780</f>
        <v>1699258</v>
      </c>
      <c r="K455" s="2">
        <f>'Budget Detail FY 2017-24'!T780</f>
        <v>1765181</v>
      </c>
    </row>
    <row r="456" spans="2:13" ht="20.100000000000001" customHeight="1" thickBot="1">
      <c r="B456" s="123" t="s">
        <v>648</v>
      </c>
      <c r="C456" s="121">
        <f>SUM(C450:C455)</f>
        <v>1787614</v>
      </c>
      <c r="D456" s="121">
        <f t="shared" ref="D456:K456" si="39">SUM(D450:D455)</f>
        <v>1997807</v>
      </c>
      <c r="E456" s="121">
        <f t="shared" si="39"/>
        <v>2123014</v>
      </c>
      <c r="F456" s="121">
        <f t="shared" si="39"/>
        <v>2160021</v>
      </c>
      <c r="G456" s="121">
        <f>SUM(G450:G455)</f>
        <v>2244988</v>
      </c>
      <c r="H456" s="121">
        <f t="shared" si="39"/>
        <v>2394617</v>
      </c>
      <c r="I456" s="121">
        <f t="shared" si="39"/>
        <v>2459977</v>
      </c>
      <c r="J456" s="121">
        <f t="shared" si="39"/>
        <v>2539239</v>
      </c>
      <c r="K456" s="121">
        <f t="shared" si="39"/>
        <v>2607317</v>
      </c>
    </row>
    <row r="457" spans="2:13" ht="7.5" customHeight="1">
      <c r="B457" s="1"/>
      <c r="C457" s="2"/>
      <c r="D457" s="2"/>
      <c r="E457" s="2"/>
      <c r="F457" s="2"/>
      <c r="G457" s="2"/>
      <c r="H457" s="2"/>
      <c r="I457" s="2"/>
      <c r="J457" s="2"/>
      <c r="K457" s="2"/>
    </row>
    <row r="458" spans="2:13">
      <c r="B458" s="124" t="s">
        <v>457</v>
      </c>
      <c r="C458" s="2"/>
      <c r="D458" s="2"/>
      <c r="E458" s="2"/>
      <c r="F458" s="2"/>
      <c r="G458" s="2"/>
      <c r="H458" s="2"/>
      <c r="I458" s="2"/>
      <c r="J458" s="2"/>
      <c r="K458" s="2"/>
    </row>
    <row r="459" spans="2:13" ht="20.100000000000001" customHeight="1">
      <c r="B459" s="325" t="s">
        <v>649</v>
      </c>
      <c r="C459" s="2">
        <f>SUM('Budget Detail FY 2017-24'!L785:L787)+SUM('Budget Detail FY 2017-24'!L813:L817)</f>
        <v>805190</v>
      </c>
      <c r="D459" s="2">
        <f>SUM('Budget Detail FY 2017-24'!M785:M787)+SUM('Budget Detail FY 2017-24'!M813:M817)</f>
        <v>868189</v>
      </c>
      <c r="E459" s="2">
        <f>SUM('Budget Detail FY 2017-24'!N785:N787)+SUM('Budget Detail FY 2017-24'!N813:N817)</f>
        <v>989828</v>
      </c>
      <c r="F459" s="2">
        <f>SUM('Budget Detail FY 2017-24'!O785:O787)+SUM('Budget Detail FY 2017-24'!O813:O817)</f>
        <v>992500</v>
      </c>
      <c r="G459" s="2">
        <f>SUM('Budget Detail FY 2017-24'!P785:P787)+SUM('Budget Detail FY 2017-24'!P813:P817)</f>
        <v>1103861</v>
      </c>
      <c r="H459" s="2">
        <f>SUM('Budget Detail FY 2017-24'!Q785:Q787)+SUM('Budget Detail FY 2017-24'!Q813:Q817)</f>
        <v>1133217</v>
      </c>
      <c r="I459" s="2">
        <f>SUM('Budget Detail FY 2017-24'!R785:R787)+SUM('Budget Detail FY 2017-24'!R813:R817)</f>
        <v>1163393</v>
      </c>
      <c r="J459" s="2">
        <f>SUM('Budget Detail FY 2017-24'!S785:S787)+SUM('Budget Detail FY 2017-24'!S813:S817)</f>
        <v>1194415</v>
      </c>
      <c r="K459" s="2">
        <f>SUM('Budget Detail FY 2017-24'!T785:T787)+SUM('Budget Detail FY 2017-24'!T813:T817)</f>
        <v>1226308</v>
      </c>
      <c r="M459" s="325"/>
    </row>
    <row r="460" spans="2:13" ht="20.100000000000001" customHeight="1">
      <c r="B460" s="325" t="s">
        <v>650</v>
      </c>
      <c r="C460" s="2">
        <f>SUM('Budget Detail FY 2017-24'!L788:L793)+SUM('Budget Detail FY 2017-24'!L818:L823)</f>
        <v>365079</v>
      </c>
      <c r="D460" s="2">
        <f>SUM('Budget Detail FY 2017-24'!M788:M793)+SUM('Budget Detail FY 2017-24'!M818:M823)</f>
        <v>390010</v>
      </c>
      <c r="E460" s="2">
        <f>SUM('Budget Detail FY 2017-24'!N788:N793)+SUM('Budget Detail FY 2017-24'!N818:N823)</f>
        <v>437531</v>
      </c>
      <c r="F460" s="2">
        <f>SUM('Budget Detail FY 2017-24'!O788:O793)+SUM('Budget Detail FY 2017-24'!O818:O823)</f>
        <v>415316</v>
      </c>
      <c r="G460" s="2">
        <f>SUM('Budget Detail FY 2017-24'!P788:P793)+SUM('Budget Detail FY 2017-24'!P818:P823)</f>
        <v>448232</v>
      </c>
      <c r="H460" s="2">
        <f>SUM('Budget Detail FY 2017-24'!Q788:Q793)+SUM('Budget Detail FY 2017-24'!Q818:Q823)</f>
        <v>470329</v>
      </c>
      <c r="I460" s="2">
        <f>SUM('Budget Detail FY 2017-24'!R788:R793)+SUM('Budget Detail FY 2017-24'!R818:R823)</f>
        <v>501290</v>
      </c>
      <c r="J460" s="2">
        <f>SUM('Budget Detail FY 2017-24'!S788:S793)+SUM('Budget Detail FY 2017-24'!S818:S823)</f>
        <v>534481</v>
      </c>
      <c r="K460" s="2">
        <f>SUM('Budget Detail FY 2017-24'!T788:T793)+SUM('Budget Detail FY 2017-24'!T818:T823)</f>
        <v>570072</v>
      </c>
      <c r="M460" s="325"/>
    </row>
    <row r="461" spans="2:13" ht="20.100000000000001" customHeight="1">
      <c r="B461" s="325" t="s">
        <v>651</v>
      </c>
      <c r="C461" s="2">
        <f>SUM('Budget Detail FY 2017-24'!L794:L803)+SUM('Budget Detail FY 2017-24'!L824:L839)</f>
        <v>311346</v>
      </c>
      <c r="D461" s="2">
        <f>SUM('Budget Detail FY 2017-24'!M794:M803)+SUM('Budget Detail FY 2017-24'!M824:M839)</f>
        <v>318383</v>
      </c>
      <c r="E461" s="2">
        <f>SUM('Budget Detail FY 2017-24'!N794:N803)+SUM('Budget Detail FY 2017-24'!N824:N839)</f>
        <v>294214</v>
      </c>
      <c r="F461" s="2">
        <f>SUM('Budget Detail FY 2017-24'!O794:O803)+SUM('Budget Detail FY 2017-24'!O824:O839)</f>
        <v>282579</v>
      </c>
      <c r="G461" s="2">
        <f>SUM('Budget Detail FY 2017-24'!P794:P803)+SUM('Budget Detail FY 2017-24'!P824:P839)</f>
        <v>301682</v>
      </c>
      <c r="H461" s="2">
        <f>SUM('Budget Detail FY 2017-24'!Q794:Q803)+SUM('Budget Detail FY 2017-24'!Q824:Q839)</f>
        <v>293490</v>
      </c>
      <c r="I461" s="2">
        <f>SUM('Budget Detail FY 2017-24'!R794:R803)+SUM('Budget Detail FY 2017-24'!R824:R839)</f>
        <v>293663</v>
      </c>
      <c r="J461" s="2">
        <f>SUM('Budget Detail FY 2017-24'!S794:S803)+SUM('Budget Detail FY 2017-24'!S824:S839)</f>
        <v>305143</v>
      </c>
      <c r="K461" s="2">
        <f>SUM('Budget Detail FY 2017-24'!T794:T803)+SUM('Budget Detail FY 2017-24'!T824:T839)</f>
        <v>305442</v>
      </c>
      <c r="M461" s="325"/>
    </row>
    <row r="462" spans="2:13" ht="20.100000000000001" customHeight="1">
      <c r="B462" s="325" t="s">
        <v>652</v>
      </c>
      <c r="C462" s="2">
        <f>SUM('Budget Detail FY 2017-24'!L804:L809)+SUM('Budget Detail FY 2017-24'!L840:L846)</f>
        <v>360884</v>
      </c>
      <c r="D462" s="2">
        <f>SUM('Budget Detail FY 2017-24'!M804:M809)+SUM('Budget Detail FY 2017-24'!M840:M846)</f>
        <v>393250</v>
      </c>
      <c r="E462" s="2">
        <f>SUM('Budget Detail FY 2017-24'!N804:N809)+SUM('Budget Detail FY 2017-24'!N840:N846)</f>
        <v>506935</v>
      </c>
      <c r="F462" s="2">
        <f>SUM('Budget Detail FY 2017-24'!O804:O809)+SUM('Budget Detail FY 2017-24'!O840:O846)</f>
        <v>527606</v>
      </c>
      <c r="G462" s="2">
        <f>SUM('Budget Detail FY 2017-24'!P804:P809)+SUM('Budget Detail FY 2017-24'!P840:P846)</f>
        <v>489630</v>
      </c>
      <c r="H462" s="2">
        <f>SUM('Budget Detail FY 2017-24'!Q804:Q809)+SUM('Budget Detail FY 2017-24'!Q840:Q846)</f>
        <v>490901</v>
      </c>
      <c r="I462" s="2">
        <f>SUM('Budget Detail FY 2017-24'!R804:R809)+SUM('Budget Detail FY 2017-24'!R840:R846)</f>
        <v>492235</v>
      </c>
      <c r="J462" s="2">
        <f>SUM('Budget Detail FY 2017-24'!S804:S809)+SUM('Budget Detail FY 2017-24'!S840:S846)</f>
        <v>493636</v>
      </c>
      <c r="K462" s="2">
        <f>SUM('Budget Detail FY 2017-24'!T804:T809)+SUM('Budget Detail FY 2017-24'!T840:T846)</f>
        <v>495107</v>
      </c>
      <c r="M462" s="325"/>
    </row>
    <row r="463" spans="2:13" ht="20.100000000000001" customHeight="1" thickBot="1">
      <c r="B463" s="123" t="s">
        <v>655</v>
      </c>
      <c r="C463" s="121">
        <f t="shared" ref="C463:K463" si="40">SUM(C459:C462)</f>
        <v>1842499</v>
      </c>
      <c r="D463" s="121">
        <f t="shared" si="40"/>
        <v>1969832</v>
      </c>
      <c r="E463" s="121">
        <f t="shared" si="40"/>
        <v>2228508</v>
      </c>
      <c r="F463" s="121">
        <f t="shared" si="40"/>
        <v>2218001</v>
      </c>
      <c r="G463" s="121">
        <f t="shared" si="40"/>
        <v>2343405</v>
      </c>
      <c r="H463" s="121">
        <f t="shared" si="40"/>
        <v>2387937</v>
      </c>
      <c r="I463" s="121">
        <f t="shared" si="40"/>
        <v>2450581</v>
      </c>
      <c r="J463" s="121">
        <f t="shared" si="40"/>
        <v>2527675</v>
      </c>
      <c r="K463" s="121">
        <f t="shared" si="40"/>
        <v>2596929</v>
      </c>
    </row>
    <row r="464" spans="2:13" s="336" customFormat="1">
      <c r="B464" s="126"/>
      <c r="C464" s="3"/>
      <c r="D464" s="2"/>
      <c r="E464" s="2"/>
      <c r="F464" s="2"/>
      <c r="G464" s="2"/>
      <c r="H464" s="2"/>
      <c r="I464" s="2"/>
      <c r="J464" s="2"/>
      <c r="K464" s="2"/>
    </row>
    <row r="465" spans="2:11" ht="20.100000000000001" customHeight="1">
      <c r="B465" s="327" t="s">
        <v>656</v>
      </c>
      <c r="C465" s="3">
        <f t="shared" ref="C465:K465" si="41">+C456-C463</f>
        <v>-54885</v>
      </c>
      <c r="D465" s="3">
        <f t="shared" si="41"/>
        <v>27975</v>
      </c>
      <c r="E465" s="3">
        <f t="shared" si="41"/>
        <v>-105494</v>
      </c>
      <c r="F465" s="3">
        <f t="shared" si="41"/>
        <v>-57980</v>
      </c>
      <c r="G465" s="3">
        <f t="shared" si="41"/>
        <v>-98417</v>
      </c>
      <c r="H465" s="3">
        <f t="shared" si="41"/>
        <v>6680</v>
      </c>
      <c r="I465" s="3">
        <f t="shared" si="41"/>
        <v>9396</v>
      </c>
      <c r="J465" s="3">
        <f t="shared" si="41"/>
        <v>11564</v>
      </c>
      <c r="K465" s="3">
        <f t="shared" si="41"/>
        <v>10388</v>
      </c>
    </row>
    <row r="466" spans="2:11" s="336" customFormat="1">
      <c r="B466" s="127"/>
      <c r="C466" s="3"/>
      <c r="D466" s="2"/>
      <c r="E466" s="2"/>
      <c r="F466" s="2"/>
      <c r="G466" s="2"/>
      <c r="H466" s="2"/>
      <c r="I466" s="2"/>
      <c r="J466" s="2"/>
      <c r="K466" s="2"/>
    </row>
    <row r="467" spans="2:11" ht="20.100000000000001" customHeight="1" thickBot="1">
      <c r="B467" s="122" t="s">
        <v>657</v>
      </c>
      <c r="C467" s="79">
        <v>445875</v>
      </c>
      <c r="D467" s="79">
        <v>473852</v>
      </c>
      <c r="E467" s="79">
        <v>312946</v>
      </c>
      <c r="F467" s="79">
        <f>D467+F465</f>
        <v>415872</v>
      </c>
      <c r="G467" s="79">
        <f>F467+G465</f>
        <v>317455</v>
      </c>
      <c r="H467" s="79">
        <f>G467+H465</f>
        <v>324135</v>
      </c>
      <c r="I467" s="79">
        <f>H467+I465</f>
        <v>333531</v>
      </c>
      <c r="J467" s="79">
        <f>I467+J465</f>
        <v>345095</v>
      </c>
      <c r="K467" s="79">
        <f>J467+K465</f>
        <v>355483</v>
      </c>
    </row>
    <row r="468" spans="2:11" s="336" customFormat="1" ht="14.4" thickTop="1">
      <c r="B468" s="128"/>
      <c r="C468" s="129">
        <f t="shared" ref="C468:K468" si="42">+C467/C463</f>
        <v>0.24199470393199671</v>
      </c>
      <c r="D468" s="129">
        <f t="shared" si="42"/>
        <v>0.24055452444675485</v>
      </c>
      <c r="E468" s="129">
        <f t="shared" si="42"/>
        <v>0.14042848399018537</v>
      </c>
      <c r="F468" s="129">
        <f t="shared" si="42"/>
        <v>0.18749856289514746</v>
      </c>
      <c r="G468" s="129">
        <f t="shared" si="42"/>
        <v>0.13546740746904612</v>
      </c>
      <c r="H468" s="129">
        <f t="shared" si="42"/>
        <v>0.13573850566409415</v>
      </c>
      <c r="I468" s="129">
        <f t="shared" si="42"/>
        <v>0.13610282622773948</v>
      </c>
      <c r="J468" s="129">
        <f t="shared" si="42"/>
        <v>0.13652664998466971</v>
      </c>
      <c r="K468" s="129">
        <f t="shared" si="42"/>
        <v>0.13688591409314618</v>
      </c>
    </row>
    <row r="470" spans="2:11">
      <c r="B470" s="1"/>
      <c r="C470" s="2"/>
      <c r="D470" s="2"/>
      <c r="E470" s="2"/>
      <c r="F470" s="2"/>
      <c r="G470" s="2"/>
      <c r="H470" s="2"/>
      <c r="I470" s="2"/>
      <c r="J470" s="2"/>
      <c r="K470" s="2"/>
    </row>
    <row r="471" spans="2:11">
      <c r="B471" s="1"/>
      <c r="C471" s="2"/>
      <c r="D471" s="2"/>
      <c r="E471" s="2"/>
      <c r="F471" s="2"/>
      <c r="G471" s="2"/>
      <c r="H471" s="2"/>
      <c r="I471" s="2"/>
      <c r="J471" s="2"/>
      <c r="K471" s="2"/>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6" spans="2:11">
      <c r="B476" s="1"/>
      <c r="C476" s="2"/>
      <c r="D476" s="2"/>
      <c r="E476" s="2"/>
      <c r="F476" s="2"/>
      <c r="G476" s="2"/>
      <c r="H476" s="2"/>
      <c r="I476" s="2"/>
      <c r="J476" s="2"/>
      <c r="K476" s="2"/>
    </row>
    <row r="477" spans="2:11">
      <c r="B477" s="1"/>
      <c r="C477" s="2"/>
      <c r="D477" s="2"/>
      <c r="E477" s="2"/>
      <c r="F477" s="2"/>
      <c r="G477" s="2"/>
      <c r="H477" s="2"/>
      <c r="I477" s="2"/>
      <c r="J477" s="2"/>
      <c r="K477" s="2"/>
    </row>
    <row r="478" spans="2:11">
      <c r="B478" s="1"/>
      <c r="C478" s="2"/>
      <c r="D478" s="2"/>
      <c r="E478" s="2"/>
      <c r="F478" s="2"/>
      <c r="G478" s="2"/>
      <c r="H478" s="2"/>
      <c r="I478" s="2"/>
      <c r="J478" s="2"/>
      <c r="K478" s="2"/>
    </row>
    <row r="479" spans="2:11">
      <c r="B479" s="1"/>
      <c r="C479" s="2"/>
      <c r="D479" s="2"/>
      <c r="E479" s="2"/>
      <c r="F479" s="2"/>
      <c r="G479" s="2"/>
      <c r="H479" s="2"/>
      <c r="I479" s="2"/>
      <c r="J479" s="2"/>
      <c r="K479" s="2"/>
    </row>
    <row r="482" spans="2:13" ht="18.75" customHeight="1">
      <c r="B482" s="476" t="s">
        <v>677</v>
      </c>
      <c r="C482" s="476"/>
      <c r="D482" s="476"/>
      <c r="E482" s="476"/>
      <c r="F482" s="476"/>
      <c r="G482" s="476"/>
      <c r="H482" s="476"/>
      <c r="I482" s="476"/>
      <c r="J482" s="476"/>
      <c r="K482" s="476"/>
    </row>
    <row r="483" spans="2:13" ht="7.5" customHeight="1">
      <c r="B483" s="63"/>
      <c r="C483" s="3"/>
      <c r="D483" s="2"/>
      <c r="E483" s="2"/>
      <c r="F483" s="2"/>
      <c r="G483" s="2"/>
      <c r="H483" s="2"/>
      <c r="I483" s="2"/>
      <c r="J483" s="2"/>
      <c r="K483" s="2"/>
    </row>
    <row r="484" spans="2:13" ht="12.75" customHeight="1">
      <c r="B484" s="467" t="s">
        <v>678</v>
      </c>
      <c r="C484" s="467"/>
      <c r="D484" s="467"/>
      <c r="E484" s="467"/>
      <c r="F484" s="467"/>
      <c r="G484" s="467"/>
      <c r="H484" s="467"/>
      <c r="I484" s="467"/>
      <c r="J484" s="467"/>
      <c r="K484" s="467"/>
    </row>
    <row r="485" spans="2:13" ht="12.75" customHeight="1">
      <c r="B485" s="467"/>
      <c r="C485" s="467"/>
      <c r="D485" s="467"/>
      <c r="E485" s="467"/>
      <c r="F485" s="467"/>
      <c r="G485" s="467"/>
      <c r="H485" s="467"/>
      <c r="I485" s="467"/>
      <c r="J485" s="467"/>
      <c r="K485" s="467"/>
    </row>
    <row r="486" spans="2:13" ht="12.75" customHeight="1">
      <c r="B486" s="467"/>
      <c r="C486" s="467"/>
      <c r="D486" s="467"/>
      <c r="E486" s="467"/>
      <c r="F486" s="467"/>
      <c r="G486" s="467"/>
      <c r="H486" s="467"/>
      <c r="I486" s="467"/>
      <c r="J486" s="467"/>
      <c r="K486" s="467"/>
    </row>
    <row r="487" spans="2:13">
      <c r="B487" s="5"/>
      <c r="C487" s="64"/>
      <c r="D487" s="1"/>
      <c r="E487" s="64" t="s">
        <v>864</v>
      </c>
      <c r="F487" s="1"/>
      <c r="G487" s="1"/>
      <c r="H487" s="1"/>
      <c r="I487" s="1"/>
      <c r="J487" s="1"/>
      <c r="K487" s="1"/>
    </row>
    <row r="488" spans="2:13">
      <c r="B488" s="64"/>
      <c r="C488" s="63" t="s">
        <v>234</v>
      </c>
      <c r="D488" s="64" t="s">
        <v>790</v>
      </c>
      <c r="E488" s="64" t="s">
        <v>637</v>
      </c>
      <c r="F488" s="64" t="s">
        <v>864</v>
      </c>
      <c r="G488" s="64" t="s">
        <v>895</v>
      </c>
      <c r="H488" s="64" t="s">
        <v>896</v>
      </c>
      <c r="I488" s="64" t="s">
        <v>897</v>
      </c>
      <c r="J488" s="64" t="s">
        <v>898</v>
      </c>
      <c r="K488" s="64" t="s">
        <v>899</v>
      </c>
    </row>
    <row r="489" spans="2:13" ht="14.4" thickBot="1">
      <c r="B489" s="130"/>
      <c r="C489" s="66" t="s">
        <v>1</v>
      </c>
      <c r="D489" s="66" t="s">
        <v>1</v>
      </c>
      <c r="E489" s="66" t="s">
        <v>605</v>
      </c>
      <c r="F489" s="66" t="s">
        <v>19</v>
      </c>
      <c r="G489" s="66" t="str">
        <f>$M$1</f>
        <v>Adopted</v>
      </c>
      <c r="H489" s="66" t="s">
        <v>19</v>
      </c>
      <c r="I489" s="66" t="s">
        <v>19</v>
      </c>
      <c r="J489" s="66" t="s">
        <v>19</v>
      </c>
      <c r="K489" s="66" t="s">
        <v>19</v>
      </c>
    </row>
    <row r="490" spans="2:13">
      <c r="B490" s="62"/>
      <c r="C490" s="131"/>
      <c r="D490" s="2"/>
      <c r="E490" s="2"/>
      <c r="F490" s="2"/>
      <c r="G490" s="2"/>
      <c r="H490" s="2"/>
      <c r="I490" s="2"/>
      <c r="J490" s="2"/>
      <c r="K490" s="2"/>
    </row>
    <row r="491" spans="2:13">
      <c r="B491" s="124" t="s">
        <v>638</v>
      </c>
      <c r="C491" s="2"/>
      <c r="D491" s="2"/>
      <c r="E491" s="2"/>
      <c r="F491" s="2"/>
      <c r="G491" s="2"/>
      <c r="H491" s="2"/>
      <c r="I491" s="2"/>
      <c r="J491" s="2"/>
      <c r="K491" s="2"/>
    </row>
    <row r="492" spans="2:13" ht="20.100000000000001" customHeight="1">
      <c r="B492" s="323" t="s">
        <v>639</v>
      </c>
      <c r="C492" s="2">
        <f>SUM('Budget Detail FY 2017-24'!L860:L861)</f>
        <v>1372091</v>
      </c>
      <c r="D492" s="2">
        <f>SUM('Budget Detail FY 2017-24'!M860:M861)</f>
        <v>1402659</v>
      </c>
      <c r="E492" s="2">
        <f>SUM('Budget Detail FY 2017-24'!N860:N861)</f>
        <v>1464606</v>
      </c>
      <c r="F492" s="2">
        <f>SUM('Budget Detail FY 2017-24'!O860:O861)</f>
        <v>1457087</v>
      </c>
      <c r="G492" s="2">
        <f>SUM('Budget Detail FY 2017-24'!P860:P861)</f>
        <v>1492248</v>
      </c>
      <c r="H492" s="2">
        <f>SUM('Budget Detail FY 2017-24'!Q860:Q861)</f>
        <v>1536157</v>
      </c>
      <c r="I492" s="2">
        <f>SUM('Budget Detail FY 2017-24'!R860:R861)</f>
        <v>1563492</v>
      </c>
      <c r="J492" s="2">
        <f>SUM('Budget Detail FY 2017-24'!S860:S861)</f>
        <v>1585093</v>
      </c>
      <c r="K492" s="2">
        <f>SUM('Budget Detail FY 2017-24'!T860:T861)</f>
        <v>1619273</v>
      </c>
      <c r="M492" s="323"/>
    </row>
    <row r="493" spans="2:13" ht="20.100000000000001" customHeight="1">
      <c r="B493" s="323" t="s">
        <v>640</v>
      </c>
      <c r="C493" s="2">
        <f>SUM('Budget Detail FY 2017-24'!L862:L863)</f>
        <v>18958</v>
      </c>
      <c r="D493" s="2">
        <f>SUM('Budget Detail FY 2017-24'!M862:M863)</f>
        <v>18086</v>
      </c>
      <c r="E493" s="2">
        <f>SUM('Budget Detail FY 2017-24'!N862:N863)</f>
        <v>18350</v>
      </c>
      <c r="F493" s="2">
        <f>SUM('Budget Detail FY 2017-24'!O862:O863)</f>
        <v>30461</v>
      </c>
      <c r="G493" s="2">
        <f>SUM('Budget Detail FY 2017-24'!P862:P863)</f>
        <v>25250</v>
      </c>
      <c r="H493" s="2">
        <f>SUM('Budget Detail FY 2017-24'!Q862:Q863)</f>
        <v>25250</v>
      </c>
      <c r="I493" s="2">
        <f>SUM('Budget Detail FY 2017-24'!R862:R863)</f>
        <v>25250</v>
      </c>
      <c r="J493" s="2">
        <f>SUM('Budget Detail FY 2017-24'!S862:S863)</f>
        <v>25250</v>
      </c>
      <c r="K493" s="2">
        <f>SUM('Budget Detail FY 2017-24'!T862:T863)</f>
        <v>25250</v>
      </c>
      <c r="M493" s="323"/>
    </row>
    <row r="494" spans="2:13" ht="20.100000000000001" customHeight="1">
      <c r="B494" s="324" t="s">
        <v>642</v>
      </c>
      <c r="C494" s="2">
        <f>'Budget Detail FY 2017-24'!L864</f>
        <v>7355</v>
      </c>
      <c r="D494" s="2">
        <f>'Budget Detail FY 2017-24'!M864</f>
        <v>9922</v>
      </c>
      <c r="E494" s="2">
        <f>'Budget Detail FY 2017-24'!N864</f>
        <v>8500</v>
      </c>
      <c r="F494" s="2">
        <f>'Budget Detail FY 2017-24'!O864</f>
        <v>8500</v>
      </c>
      <c r="G494" s="2">
        <f>'Budget Detail FY 2017-24'!P864</f>
        <v>8500</v>
      </c>
      <c r="H494" s="2">
        <f>'Budget Detail FY 2017-24'!Q864</f>
        <v>8500</v>
      </c>
      <c r="I494" s="2">
        <f>'Budget Detail FY 2017-24'!R864</f>
        <v>8500</v>
      </c>
      <c r="J494" s="2">
        <f>'Budget Detail FY 2017-24'!S864</f>
        <v>8500</v>
      </c>
      <c r="K494" s="2">
        <f>'Budget Detail FY 2017-24'!T864</f>
        <v>8500</v>
      </c>
      <c r="M494" s="324"/>
    </row>
    <row r="495" spans="2:13" ht="20.100000000000001" customHeight="1">
      <c r="B495" s="324" t="s">
        <v>643</v>
      </c>
      <c r="C495" s="2">
        <f>SUM('Budget Detail FY 2017-24'!L865:L867)</f>
        <v>10208</v>
      </c>
      <c r="D495" s="2">
        <f>SUM('Budget Detail FY 2017-24'!M865:M867)</f>
        <v>12750</v>
      </c>
      <c r="E495" s="2">
        <f>SUM('Budget Detail FY 2017-24'!N865:N867)</f>
        <v>11500</v>
      </c>
      <c r="F495" s="2">
        <f>SUM('Budget Detail FY 2017-24'!O865:O867)</f>
        <v>12750</v>
      </c>
      <c r="G495" s="2">
        <f>SUM('Budget Detail FY 2017-24'!P865:P867)</f>
        <v>11750</v>
      </c>
      <c r="H495" s="2">
        <f>SUM('Budget Detail FY 2017-24'!Q865:Q867)</f>
        <v>11750</v>
      </c>
      <c r="I495" s="2">
        <f>SUM('Budget Detail FY 2017-24'!R865:R867)</f>
        <v>11750</v>
      </c>
      <c r="J495" s="2">
        <f>SUM('Budget Detail FY 2017-24'!S865:S867)</f>
        <v>11750</v>
      </c>
      <c r="K495" s="2">
        <f>SUM('Budget Detail FY 2017-24'!T865:T867)</f>
        <v>11750</v>
      </c>
      <c r="M495" s="324"/>
    </row>
    <row r="496" spans="2:13" ht="20.100000000000001" customHeight="1">
      <c r="B496" s="324" t="s">
        <v>644</v>
      </c>
      <c r="C496" s="2">
        <f>'Budget Detail FY 2017-24'!L868+'Budget Detail FY 2017-24'!L869</f>
        <v>1594</v>
      </c>
      <c r="D496" s="2">
        <f>'Budget Detail FY 2017-24'!M868+'Budget Detail FY 2017-24'!M869</f>
        <v>5423</v>
      </c>
      <c r="E496" s="2">
        <f>'Budget Detail FY 2017-24'!N868+'Budget Detail FY 2017-24'!N869</f>
        <v>1750</v>
      </c>
      <c r="F496" s="2">
        <f>'Budget Detail FY 2017-24'!O868+'Budget Detail FY 2017-24'!O869</f>
        <v>10000</v>
      </c>
      <c r="G496" s="2">
        <f>'Budget Detail FY 2017-24'!P868+'Budget Detail FY 2017-24'!P869</f>
        <v>10000</v>
      </c>
      <c r="H496" s="2">
        <f>'Budget Detail FY 2017-24'!Q868+'Budget Detail FY 2017-24'!Q869</f>
        <v>10000</v>
      </c>
      <c r="I496" s="2">
        <f>'Budget Detail FY 2017-24'!R868+'Budget Detail FY 2017-24'!R869</f>
        <v>7500</v>
      </c>
      <c r="J496" s="2">
        <f>'Budget Detail FY 2017-24'!S868+'Budget Detail FY 2017-24'!S869</f>
        <v>7500</v>
      </c>
      <c r="K496" s="2">
        <f>'Budget Detail FY 2017-24'!T868+'Budget Detail FY 2017-24'!T869</f>
        <v>5000</v>
      </c>
      <c r="M496" s="324"/>
    </row>
    <row r="497" spans="2:13" ht="20.100000000000001" customHeight="1">
      <c r="B497" s="324" t="s">
        <v>645</v>
      </c>
      <c r="C497" s="2">
        <f>'Budget Detail FY 2017-24'!L870</f>
        <v>2141</v>
      </c>
      <c r="D497" s="2">
        <f>'Budget Detail FY 2017-24'!M870</f>
        <v>691</v>
      </c>
      <c r="E497" s="2">
        <f>'Budget Detail FY 2017-24'!N870</f>
        <v>0</v>
      </c>
      <c r="F497" s="2">
        <f>'Budget Detail FY 2017-24'!O870</f>
        <v>0</v>
      </c>
      <c r="G497" s="2">
        <f>'Budget Detail FY 2017-24'!P870</f>
        <v>0</v>
      </c>
      <c r="H497" s="2">
        <f>'Budget Detail FY 2017-24'!Q870</f>
        <v>0</v>
      </c>
      <c r="I497" s="2">
        <f>'Budget Detail FY 2017-24'!R870</f>
        <v>0</v>
      </c>
      <c r="J497" s="2">
        <f>'Budget Detail FY 2017-24'!S870</f>
        <v>0</v>
      </c>
      <c r="K497" s="2">
        <f>'Budget Detail FY 2017-24'!T870</f>
        <v>0</v>
      </c>
      <c r="M497" s="324"/>
    </row>
    <row r="498" spans="2:13" ht="20.100000000000001" customHeight="1">
      <c r="B498" s="324" t="s">
        <v>646</v>
      </c>
      <c r="C498" s="2">
        <f>SUM('Budget Detail FY 2017-24'!L871:L873)</f>
        <v>7099</v>
      </c>
      <c r="D498" s="2">
        <f>SUM('Budget Detail FY 2017-24'!M871:M873)</f>
        <v>6488</v>
      </c>
      <c r="E498" s="2">
        <f>SUM('Budget Detail FY 2017-24'!N871:N873)</f>
        <v>6750</v>
      </c>
      <c r="F498" s="2">
        <f>SUM('Budget Detail FY 2017-24'!O871:O873)</f>
        <v>4350</v>
      </c>
      <c r="G498" s="2">
        <f>SUM('Budget Detail FY 2017-24'!P871:P873)</f>
        <v>4000</v>
      </c>
      <c r="H498" s="2">
        <f>SUM('Budget Detail FY 2017-24'!Q871:Q873)</f>
        <v>4000</v>
      </c>
      <c r="I498" s="2">
        <f>SUM('Budget Detail FY 2017-24'!R871:R873)</f>
        <v>4000</v>
      </c>
      <c r="J498" s="2">
        <f>SUM('Budget Detail FY 2017-24'!S871:S873)</f>
        <v>4000</v>
      </c>
      <c r="K498" s="2">
        <f>SUM('Budget Detail FY 2017-24'!T871:T873)</f>
        <v>4000</v>
      </c>
      <c r="M498" s="326"/>
    </row>
    <row r="499" spans="2:13" ht="20.100000000000001" customHeight="1">
      <c r="B499" s="326" t="s">
        <v>647</v>
      </c>
      <c r="C499" s="2">
        <f>SUM('Budget Detail FY 2017-24'!L874:L874)</f>
        <v>24044</v>
      </c>
      <c r="D499" s="2">
        <f>SUM('Budget Detail FY 2017-24'!M874:M874)</f>
        <v>23775</v>
      </c>
      <c r="E499" s="2">
        <f>SUM('Budget Detail FY 2017-24'!N874:N874)</f>
        <v>25179</v>
      </c>
      <c r="F499" s="2">
        <f>SUM('Budget Detail FY 2017-24'!O874:O874)</f>
        <v>23485</v>
      </c>
      <c r="G499" s="2">
        <f>SUM('Budget Detail FY 2017-24'!P874:P874)</f>
        <v>25003</v>
      </c>
      <c r="H499" s="2">
        <f>SUM('Budget Detail FY 2017-24'!Q874:Q874)</f>
        <v>26458</v>
      </c>
      <c r="I499" s="2">
        <f>SUM('Budget Detail FY 2017-24'!R874:R874)</f>
        <v>28000</v>
      </c>
      <c r="J499" s="2">
        <f>SUM('Budget Detail FY 2017-24'!S874:S874)</f>
        <v>29635</v>
      </c>
      <c r="K499" s="2">
        <f>SUM('Budget Detail FY 2017-24'!T874:T874)</f>
        <v>31368</v>
      </c>
    </row>
    <row r="500" spans="2:13" ht="20.100000000000001" customHeight="1" thickBot="1">
      <c r="B500" s="123" t="s">
        <v>648</v>
      </c>
      <c r="C500" s="121">
        <f t="shared" ref="C500:J500" si="43">SUM(C492:C499)</f>
        <v>1443490</v>
      </c>
      <c r="D500" s="121">
        <f>SUM(D492:D499)</f>
        <v>1479794</v>
      </c>
      <c r="E500" s="121">
        <f t="shared" si="43"/>
        <v>1536635</v>
      </c>
      <c r="F500" s="121">
        <f t="shared" si="43"/>
        <v>1546633</v>
      </c>
      <c r="G500" s="121">
        <f t="shared" si="43"/>
        <v>1576751</v>
      </c>
      <c r="H500" s="121">
        <f t="shared" si="43"/>
        <v>1622115</v>
      </c>
      <c r="I500" s="121">
        <f>SUM(I492:I499)</f>
        <v>1648492</v>
      </c>
      <c r="J500" s="121">
        <f t="shared" si="43"/>
        <v>1671728</v>
      </c>
      <c r="K500" s="121">
        <f>SUM(K492:K499)</f>
        <v>1705141</v>
      </c>
    </row>
    <row r="501" spans="2:13" ht="7.5" customHeight="1">
      <c r="B501" s="1"/>
      <c r="C501" s="2"/>
      <c r="D501" s="2"/>
      <c r="E501" s="2"/>
      <c r="F501" s="2"/>
      <c r="G501" s="2"/>
      <c r="H501" s="2"/>
      <c r="I501" s="2"/>
      <c r="J501" s="2"/>
      <c r="K501" s="2"/>
    </row>
    <row r="502" spans="2:13">
      <c r="B502" s="124" t="s">
        <v>457</v>
      </c>
      <c r="C502" s="2"/>
      <c r="D502" s="2"/>
      <c r="E502" s="2"/>
      <c r="F502" s="2"/>
      <c r="G502" s="2"/>
      <c r="H502" s="2"/>
      <c r="I502" s="2"/>
      <c r="J502" s="2"/>
      <c r="K502" s="2"/>
    </row>
    <row r="503" spans="2:13" ht="20.100000000000001" customHeight="1">
      <c r="B503" s="325" t="s">
        <v>649</v>
      </c>
      <c r="C503" s="2">
        <f>SUM('Budget Detail FY 2017-24'!L878:L879)</f>
        <v>411502</v>
      </c>
      <c r="D503" s="2">
        <f>SUM('Budget Detail FY 2017-24'!M878:M879)</f>
        <v>403032</v>
      </c>
      <c r="E503" s="2">
        <f>SUM('Budget Detail FY 2017-24'!N878:N879)</f>
        <v>422698</v>
      </c>
      <c r="F503" s="2">
        <f>SUM('Budget Detail FY 2017-24'!O878:O879)</f>
        <v>431500</v>
      </c>
      <c r="G503" s="2">
        <f>SUM('Budget Detail FY 2017-24'!P878:P879)</f>
        <v>474394</v>
      </c>
      <c r="H503" s="2">
        <f>SUM('Budget Detail FY 2017-24'!Q878:Q879)</f>
        <v>488626</v>
      </c>
      <c r="I503" s="2">
        <f>SUM('Budget Detail FY 2017-24'!R878:R879)</f>
        <v>503284</v>
      </c>
      <c r="J503" s="2">
        <f>SUM('Budget Detail FY 2017-24'!S878:S879)</f>
        <v>518382</v>
      </c>
      <c r="K503" s="2">
        <f>SUM('Budget Detail FY 2017-24'!T878:T879)</f>
        <v>533933</v>
      </c>
      <c r="M503" s="325"/>
    </row>
    <row r="504" spans="2:13" ht="20.100000000000001" customHeight="1">
      <c r="B504" s="325" t="s">
        <v>650</v>
      </c>
      <c r="C504" s="2">
        <f>SUM('Budget Detail FY 2017-24'!L880:L887)</f>
        <v>158182</v>
      </c>
      <c r="D504" s="2">
        <f>SUM('Budget Detail FY 2017-24'!M880:M887)</f>
        <v>148184</v>
      </c>
      <c r="E504" s="2">
        <f>SUM('Budget Detail FY 2017-24'!N880:N887)</f>
        <v>166150</v>
      </c>
      <c r="F504" s="2">
        <f>SUM('Budget Detail FY 2017-24'!O880:O887)</f>
        <v>164659</v>
      </c>
      <c r="G504" s="2">
        <f>SUM('Budget Detail FY 2017-24'!P880:P887)</f>
        <v>175658</v>
      </c>
      <c r="H504" s="2">
        <f>SUM('Budget Detail FY 2017-24'!Q880:Q887)</f>
        <v>186526</v>
      </c>
      <c r="I504" s="2">
        <f>SUM('Budget Detail FY 2017-24'!R880:R887)</f>
        <v>198219</v>
      </c>
      <c r="J504" s="2">
        <f>SUM('Budget Detail FY 2017-24'!S880:S887)</f>
        <v>210723</v>
      </c>
      <c r="K504" s="2">
        <f>SUM('Budget Detail FY 2017-24'!T880:T887)</f>
        <v>224094</v>
      </c>
      <c r="M504" s="325"/>
    </row>
    <row r="505" spans="2:13" ht="20.100000000000001" customHeight="1">
      <c r="B505" s="325" t="s">
        <v>651</v>
      </c>
      <c r="C505" s="2">
        <f>SUM('Budget Detail FY 2017-24'!L888:L899)</f>
        <v>104409</v>
      </c>
      <c r="D505" s="2">
        <f>SUM('Budget Detail FY 2017-24'!M888:M899)</f>
        <v>131797</v>
      </c>
      <c r="E505" s="2">
        <f>SUM('Budget Detail FY 2017-24'!N888:N899)</f>
        <v>145840</v>
      </c>
      <c r="F505" s="2">
        <f>SUM('Budget Detail FY 2017-24'!O888:O899)</f>
        <v>129239</v>
      </c>
      <c r="G505" s="2">
        <f>SUM('Budget Detail FY 2017-24'!P888:P899)</f>
        <v>149080</v>
      </c>
      <c r="H505" s="2">
        <f>SUM('Budget Detail FY 2017-24'!Q888:Q899)</f>
        <v>148598</v>
      </c>
      <c r="I505" s="2">
        <f>SUM('Budget Detail FY 2017-24'!R888:R899)</f>
        <v>149306</v>
      </c>
      <c r="J505" s="2">
        <f>SUM('Budget Detail FY 2017-24'!S888:S899)</f>
        <v>150056</v>
      </c>
      <c r="K505" s="2">
        <f>SUM('Budget Detail FY 2017-24'!T888:T899)</f>
        <v>150851</v>
      </c>
      <c r="M505" s="325"/>
    </row>
    <row r="506" spans="2:13" ht="20.100000000000001" customHeight="1">
      <c r="B506" s="325" t="s">
        <v>652</v>
      </c>
      <c r="C506" s="2">
        <f>SUM('Budget Detail FY 2017-24'!L900:L908)</f>
        <v>26927</v>
      </c>
      <c r="D506" s="2">
        <f>SUM('Budget Detail FY 2017-24'!M900:M908)</f>
        <v>15088</v>
      </c>
      <c r="E506" s="2">
        <f>SUM('Budget Detail FY 2017-24'!N900:N908)</f>
        <v>21200</v>
      </c>
      <c r="F506" s="2">
        <f>SUM('Budget Detail FY 2017-24'!O900:O908)</f>
        <v>24770</v>
      </c>
      <c r="G506" s="2">
        <f>SUM('Budget Detail FY 2017-24'!P900:P908)</f>
        <v>24200</v>
      </c>
      <c r="H506" s="2">
        <f>SUM('Budget Detail FY 2017-24'!Q900:Q908)</f>
        <v>23200</v>
      </c>
      <c r="I506" s="2">
        <f>SUM('Budget Detail FY 2017-24'!R900:R908)</f>
        <v>23200</v>
      </c>
      <c r="J506" s="2">
        <f>SUM('Budget Detail FY 2017-24'!S900:S908)</f>
        <v>23200</v>
      </c>
      <c r="K506" s="2">
        <f>SUM('Budget Detail FY 2017-24'!T900:T908)</f>
        <v>23200</v>
      </c>
      <c r="M506" s="325"/>
    </row>
    <row r="507" spans="2:13" ht="20.100000000000001" customHeight="1">
      <c r="B507" s="326" t="s">
        <v>593</v>
      </c>
      <c r="C507" s="2">
        <f>SUM('Budget Detail FY 2017-24'!L910:L914)</f>
        <v>752771</v>
      </c>
      <c r="D507" s="2">
        <f>SUM('Budget Detail FY 2017-24'!M910:M914)</f>
        <v>760396</v>
      </c>
      <c r="E507" s="2">
        <f>SUM('Budget Detail FY 2017-24'!N910:N914)</f>
        <v>792101</v>
      </c>
      <c r="F507" s="2">
        <f>SUM('Budget Detail FY 2017-24'!O910:O914)</f>
        <v>792101</v>
      </c>
      <c r="G507" s="2">
        <f>SUM('Budget Detail FY 2017-24'!P910:P914)</f>
        <v>797013</v>
      </c>
      <c r="H507" s="2">
        <f>SUM('Budget Detail FY 2017-24'!Q910:Q914)</f>
        <v>827088</v>
      </c>
      <c r="I507" s="2">
        <f>SUM('Budget Detail FY 2017-24'!R910:R914)</f>
        <v>840225</v>
      </c>
      <c r="J507" s="2">
        <f>SUM('Budget Detail FY 2017-24'!S910:S914)</f>
        <v>847313</v>
      </c>
      <c r="K507" s="2">
        <f>SUM('Budget Detail FY 2017-24'!T910:T914)</f>
        <v>866750</v>
      </c>
      <c r="M507" s="325"/>
    </row>
    <row r="508" spans="2:13" ht="20.100000000000001" customHeight="1" thickBot="1">
      <c r="B508" s="123" t="s">
        <v>655</v>
      </c>
      <c r="C508" s="121">
        <f>SUM(C503:C507)</f>
        <v>1453791</v>
      </c>
      <c r="D508" s="121">
        <f t="shared" ref="D508:K508" si="44">SUM(D503:D507)</f>
        <v>1458497</v>
      </c>
      <c r="E508" s="121">
        <f t="shared" si="44"/>
        <v>1547989</v>
      </c>
      <c r="F508" s="121">
        <f t="shared" si="44"/>
        <v>1542269</v>
      </c>
      <c r="G508" s="121">
        <f t="shared" si="44"/>
        <v>1620345</v>
      </c>
      <c r="H508" s="121">
        <f t="shared" si="44"/>
        <v>1674038</v>
      </c>
      <c r="I508" s="121">
        <f t="shared" si="44"/>
        <v>1714234</v>
      </c>
      <c r="J508" s="121">
        <f t="shared" si="44"/>
        <v>1749674</v>
      </c>
      <c r="K508" s="121">
        <f t="shared" si="44"/>
        <v>1798828</v>
      </c>
    </row>
    <row r="509" spans="2:13" ht="7.5" customHeight="1">
      <c r="B509" s="126"/>
      <c r="C509" s="3"/>
      <c r="D509" s="2"/>
      <c r="E509" s="2"/>
      <c r="F509" s="2"/>
      <c r="G509" s="2"/>
      <c r="H509" s="2"/>
      <c r="I509" s="2"/>
      <c r="J509" s="2"/>
      <c r="K509" s="2"/>
    </row>
    <row r="510" spans="2:13" ht="20.100000000000001" customHeight="1">
      <c r="B510" s="327" t="s">
        <v>656</v>
      </c>
      <c r="C510" s="3">
        <f t="shared" ref="C510:K510" si="45">+C500-C508</f>
        <v>-10301</v>
      </c>
      <c r="D510" s="3">
        <f t="shared" si="45"/>
        <v>21297</v>
      </c>
      <c r="E510" s="3">
        <f t="shared" si="45"/>
        <v>-11354</v>
      </c>
      <c r="F510" s="3">
        <f t="shared" si="45"/>
        <v>4364</v>
      </c>
      <c r="G510" s="3">
        <f t="shared" si="45"/>
        <v>-43594</v>
      </c>
      <c r="H510" s="3">
        <f t="shared" si="45"/>
        <v>-51923</v>
      </c>
      <c r="I510" s="3">
        <f t="shared" si="45"/>
        <v>-65742</v>
      </c>
      <c r="J510" s="3">
        <f t="shared" si="45"/>
        <v>-77946</v>
      </c>
      <c r="K510" s="3">
        <f t="shared" si="45"/>
        <v>-93687</v>
      </c>
    </row>
    <row r="511" spans="2:13" ht="7.5" customHeight="1">
      <c r="B511" s="127"/>
      <c r="C511" s="3"/>
      <c r="D511" s="2"/>
      <c r="E511" s="2"/>
      <c r="F511" s="2"/>
      <c r="G511" s="2"/>
      <c r="H511" s="2"/>
      <c r="I511" s="2"/>
      <c r="J511" s="2"/>
      <c r="K511" s="2"/>
    </row>
    <row r="512" spans="2:13" ht="20.100000000000001" customHeight="1" thickBot="1">
      <c r="B512" s="122" t="s">
        <v>657</v>
      </c>
      <c r="C512" s="79">
        <v>489057</v>
      </c>
      <c r="D512" s="79">
        <v>510355</v>
      </c>
      <c r="E512" s="79">
        <v>474039</v>
      </c>
      <c r="F512" s="79">
        <f>D512+F510</f>
        <v>514719</v>
      </c>
      <c r="G512" s="79">
        <f>F512+G510</f>
        <v>471125</v>
      </c>
      <c r="H512" s="79">
        <f>G512+H510</f>
        <v>419202</v>
      </c>
      <c r="I512" s="79">
        <f>H512+I510</f>
        <v>353460</v>
      </c>
      <c r="J512" s="79">
        <f>I512+J510</f>
        <v>275514</v>
      </c>
      <c r="K512" s="79">
        <f>J512+K510</f>
        <v>181827</v>
      </c>
    </row>
    <row r="513" spans="2:11" ht="14.4" thickTop="1">
      <c r="B513" s="128"/>
      <c r="C513" s="129">
        <f t="shared" ref="C513:K513" si="46">+C512/C508</f>
        <v>0.33640117458424218</v>
      </c>
      <c r="D513" s="129">
        <f t="shared" si="46"/>
        <v>0.34991844343869066</v>
      </c>
      <c r="E513" s="129">
        <f t="shared" si="46"/>
        <v>0.30622892023134529</v>
      </c>
      <c r="F513" s="129">
        <f t="shared" si="46"/>
        <v>0.3337413901206599</v>
      </c>
      <c r="G513" s="129">
        <f t="shared" si="46"/>
        <v>0.29075598097935934</v>
      </c>
      <c r="H513" s="129">
        <f t="shared" si="46"/>
        <v>0.25041367041847318</v>
      </c>
      <c r="I513" s="129">
        <f t="shared" si="46"/>
        <v>0.20619122010180641</v>
      </c>
      <c r="J513" s="129">
        <f t="shared" si="46"/>
        <v>0.15746590507717437</v>
      </c>
      <c r="K513" s="129">
        <f t="shared" si="46"/>
        <v>0.10108081484166358</v>
      </c>
    </row>
    <row r="514" spans="2:11" ht="14.4">
      <c r="B514" s="398" t="s">
        <v>1292</v>
      </c>
      <c r="C514" s="397">
        <f t="shared" ref="C514:K514" si="47">C512/(C508-C507)</f>
        <v>0.69763630138940402</v>
      </c>
      <c r="D514" s="397">
        <f t="shared" si="47"/>
        <v>0.73106183775700073</v>
      </c>
      <c r="E514" s="397">
        <f t="shared" si="47"/>
        <v>0.6271286222297483</v>
      </c>
      <c r="F514" s="397">
        <f t="shared" si="47"/>
        <v>0.68613830501967554</v>
      </c>
      <c r="G514" s="397">
        <f t="shared" si="47"/>
        <v>0.57221752585834151</v>
      </c>
      <c r="H514" s="397">
        <f t="shared" si="47"/>
        <v>0.49495483794793083</v>
      </c>
      <c r="I514" s="397">
        <f t="shared" si="47"/>
        <v>0.40441231154370266</v>
      </c>
      <c r="J514" s="397">
        <f t="shared" si="47"/>
        <v>0.30532569559189726</v>
      </c>
      <c r="K514" s="397">
        <f t="shared" si="47"/>
        <v>0.19507702145099445</v>
      </c>
    </row>
    <row r="515" spans="2:11" ht="7.5" customHeight="1">
      <c r="B515" s="128"/>
      <c r="C515" s="136"/>
      <c r="D515" s="136"/>
      <c r="E515" s="136"/>
      <c r="F515" s="136"/>
      <c r="G515" s="136"/>
      <c r="H515" s="136"/>
      <c r="I515" s="136"/>
      <c r="J515" s="136"/>
      <c r="K515" s="136"/>
    </row>
    <row r="516" spans="2:11">
      <c r="B516" s="128"/>
      <c r="C516" s="2"/>
      <c r="D516" s="2"/>
      <c r="E516" s="2"/>
      <c r="F516" s="2"/>
      <c r="G516" s="2"/>
      <c r="H516" s="2"/>
      <c r="I516" s="2"/>
      <c r="J516" s="2"/>
      <c r="K516" s="2"/>
    </row>
    <row r="517" spans="2:11">
      <c r="B517" s="1"/>
      <c r="C517" s="2"/>
      <c r="D517" s="2"/>
      <c r="E517" s="2"/>
      <c r="F517" s="2"/>
      <c r="G517" s="2"/>
      <c r="H517" s="2"/>
      <c r="I517" s="2"/>
      <c r="J517" s="2"/>
      <c r="K517" s="2"/>
    </row>
    <row r="518" spans="2:11">
      <c r="B518" s="1"/>
      <c r="C518" s="2"/>
      <c r="D518" s="2"/>
      <c r="E518" s="2"/>
      <c r="F518" s="2"/>
      <c r="G518" s="2"/>
      <c r="H518" s="2"/>
      <c r="I518" s="2"/>
      <c r="J518" s="2"/>
      <c r="K518" s="2"/>
    </row>
    <row r="519" spans="2:11">
      <c r="B519" s="1"/>
      <c r="C519" s="2"/>
      <c r="D519" s="2"/>
      <c r="E519" s="2"/>
      <c r="F519" s="2"/>
      <c r="G519" s="2"/>
      <c r="H519" s="2"/>
      <c r="I519" s="2"/>
      <c r="J519" s="2"/>
      <c r="K519" s="2"/>
    </row>
    <row r="520" spans="2:11">
      <c r="B520" s="1"/>
      <c r="C520" s="2"/>
      <c r="D520" s="2"/>
      <c r="E520" s="2"/>
      <c r="F520" s="2"/>
      <c r="G520" s="2"/>
      <c r="H520" s="2"/>
      <c r="I520" s="2"/>
      <c r="J520" s="2"/>
      <c r="K520" s="2"/>
    </row>
    <row r="521" spans="2:11">
      <c r="B521" s="1"/>
      <c r="C521" s="2"/>
      <c r="D521" s="2"/>
      <c r="E521" s="2"/>
      <c r="F521" s="2"/>
      <c r="G521" s="2"/>
      <c r="H521" s="2"/>
      <c r="I521" s="2"/>
      <c r="J521" s="2"/>
      <c r="K521" s="2"/>
    </row>
    <row r="522" spans="2:11">
      <c r="B522" s="1"/>
      <c r="C522" s="2"/>
      <c r="D522" s="2"/>
      <c r="E522" s="2"/>
      <c r="F522" s="2"/>
      <c r="G522" s="2"/>
      <c r="H522" s="2"/>
      <c r="I522" s="2"/>
      <c r="J522" s="2"/>
      <c r="K522" s="2"/>
    </row>
    <row r="523" spans="2:11">
      <c r="B523" s="1"/>
      <c r="C523" s="2"/>
      <c r="D523" s="2"/>
      <c r="E523" s="2"/>
      <c r="F523" s="2"/>
      <c r="G523" s="2"/>
      <c r="H523" s="2"/>
      <c r="I523" s="2"/>
      <c r="J523" s="2"/>
      <c r="K523" s="2"/>
    </row>
    <row r="524" spans="2:11">
      <c r="B524" s="1"/>
      <c r="C524" s="2"/>
      <c r="D524" s="2"/>
      <c r="E524" s="2"/>
      <c r="F524" s="2"/>
      <c r="G524" s="2"/>
      <c r="H524" s="2"/>
      <c r="I524" s="2"/>
      <c r="J524" s="2"/>
      <c r="K524" s="2"/>
    </row>
    <row r="525" spans="2:11">
      <c r="B525" s="1"/>
      <c r="C525" s="2"/>
      <c r="D525" s="2"/>
      <c r="E525" s="2"/>
      <c r="F525" s="2"/>
      <c r="G525" s="2"/>
      <c r="H525" s="2"/>
      <c r="I525" s="2"/>
      <c r="J525" s="2"/>
      <c r="K525" s="2"/>
    </row>
    <row r="526" spans="2:11">
      <c r="B526" s="1"/>
      <c r="C526" s="2"/>
      <c r="D526" s="2"/>
      <c r="E526" s="2"/>
      <c r="F526" s="2"/>
      <c r="G526" s="2"/>
      <c r="H526" s="2"/>
      <c r="I526" s="2"/>
      <c r="J526" s="2"/>
      <c r="K526" s="2"/>
    </row>
    <row r="527" spans="2:11">
      <c r="B527" s="1"/>
      <c r="C527" s="2"/>
      <c r="D527" s="2"/>
      <c r="E527" s="2"/>
      <c r="F527" s="2"/>
      <c r="G527" s="2"/>
      <c r="H527" s="2"/>
      <c r="I527" s="2"/>
      <c r="J527" s="2"/>
      <c r="K527" s="2"/>
    </row>
    <row r="528" spans="2:11">
      <c r="B528" s="1"/>
      <c r="C528" s="2"/>
      <c r="D528" s="2"/>
      <c r="E528" s="2"/>
      <c r="F528" s="2"/>
      <c r="G528" s="2"/>
      <c r="H528" s="2"/>
      <c r="I528" s="2"/>
      <c r="J528" s="2"/>
      <c r="K528" s="2"/>
    </row>
    <row r="529" spans="2:11">
      <c r="B529" s="1"/>
      <c r="C529" s="2"/>
      <c r="D529" s="2"/>
      <c r="E529" s="2"/>
      <c r="F529" s="2"/>
      <c r="G529" s="2"/>
      <c r="H529" s="2"/>
      <c r="I529" s="2"/>
      <c r="J529" s="2"/>
      <c r="K529" s="2"/>
    </row>
    <row r="530" spans="2:11">
      <c r="B530" s="476" t="s">
        <v>679</v>
      </c>
      <c r="C530" s="476"/>
      <c r="D530" s="476"/>
      <c r="E530" s="476"/>
      <c r="F530" s="476"/>
      <c r="G530" s="476"/>
      <c r="H530" s="476"/>
      <c r="I530" s="476"/>
      <c r="J530" s="476"/>
      <c r="K530" s="476"/>
    </row>
    <row r="531" spans="2:11">
      <c r="B531" s="63" t="s">
        <v>619</v>
      </c>
      <c r="C531" s="3"/>
      <c r="D531" s="2"/>
      <c r="E531" s="2"/>
      <c r="F531" s="2"/>
      <c r="G531" s="2"/>
      <c r="H531" s="2"/>
      <c r="I531" s="2"/>
      <c r="J531" s="2"/>
      <c r="K531" s="2"/>
    </row>
    <row r="532" spans="2:11" ht="12.75" customHeight="1">
      <c r="B532" s="467" t="s">
        <v>901</v>
      </c>
      <c r="C532" s="467"/>
      <c r="D532" s="467"/>
      <c r="E532" s="467"/>
      <c r="F532" s="467"/>
      <c r="G532" s="467"/>
      <c r="H532" s="467"/>
      <c r="I532" s="467"/>
      <c r="J532" s="467"/>
      <c r="K532" s="467"/>
    </row>
    <row r="533" spans="2:11" ht="18" customHeight="1">
      <c r="B533" s="467"/>
      <c r="C533" s="467"/>
      <c r="D533" s="467"/>
      <c r="E533" s="467"/>
      <c r="F533" s="467"/>
      <c r="G533" s="467"/>
      <c r="H533" s="467"/>
      <c r="I533" s="467"/>
      <c r="J533" s="467"/>
      <c r="K533" s="467"/>
    </row>
    <row r="534" spans="2:11">
      <c r="B534" s="332"/>
      <c r="C534" s="21"/>
      <c r="D534" s="21"/>
      <c r="E534" s="21"/>
      <c r="F534" s="21"/>
      <c r="G534" s="21"/>
      <c r="H534" s="2"/>
      <c r="I534" s="2"/>
      <c r="J534" s="2"/>
      <c r="K534" s="2"/>
    </row>
    <row r="535" spans="2:11">
      <c r="B535" s="5"/>
      <c r="C535" s="64"/>
      <c r="D535" s="1"/>
      <c r="E535" s="64" t="s">
        <v>864</v>
      </c>
      <c r="F535" s="1"/>
      <c r="G535" s="1"/>
      <c r="H535" s="1"/>
      <c r="I535" s="1"/>
      <c r="J535" s="1"/>
      <c r="K535" s="1"/>
    </row>
    <row r="536" spans="2:11">
      <c r="B536" s="64"/>
      <c r="C536" s="63" t="s">
        <v>234</v>
      </c>
      <c r="D536" s="64" t="s">
        <v>790</v>
      </c>
      <c r="E536" s="64" t="s">
        <v>637</v>
      </c>
      <c r="F536" s="64" t="s">
        <v>864</v>
      </c>
      <c r="G536" s="64" t="s">
        <v>895</v>
      </c>
      <c r="H536" s="64" t="s">
        <v>896</v>
      </c>
      <c r="I536" s="64" t="s">
        <v>897</v>
      </c>
      <c r="J536" s="64" t="s">
        <v>898</v>
      </c>
      <c r="K536" s="64" t="s">
        <v>899</v>
      </c>
    </row>
    <row r="537" spans="2:11" ht="14.4" thickBot="1">
      <c r="B537" s="130"/>
      <c r="C537" s="66" t="s">
        <v>1</v>
      </c>
      <c r="D537" s="66" t="s">
        <v>1</v>
      </c>
      <c r="E537" s="66" t="s">
        <v>605</v>
      </c>
      <c r="F537" s="66" t="s">
        <v>19</v>
      </c>
      <c r="G537" s="66" t="str">
        <f>$M$1</f>
        <v>Adopted</v>
      </c>
      <c r="H537" s="66" t="s">
        <v>19</v>
      </c>
      <c r="I537" s="66" t="s">
        <v>19</v>
      </c>
      <c r="J537" s="66" t="s">
        <v>19</v>
      </c>
      <c r="K537" s="66" t="s">
        <v>19</v>
      </c>
    </row>
    <row r="538" spans="2:11">
      <c r="B538" s="62"/>
      <c r="C538" s="131"/>
      <c r="D538" s="2"/>
      <c r="E538" s="2"/>
      <c r="F538" s="2"/>
      <c r="G538" s="2"/>
      <c r="H538" s="2"/>
      <c r="I538" s="2"/>
      <c r="J538" s="2"/>
      <c r="K538" s="2"/>
    </row>
    <row r="539" spans="2:11">
      <c r="B539" s="124" t="s">
        <v>638</v>
      </c>
      <c r="C539" s="2"/>
      <c r="D539" s="2"/>
      <c r="E539" s="2"/>
      <c r="F539" s="2"/>
      <c r="G539" s="2"/>
      <c r="H539" s="2"/>
      <c r="I539" s="2"/>
      <c r="J539" s="2"/>
      <c r="K539" s="2"/>
    </row>
    <row r="540" spans="2:11" ht="20.100000000000001" customHeight="1">
      <c r="B540" s="324" t="s">
        <v>641</v>
      </c>
      <c r="C540" s="2">
        <f>'Budget Detail FY 2017-24'!L927+'Budget Detail FY 2017-24'!L928</f>
        <v>53650</v>
      </c>
      <c r="D540" s="2">
        <f>'Budget Detail FY 2017-24'!M927+'Budget Detail FY 2017-24'!M928</f>
        <v>100484</v>
      </c>
      <c r="E540" s="2">
        <f>'Budget Detail FY 2017-24'!N927+'Budget Detail FY 2017-24'!N928</f>
        <v>43200</v>
      </c>
      <c r="F540" s="2">
        <f>'Budget Detail FY 2017-24'!O927+'Budget Detail FY 2017-24'!O928</f>
        <v>110000</v>
      </c>
      <c r="G540" s="2">
        <f>'Budget Detail FY 2017-24'!P927+'Budget Detail FY 2017-24'!P928</f>
        <v>50000</v>
      </c>
      <c r="H540" s="2">
        <f>'Budget Detail FY 2017-24'!Q927+'Budget Detail FY 2017-24'!Q928</f>
        <v>50000</v>
      </c>
      <c r="I540" s="2">
        <f>'Budget Detail FY 2017-24'!R927+'Budget Detail FY 2017-24'!R928</f>
        <v>50000</v>
      </c>
      <c r="J540" s="2">
        <f>'Budget Detail FY 2017-24'!S927+'Budget Detail FY 2017-24'!S928</f>
        <v>50000</v>
      </c>
      <c r="K540" s="2">
        <f>'Budget Detail FY 2017-24'!T927+'Budget Detail FY 2017-24'!T928</f>
        <v>50000</v>
      </c>
    </row>
    <row r="541" spans="2:11" ht="20.100000000000001" customHeight="1">
      <c r="B541" s="324" t="s">
        <v>644</v>
      </c>
      <c r="C541" s="2">
        <f>'Budget Detail FY 2017-24'!L929</f>
        <v>12</v>
      </c>
      <c r="D541" s="2">
        <f>'Budget Detail FY 2017-24'!M929</f>
        <v>16</v>
      </c>
      <c r="E541" s="2">
        <f>'Budget Detail FY 2017-24'!N929</f>
        <v>10</v>
      </c>
      <c r="F541" s="2">
        <f>'Budget Detail FY 2017-24'!O929</f>
        <v>150</v>
      </c>
      <c r="G541" s="2">
        <f>'Budget Detail FY 2017-24'!P929</f>
        <v>100</v>
      </c>
      <c r="H541" s="2">
        <f>'Budget Detail FY 2017-24'!Q929</f>
        <v>100</v>
      </c>
      <c r="I541" s="2">
        <f>'Budget Detail FY 2017-24'!R929</f>
        <v>100</v>
      </c>
      <c r="J541" s="2">
        <f>'Budget Detail FY 2017-24'!S929</f>
        <v>0</v>
      </c>
      <c r="K541" s="2">
        <f>'Budget Detail FY 2017-24'!T929</f>
        <v>0</v>
      </c>
    </row>
    <row r="542" spans="2:11" ht="20.100000000000001" customHeight="1">
      <c r="B542" s="324" t="s">
        <v>646</v>
      </c>
      <c r="C542" s="2">
        <f>'Budget Detail FY 2017-24'!L930</f>
        <v>130</v>
      </c>
      <c r="D542" s="2">
        <f>'Budget Detail FY 2017-24'!M930</f>
        <v>37</v>
      </c>
      <c r="E542" s="2">
        <f>'Budget Detail FY 2017-24'!N930</f>
        <v>0</v>
      </c>
      <c r="F542" s="2">
        <f>'Budget Detail FY 2017-24'!O930</f>
        <v>0</v>
      </c>
      <c r="G542" s="2">
        <f>'Budget Detail FY 2017-24'!P930</f>
        <v>0</v>
      </c>
      <c r="H542" s="2">
        <f>'Budget Detail FY 2017-24'!Q930</f>
        <v>0</v>
      </c>
      <c r="I542" s="2">
        <f>'Budget Detail FY 2017-24'!R930</f>
        <v>0</v>
      </c>
      <c r="J542" s="2">
        <f>'Budget Detail FY 2017-24'!S930</f>
        <v>0</v>
      </c>
      <c r="K542" s="2">
        <f>'Budget Detail FY 2017-24'!T930</f>
        <v>0</v>
      </c>
    </row>
    <row r="543" spans="2:11" ht="20.100000000000001" customHeight="1" thickBot="1">
      <c r="B543" s="123" t="s">
        <v>648</v>
      </c>
      <c r="C543" s="121">
        <f>SUM(C540:C542)</f>
        <v>53792</v>
      </c>
      <c r="D543" s="121">
        <f t="shared" ref="D543:K543" si="48">SUM(D540:D542)</f>
        <v>100537</v>
      </c>
      <c r="E543" s="121">
        <f t="shared" si="48"/>
        <v>43210</v>
      </c>
      <c r="F543" s="121">
        <f t="shared" si="48"/>
        <v>110150</v>
      </c>
      <c r="G543" s="121">
        <f t="shared" si="48"/>
        <v>50100</v>
      </c>
      <c r="H543" s="121">
        <f t="shared" si="48"/>
        <v>50100</v>
      </c>
      <c r="I543" s="121">
        <f t="shared" si="48"/>
        <v>50100</v>
      </c>
      <c r="J543" s="121">
        <f t="shared" si="48"/>
        <v>50000</v>
      </c>
      <c r="K543" s="121">
        <f t="shared" si="48"/>
        <v>50000</v>
      </c>
    </row>
    <row r="544" spans="2:11">
      <c r="B544" s="1"/>
      <c r="C544" s="2"/>
      <c r="D544" s="2"/>
      <c r="E544" s="2"/>
      <c r="F544" s="2"/>
      <c r="G544" s="2"/>
      <c r="H544" s="2"/>
      <c r="I544" s="2"/>
      <c r="J544" s="2"/>
      <c r="K544" s="2"/>
    </row>
    <row r="545" spans="2:11">
      <c r="B545" s="124" t="s">
        <v>457</v>
      </c>
      <c r="C545" s="2"/>
      <c r="D545" s="2"/>
      <c r="E545" s="2"/>
      <c r="F545" s="2"/>
      <c r="G545" s="2"/>
      <c r="H545" s="2"/>
      <c r="I545" s="2"/>
      <c r="J545" s="2"/>
      <c r="K545" s="2"/>
    </row>
    <row r="546" spans="2:11" ht="20.100000000000001" customHeight="1">
      <c r="B546" s="325" t="s">
        <v>651</v>
      </c>
      <c r="C546" s="2">
        <f>'Budget Detail FY 2017-24'!L935+'Budget Detail FY 2017-24'!L934</f>
        <v>3844</v>
      </c>
      <c r="D546" s="2">
        <f>'Budget Detail FY 2017-24'!M935+'Budget Detail FY 2017-24'!M934</f>
        <v>3425</v>
      </c>
      <c r="E546" s="2">
        <f>'Budget Detail FY 2017-24'!N935+'Budget Detail FY 2017-24'!N934</f>
        <v>3500</v>
      </c>
      <c r="F546" s="2">
        <f>'Budget Detail FY 2017-24'!O935+'Budget Detail FY 2017-24'!O934</f>
        <v>3500</v>
      </c>
      <c r="G546" s="2">
        <f>'Budget Detail FY 2017-24'!P935+'Budget Detail FY 2017-24'!P934</f>
        <v>3500</v>
      </c>
      <c r="H546" s="2">
        <f>'Budget Detail FY 2017-24'!Q935+'Budget Detail FY 2017-24'!Q934</f>
        <v>3500</v>
      </c>
      <c r="I546" s="2">
        <f>'Budget Detail FY 2017-24'!R935+'Budget Detail FY 2017-24'!R934</f>
        <v>3500</v>
      </c>
      <c r="J546" s="2">
        <f>'Budget Detail FY 2017-24'!S935+'Budget Detail FY 2017-24'!S934</f>
        <v>3500</v>
      </c>
      <c r="K546" s="2">
        <f>'Budget Detail FY 2017-24'!T935+'Budget Detail FY 2017-24'!T934</f>
        <v>3500</v>
      </c>
    </row>
    <row r="547" spans="2:11" ht="20.100000000000001" customHeight="1">
      <c r="B547" s="325" t="s">
        <v>652</v>
      </c>
      <c r="C547" s="2">
        <f>SUM('Budget Detail FY 2017-24'!L936:L940)</f>
        <v>44851</v>
      </c>
      <c r="D547" s="2">
        <f>SUM('Budget Detail FY 2017-24'!M936:M940)</f>
        <v>54604</v>
      </c>
      <c r="E547" s="2">
        <f>SUM('Budget Detail FY 2017-24'!N936:N940)</f>
        <v>48600</v>
      </c>
      <c r="F547" s="2">
        <f>SUM('Budget Detail FY 2017-24'!O936:O940)</f>
        <v>71500</v>
      </c>
      <c r="G547" s="2">
        <f>SUM('Budget Detail FY 2017-24'!P936:P940)</f>
        <v>72000</v>
      </c>
      <c r="H547" s="2">
        <f>SUM('Budget Detail FY 2017-24'!Q936:Q940)</f>
        <v>72000</v>
      </c>
      <c r="I547" s="2">
        <f>SUM('Budget Detail FY 2017-24'!R936:R940)</f>
        <v>72000</v>
      </c>
      <c r="J547" s="2">
        <f>SUM('Budget Detail FY 2017-24'!S936:S940)</f>
        <v>62000</v>
      </c>
      <c r="K547" s="2">
        <f>SUM('Budget Detail FY 2017-24'!T936:T940)</f>
        <v>48143</v>
      </c>
    </row>
    <row r="548" spans="2:11" ht="20.100000000000001" customHeight="1">
      <c r="B548" s="325" t="s">
        <v>653</v>
      </c>
      <c r="C548" s="2">
        <f>'Budget Detail FY 2017-24'!L941</f>
        <v>0</v>
      </c>
      <c r="D548" s="2">
        <f>'Budget Detail FY 2017-24'!M941</f>
        <v>3970</v>
      </c>
      <c r="E548" s="2">
        <f>'Budget Detail FY 2017-24'!N941</f>
        <v>0</v>
      </c>
      <c r="F548" s="2">
        <f>'Budget Detail FY 2017-24'!O941</f>
        <v>0</v>
      </c>
      <c r="G548" s="2">
        <f>'Budget Detail FY 2017-24'!P941</f>
        <v>0</v>
      </c>
      <c r="H548" s="2">
        <f>'Budget Detail FY 2017-24'!Q941</f>
        <v>0</v>
      </c>
      <c r="I548" s="2">
        <f>'Budget Detail FY 2017-24'!R941</f>
        <v>0</v>
      </c>
      <c r="J548" s="2">
        <f>'Budget Detail FY 2017-24'!S941</f>
        <v>0</v>
      </c>
      <c r="K548" s="2">
        <f>'Budget Detail FY 2017-24'!T941</f>
        <v>0</v>
      </c>
    </row>
    <row r="549" spans="2:11" ht="20.100000000000001" customHeight="1" thickBot="1">
      <c r="B549" s="123" t="s">
        <v>655</v>
      </c>
      <c r="C549" s="121">
        <f>SUM(C546:C548)</f>
        <v>48695</v>
      </c>
      <c r="D549" s="121">
        <f t="shared" ref="D549:K549" si="49">SUM(D546:D548)</f>
        <v>61999</v>
      </c>
      <c r="E549" s="121">
        <f t="shared" si="49"/>
        <v>52100</v>
      </c>
      <c r="F549" s="121">
        <f t="shared" si="49"/>
        <v>75000</v>
      </c>
      <c r="G549" s="121">
        <f t="shared" si="49"/>
        <v>75500</v>
      </c>
      <c r="H549" s="121">
        <f t="shared" si="49"/>
        <v>75500</v>
      </c>
      <c r="I549" s="121">
        <f t="shared" si="49"/>
        <v>75500</v>
      </c>
      <c r="J549" s="121">
        <f t="shared" si="49"/>
        <v>65500</v>
      </c>
      <c r="K549" s="121">
        <f t="shared" si="49"/>
        <v>51643</v>
      </c>
    </row>
    <row r="550" spans="2:11">
      <c r="B550" s="126"/>
      <c r="C550" s="3"/>
      <c r="D550" s="2"/>
      <c r="E550" s="2"/>
      <c r="F550" s="2"/>
      <c r="G550" s="2"/>
      <c r="H550" s="2"/>
      <c r="I550" s="2"/>
      <c r="J550" s="2"/>
      <c r="K550" s="2"/>
    </row>
    <row r="551" spans="2:11" ht="20.100000000000001" customHeight="1">
      <c r="B551" s="327" t="s">
        <v>656</v>
      </c>
      <c r="C551" s="3">
        <f t="shared" ref="C551:K551" si="50">C543-C549</f>
        <v>5097</v>
      </c>
      <c r="D551" s="3">
        <f t="shared" si="50"/>
        <v>38538</v>
      </c>
      <c r="E551" s="3">
        <f t="shared" si="50"/>
        <v>-8890</v>
      </c>
      <c r="F551" s="3">
        <f t="shared" si="50"/>
        <v>35150</v>
      </c>
      <c r="G551" s="3">
        <f t="shared" si="50"/>
        <v>-25400</v>
      </c>
      <c r="H551" s="3">
        <f t="shared" si="50"/>
        <v>-25400</v>
      </c>
      <c r="I551" s="3">
        <f t="shared" si="50"/>
        <v>-25400</v>
      </c>
      <c r="J551" s="3">
        <f t="shared" si="50"/>
        <v>-15500</v>
      </c>
      <c r="K551" s="3">
        <f t="shared" si="50"/>
        <v>-1643</v>
      </c>
    </row>
    <row r="552" spans="2:11">
      <c r="B552" s="127"/>
      <c r="C552" s="3"/>
      <c r="D552" s="2"/>
      <c r="E552" s="2"/>
      <c r="F552" s="2"/>
      <c r="G552" s="2"/>
      <c r="H552" s="2"/>
      <c r="I552" s="2"/>
      <c r="J552" s="2"/>
      <c r="K552" s="2"/>
    </row>
    <row r="553" spans="2:11" ht="20.100000000000001" customHeight="1" thickBot="1">
      <c r="B553" s="122" t="s">
        <v>657</v>
      </c>
      <c r="C553" s="79">
        <v>19904</v>
      </c>
      <c r="D553" s="79">
        <v>58443</v>
      </c>
      <c r="E553" s="79">
        <v>31274</v>
      </c>
      <c r="F553" s="79">
        <f>D553+F551</f>
        <v>93593</v>
      </c>
      <c r="G553" s="79">
        <f>F553+G551</f>
        <v>68193</v>
      </c>
      <c r="H553" s="79">
        <f>G553+H551</f>
        <v>42793</v>
      </c>
      <c r="I553" s="79">
        <f>H553+I551</f>
        <v>17393</v>
      </c>
      <c r="J553" s="79">
        <f>I553+J551</f>
        <v>1893</v>
      </c>
      <c r="K553" s="79">
        <f>J553+K551</f>
        <v>250</v>
      </c>
    </row>
    <row r="554" spans="2:11" ht="14.4" thickTop="1">
      <c r="B554" s="128"/>
      <c r="C554" s="3"/>
      <c r="D554" s="3"/>
      <c r="E554" s="3"/>
      <c r="F554" s="3"/>
      <c r="G554" s="3"/>
      <c r="H554" s="2"/>
      <c r="I554" s="2"/>
      <c r="J554" s="2"/>
      <c r="K554" s="2"/>
    </row>
    <row r="555" spans="2:11">
      <c r="B555" s="128"/>
      <c r="C555" s="2"/>
      <c r="D555" s="2"/>
      <c r="E555" s="2"/>
      <c r="F555" s="2"/>
      <c r="G555" s="2"/>
      <c r="H555" s="2"/>
      <c r="I555" s="2"/>
      <c r="J555" s="2"/>
      <c r="K555" s="2"/>
    </row>
    <row r="556" spans="2:11">
      <c r="B556" s="1"/>
      <c r="C556" s="2"/>
      <c r="D556" s="2"/>
      <c r="E556" s="2"/>
      <c r="F556" s="2"/>
      <c r="G556" s="2"/>
      <c r="H556" s="2"/>
      <c r="I556" s="2"/>
      <c r="J556" s="2"/>
      <c r="K556" s="2"/>
    </row>
    <row r="557" spans="2:11">
      <c r="B557" s="1"/>
      <c r="C557" s="2"/>
      <c r="D557" s="2"/>
      <c r="E557" s="2"/>
      <c r="F557" s="2"/>
      <c r="G557" s="2"/>
      <c r="H557" s="2"/>
      <c r="I557" s="2"/>
      <c r="J557" s="2"/>
      <c r="K557" s="2"/>
    </row>
    <row r="558" spans="2:11">
      <c r="B558" s="1"/>
      <c r="C558" s="2"/>
      <c r="D558" s="2"/>
      <c r="E558" s="2"/>
      <c r="F558" s="2"/>
      <c r="G558" s="2"/>
      <c r="H558" s="2"/>
      <c r="I558" s="2"/>
      <c r="J558" s="2"/>
      <c r="K558" s="2"/>
    </row>
    <row r="559" spans="2:11">
      <c r="B559" s="1"/>
      <c r="C559" s="2"/>
      <c r="D559" s="2"/>
      <c r="E559" s="2"/>
      <c r="F559" s="2"/>
      <c r="G559" s="2"/>
      <c r="H559" s="2"/>
      <c r="I559" s="2"/>
      <c r="J559" s="2"/>
      <c r="K559" s="2"/>
    </row>
    <row r="560" spans="2:11">
      <c r="B560" s="1"/>
      <c r="C560" s="2"/>
      <c r="D560" s="2"/>
      <c r="E560" s="2"/>
      <c r="F560" s="2"/>
      <c r="G560" s="2"/>
      <c r="H560" s="2"/>
      <c r="I560" s="2"/>
      <c r="J560" s="2"/>
      <c r="K560" s="2"/>
    </row>
    <row r="561" spans="2:11">
      <c r="B561" s="1"/>
      <c r="C561" s="2"/>
      <c r="D561" s="2"/>
      <c r="E561" s="2"/>
      <c r="F561" s="2"/>
      <c r="G561" s="2"/>
      <c r="H561" s="2"/>
      <c r="I561" s="2"/>
      <c r="J561" s="2"/>
      <c r="K561" s="2"/>
    </row>
    <row r="562" spans="2:11">
      <c r="B562" s="1"/>
      <c r="C562" s="2"/>
      <c r="D562" s="2"/>
      <c r="E562" s="2"/>
      <c r="F562" s="2"/>
      <c r="G562" s="2"/>
      <c r="H562" s="2"/>
      <c r="I562" s="2"/>
      <c r="J562" s="2"/>
      <c r="K562" s="2"/>
    </row>
    <row r="563" spans="2:11">
      <c r="B563" s="1"/>
      <c r="C563" s="2"/>
      <c r="D563" s="2"/>
      <c r="E563" s="2"/>
      <c r="F563" s="2"/>
      <c r="G563" s="2"/>
      <c r="H563" s="2"/>
      <c r="I563" s="2"/>
      <c r="J563" s="2"/>
      <c r="K563" s="2"/>
    </row>
    <row r="564" spans="2:11">
      <c r="B564" s="1"/>
      <c r="C564" s="2"/>
      <c r="D564" s="2"/>
      <c r="E564" s="2"/>
      <c r="F564" s="2"/>
      <c r="G564" s="2"/>
      <c r="H564" s="2"/>
      <c r="I564" s="2"/>
      <c r="J564" s="2"/>
      <c r="K564" s="2"/>
    </row>
    <row r="565" spans="2:11">
      <c r="B565" s="1"/>
      <c r="C565" s="2"/>
      <c r="D565" s="2"/>
      <c r="E565" s="2"/>
      <c r="F565" s="2"/>
      <c r="G565" s="2"/>
      <c r="H565" s="2"/>
      <c r="I565" s="2"/>
      <c r="J565" s="2"/>
      <c r="K565" s="2"/>
    </row>
    <row r="566" spans="2:11">
      <c r="B566" s="1"/>
      <c r="C566" s="2"/>
      <c r="D566" s="2"/>
      <c r="E566" s="2"/>
      <c r="F566" s="2"/>
      <c r="G566" s="2"/>
      <c r="H566" s="2"/>
      <c r="I566" s="2"/>
      <c r="J566" s="2"/>
      <c r="K566" s="2"/>
    </row>
    <row r="567" spans="2:11">
      <c r="B567" s="1"/>
      <c r="C567" s="2"/>
      <c r="D567" s="2"/>
      <c r="E567" s="2"/>
      <c r="F567" s="2"/>
      <c r="G567" s="2"/>
      <c r="H567" s="2"/>
      <c r="I567" s="2"/>
      <c r="J567" s="2"/>
      <c r="K567" s="2"/>
    </row>
    <row r="568" spans="2:11">
      <c r="B568" s="1"/>
      <c r="C568" s="2"/>
      <c r="D568" s="2"/>
      <c r="E568" s="2"/>
      <c r="F568" s="2"/>
      <c r="G568" s="2"/>
      <c r="H568" s="2"/>
      <c r="I568" s="2"/>
      <c r="J568" s="2"/>
      <c r="K568" s="2"/>
    </row>
    <row r="570" spans="2:11" ht="18.75" customHeight="1">
      <c r="B570" s="476" t="s">
        <v>680</v>
      </c>
      <c r="C570" s="476"/>
      <c r="D570" s="476"/>
      <c r="E570" s="476"/>
      <c r="F570" s="476"/>
      <c r="G570" s="476"/>
      <c r="H570" s="476"/>
      <c r="I570" s="476"/>
      <c r="J570" s="476"/>
      <c r="K570" s="476"/>
    </row>
    <row r="571" spans="2:11">
      <c r="B571" s="63"/>
      <c r="C571" s="3"/>
      <c r="D571" s="2"/>
      <c r="E571" s="2"/>
      <c r="F571" s="2"/>
      <c r="G571" s="2"/>
      <c r="H571" s="2"/>
      <c r="I571" s="2"/>
      <c r="J571" s="2"/>
      <c r="K571" s="2"/>
    </row>
    <row r="572" spans="2:11" ht="12.75" customHeight="1">
      <c r="B572" s="467" t="s">
        <v>681</v>
      </c>
      <c r="C572" s="467"/>
      <c r="D572" s="467"/>
      <c r="E572" s="467"/>
      <c r="F572" s="467"/>
      <c r="G572" s="467"/>
      <c r="H572" s="467"/>
      <c r="I572" s="467"/>
      <c r="J572" s="467"/>
      <c r="K572" s="467"/>
    </row>
    <row r="573" spans="2:11" ht="18.75" customHeight="1">
      <c r="B573" s="467"/>
      <c r="C573" s="467"/>
      <c r="D573" s="467"/>
      <c r="E573" s="467"/>
      <c r="F573" s="467"/>
      <c r="G573" s="467"/>
      <c r="H573" s="467"/>
      <c r="I573" s="467"/>
      <c r="J573" s="467"/>
      <c r="K573" s="467"/>
    </row>
    <row r="574" spans="2:11">
      <c r="B574" s="332"/>
      <c r="C574" s="21"/>
      <c r="D574" s="21"/>
      <c r="E574" s="21"/>
      <c r="F574" s="21"/>
      <c r="G574" s="21"/>
      <c r="H574" s="21"/>
      <c r="I574" s="2"/>
      <c r="J574" s="2"/>
      <c r="K574" s="2"/>
    </row>
    <row r="575" spans="2:11">
      <c r="B575" s="5"/>
      <c r="C575" s="64"/>
      <c r="D575" s="1"/>
      <c r="E575" s="64" t="s">
        <v>864</v>
      </c>
      <c r="F575" s="1"/>
      <c r="G575" s="1"/>
      <c r="H575" s="1"/>
      <c r="I575" s="1"/>
      <c r="J575" s="1"/>
      <c r="K575" s="1"/>
    </row>
    <row r="576" spans="2:11">
      <c r="B576" s="64"/>
      <c r="C576" s="63" t="s">
        <v>234</v>
      </c>
      <c r="D576" s="64" t="s">
        <v>790</v>
      </c>
      <c r="E576" s="64" t="s">
        <v>637</v>
      </c>
      <c r="F576" s="64" t="s">
        <v>864</v>
      </c>
      <c r="G576" s="64" t="s">
        <v>895</v>
      </c>
      <c r="H576" s="64" t="s">
        <v>896</v>
      </c>
      <c r="I576" s="64" t="s">
        <v>897</v>
      </c>
      <c r="J576" s="64" t="s">
        <v>898</v>
      </c>
      <c r="K576" s="64" t="s">
        <v>899</v>
      </c>
    </row>
    <row r="577" spans="2:11" ht="14.4" thickBot="1">
      <c r="B577" s="130"/>
      <c r="C577" s="66" t="s">
        <v>1</v>
      </c>
      <c r="D577" s="66" t="s">
        <v>1</v>
      </c>
      <c r="E577" s="66" t="s">
        <v>605</v>
      </c>
      <c r="F577" s="66" t="s">
        <v>19</v>
      </c>
      <c r="G577" s="66" t="str">
        <f>$M$1</f>
        <v>Adopted</v>
      </c>
      <c r="H577" s="66" t="s">
        <v>19</v>
      </c>
      <c r="I577" s="66" t="s">
        <v>19</v>
      </c>
      <c r="J577" s="66" t="s">
        <v>19</v>
      </c>
      <c r="K577" s="66" t="s">
        <v>19</v>
      </c>
    </row>
    <row r="578" spans="2:11">
      <c r="B578" s="62"/>
      <c r="C578" s="131"/>
      <c r="D578" s="2"/>
      <c r="E578" s="2"/>
      <c r="F578" s="2"/>
      <c r="G578" s="2"/>
      <c r="H578" s="2"/>
      <c r="I578" s="2"/>
      <c r="J578" s="2"/>
      <c r="K578" s="2"/>
    </row>
    <row r="579" spans="2:11">
      <c r="B579" s="124" t="s">
        <v>638</v>
      </c>
      <c r="C579" s="2"/>
      <c r="D579" s="2"/>
      <c r="E579" s="2"/>
      <c r="F579" s="2"/>
      <c r="G579" s="2"/>
      <c r="H579" s="2"/>
      <c r="I579" s="2"/>
      <c r="J579" s="2"/>
      <c r="K579" s="2"/>
    </row>
    <row r="580" spans="2:11" ht="20.100000000000001" customHeight="1">
      <c r="B580" s="323" t="s">
        <v>639</v>
      </c>
      <c r="C580" s="2">
        <f>'Budget Detail FY 2017-24'!L951</f>
        <v>215360</v>
      </c>
      <c r="D580" s="2">
        <f>'Budget Detail FY 2017-24'!M951</f>
        <v>198294</v>
      </c>
      <c r="E580" s="2">
        <f>'Budget Detail FY 2017-24'!N951</f>
        <v>246261</v>
      </c>
      <c r="F580" s="2">
        <f>'Budget Detail FY 2017-24'!O951</f>
        <v>198918</v>
      </c>
      <c r="G580" s="2">
        <f>'Budget Detail FY 2017-24'!P951</f>
        <v>232318</v>
      </c>
      <c r="H580" s="2">
        <f>'Budget Detail FY 2017-24'!Q951</f>
        <v>260762</v>
      </c>
      <c r="I580" s="2">
        <f>'Budget Detail FY 2017-24'!R951</f>
        <v>429192</v>
      </c>
      <c r="J580" s="2">
        <f>'Budget Detail FY 2017-24'!S951</f>
        <v>439922</v>
      </c>
      <c r="K580" s="2">
        <f>'Budget Detail FY 2017-24'!T951</f>
        <v>450920</v>
      </c>
    </row>
    <row r="581" spans="2:11" ht="20.100000000000001" customHeight="1" thickBot="1">
      <c r="B581" s="123" t="s">
        <v>648</v>
      </c>
      <c r="C581" s="121">
        <f t="shared" ref="C581:K581" si="51">SUM(C580:C580)</f>
        <v>215360</v>
      </c>
      <c r="D581" s="121">
        <f t="shared" si="51"/>
        <v>198294</v>
      </c>
      <c r="E581" s="121">
        <f t="shared" si="51"/>
        <v>246261</v>
      </c>
      <c r="F581" s="121">
        <f t="shared" si="51"/>
        <v>198918</v>
      </c>
      <c r="G581" s="121">
        <f t="shared" si="51"/>
        <v>232318</v>
      </c>
      <c r="H581" s="121">
        <f t="shared" si="51"/>
        <v>260762</v>
      </c>
      <c r="I581" s="121">
        <f t="shared" si="51"/>
        <v>429192</v>
      </c>
      <c r="J581" s="121">
        <f t="shared" si="51"/>
        <v>439922</v>
      </c>
      <c r="K581" s="121">
        <f t="shared" si="51"/>
        <v>450920</v>
      </c>
    </row>
    <row r="582" spans="2:11">
      <c r="B582" s="1"/>
      <c r="C582" s="2"/>
      <c r="D582" s="2"/>
      <c r="E582" s="2"/>
      <c r="F582" s="2"/>
      <c r="G582" s="2"/>
      <c r="H582" s="2"/>
      <c r="I582" s="2"/>
      <c r="J582" s="2"/>
      <c r="K582" s="2"/>
    </row>
    <row r="583" spans="2:11">
      <c r="B583" s="124" t="s">
        <v>457</v>
      </c>
      <c r="C583" s="2"/>
      <c r="D583" s="2"/>
      <c r="E583" s="2"/>
      <c r="F583" s="2"/>
      <c r="G583" s="2"/>
      <c r="H583" s="2"/>
      <c r="I583" s="2"/>
      <c r="J583" s="2"/>
      <c r="K583" s="2"/>
    </row>
    <row r="584" spans="2:11" ht="20.100000000000001" customHeight="1">
      <c r="B584" s="325" t="s">
        <v>651</v>
      </c>
      <c r="C584" s="2">
        <f>SUM('Budget Detail FY 2017-24'!L955:L958)</f>
        <v>1940</v>
      </c>
      <c r="D584" s="2">
        <f>SUM('Budget Detail FY 2017-24'!M955:M958)</f>
        <v>12691</v>
      </c>
      <c r="E584" s="2">
        <f>SUM('Budget Detail FY 2017-24'!N955:N958)</f>
        <v>713749</v>
      </c>
      <c r="F584" s="2">
        <f>SUM('Budget Detail FY 2017-24'!O955:O958)</f>
        <v>13710</v>
      </c>
      <c r="G584" s="2">
        <f>SUM('Budget Detail FY 2017-24'!P955:P958)</f>
        <v>713963</v>
      </c>
      <c r="H584" s="2">
        <f>SUM('Budget Detail FY 2017-24'!Q955:Q958)</f>
        <v>14301</v>
      </c>
      <c r="I584" s="2">
        <f>SUM('Budget Detail FY 2017-24'!R955:R958)</f>
        <v>14649</v>
      </c>
      <c r="J584" s="2">
        <f>SUM('Budget Detail FY 2017-24'!S955:S958)</f>
        <v>15007</v>
      </c>
      <c r="K584" s="2">
        <f>SUM('Budget Detail FY 2017-24'!T955:T958)</f>
        <v>15376</v>
      </c>
    </row>
    <row r="585" spans="2:11" ht="20.100000000000001" customHeight="1">
      <c r="B585" s="325" t="s">
        <v>593</v>
      </c>
      <c r="C585" s="2">
        <f>'Budget Detail FY 2017-24'!L960+'Budget Detail FY 2017-24'!L961+'Budget Detail FY 2017-24'!L963+'Budget Detail FY 2017-24'!L964</f>
        <v>159227</v>
      </c>
      <c r="D585" s="2">
        <f>'Budget Detail FY 2017-24'!M960+'Budget Detail FY 2017-24'!M961+'Budget Detail FY 2017-24'!M963+'Budget Detail FY 2017-24'!M964</f>
        <v>149669</v>
      </c>
      <c r="E585" s="2">
        <f>'Budget Detail FY 2017-24'!N960+'Budget Detail FY 2017-24'!N961+'Budget Detail FY 2017-24'!N963+'Budget Detail FY 2017-24'!N964</f>
        <v>149358</v>
      </c>
      <c r="F585" s="2">
        <f>'Budget Detail FY 2017-24'!O960+'Budget Detail FY 2017-24'!O961+'Budget Detail FY 2017-24'!O963+'Budget Detail FY 2017-24'!O964</f>
        <v>149358</v>
      </c>
      <c r="G585" s="2">
        <f>'Budget Detail FY 2017-24'!P960+'Budget Detail FY 2017-24'!P961+'Budget Detail FY 2017-24'!P963+'Budget Detail FY 2017-24'!P964</f>
        <v>209845</v>
      </c>
      <c r="H585" s="2">
        <f>'Budget Detail FY 2017-24'!Q960+'Budget Detail FY 2017-24'!Q961+'Budget Detail FY 2017-24'!Q963+'Budget Detail FY 2017-24'!Q964</f>
        <v>208311</v>
      </c>
      <c r="I585" s="2">
        <f>'Budget Detail FY 2017-24'!R960+'Budget Detail FY 2017-24'!R961+'Budget Detail FY 2017-24'!R963+'Budget Detail FY 2017-24'!R964</f>
        <v>209316</v>
      </c>
      <c r="J585" s="2">
        <f>'Budget Detail FY 2017-24'!S960+'Budget Detail FY 2017-24'!S961+'Budget Detail FY 2017-24'!S963+'Budget Detail FY 2017-24'!S964</f>
        <v>208787</v>
      </c>
      <c r="K585" s="2">
        <f>'Budget Detail FY 2017-24'!T960+'Budget Detail FY 2017-24'!T961+'Budget Detail FY 2017-24'!T963+'Budget Detail FY 2017-24'!T964</f>
        <v>209422</v>
      </c>
    </row>
    <row r="586" spans="2:11" ht="20.100000000000001" customHeight="1" thickBot="1">
      <c r="B586" s="123" t="s">
        <v>655</v>
      </c>
      <c r="C586" s="121">
        <f t="shared" ref="C586:K586" si="52">SUM(C584:C585)</f>
        <v>161167</v>
      </c>
      <c r="D586" s="121">
        <f t="shared" si="52"/>
        <v>162360</v>
      </c>
      <c r="E586" s="121">
        <f t="shared" si="52"/>
        <v>863107</v>
      </c>
      <c r="F586" s="121">
        <f t="shared" si="52"/>
        <v>163068</v>
      </c>
      <c r="G586" s="121">
        <f t="shared" si="52"/>
        <v>923808</v>
      </c>
      <c r="H586" s="121">
        <f t="shared" si="52"/>
        <v>222612</v>
      </c>
      <c r="I586" s="121">
        <f t="shared" si="52"/>
        <v>223965</v>
      </c>
      <c r="J586" s="121">
        <f t="shared" si="52"/>
        <v>223794</v>
      </c>
      <c r="K586" s="121">
        <f t="shared" si="52"/>
        <v>224798</v>
      </c>
    </row>
    <row r="587" spans="2:11">
      <c r="B587" s="126"/>
      <c r="C587" s="3"/>
      <c r="D587" s="2"/>
      <c r="E587" s="2"/>
      <c r="F587" s="2"/>
      <c r="G587" s="2"/>
      <c r="H587" s="2"/>
      <c r="I587" s="2"/>
      <c r="J587" s="2"/>
      <c r="K587" s="2"/>
    </row>
    <row r="588" spans="2:11" ht="20.100000000000001" customHeight="1">
      <c r="B588" s="327" t="s">
        <v>656</v>
      </c>
      <c r="C588" s="3">
        <f t="shared" ref="C588:K588" si="53">+C581-C586</f>
        <v>54193</v>
      </c>
      <c r="D588" s="3">
        <f t="shared" si="53"/>
        <v>35934</v>
      </c>
      <c r="E588" s="3">
        <f t="shared" si="53"/>
        <v>-616846</v>
      </c>
      <c r="F588" s="3">
        <f t="shared" si="53"/>
        <v>35850</v>
      </c>
      <c r="G588" s="3">
        <f t="shared" si="53"/>
        <v>-691490</v>
      </c>
      <c r="H588" s="3">
        <f t="shared" si="53"/>
        <v>38150</v>
      </c>
      <c r="I588" s="3">
        <f t="shared" si="53"/>
        <v>205227</v>
      </c>
      <c r="J588" s="3">
        <f t="shared" si="53"/>
        <v>216128</v>
      </c>
      <c r="K588" s="3">
        <f t="shared" si="53"/>
        <v>226122</v>
      </c>
    </row>
    <row r="589" spans="2:11">
      <c r="B589" s="127"/>
      <c r="C589" s="3"/>
      <c r="D589" s="2"/>
      <c r="E589" s="2"/>
      <c r="F589" s="2"/>
      <c r="G589" s="2"/>
      <c r="H589" s="2"/>
      <c r="I589" s="2"/>
      <c r="J589" s="2"/>
      <c r="K589" s="2"/>
    </row>
    <row r="590" spans="2:11" ht="20.100000000000001" customHeight="1" thickBot="1">
      <c r="B590" s="122" t="s">
        <v>657</v>
      </c>
      <c r="C590" s="79">
        <v>-495754</v>
      </c>
      <c r="D590" s="79">
        <v>-459819</v>
      </c>
      <c r="E590" s="79">
        <v>-1077343</v>
      </c>
      <c r="F590" s="79">
        <f>D590+F588</f>
        <v>-423969</v>
      </c>
      <c r="G590" s="79">
        <f>F590+G588</f>
        <v>-1115459</v>
      </c>
      <c r="H590" s="79">
        <f>G590+H588</f>
        <v>-1077309</v>
      </c>
      <c r="I590" s="79">
        <f>H590+I588</f>
        <v>-872082</v>
      </c>
      <c r="J590" s="79">
        <f>I590+J588</f>
        <v>-655954</v>
      </c>
      <c r="K590" s="79">
        <f>J590+K588</f>
        <v>-429832</v>
      </c>
    </row>
    <row r="591" spans="2:11" ht="14.4" thickTop="1">
      <c r="B591" s="128"/>
      <c r="C591" s="3"/>
      <c r="D591" s="3"/>
      <c r="E591" s="3"/>
      <c r="F591" s="2"/>
      <c r="G591" s="2"/>
      <c r="H591" s="2"/>
      <c r="I591" s="2"/>
      <c r="J591" s="2"/>
      <c r="K591" s="2"/>
    </row>
    <row r="592" spans="2:11">
      <c r="B592" s="128"/>
      <c r="C592" s="3"/>
      <c r="D592" s="3"/>
      <c r="E592" s="3"/>
      <c r="F592" s="2"/>
      <c r="G592" s="2"/>
      <c r="H592" s="2"/>
      <c r="I592" s="2"/>
      <c r="J592" s="2"/>
      <c r="K592" s="2"/>
    </row>
    <row r="593" spans="2:11">
      <c r="B593" s="128"/>
      <c r="C593" s="2"/>
      <c r="D593" s="2"/>
      <c r="E593" s="2"/>
      <c r="F593" s="2"/>
      <c r="G593" s="2"/>
      <c r="H593" s="2"/>
      <c r="I593" s="2"/>
      <c r="J593" s="2"/>
      <c r="K593" s="2"/>
    </row>
    <row r="594" spans="2:11">
      <c r="B594" s="1"/>
      <c r="C594" s="2"/>
      <c r="D594" s="2"/>
      <c r="E594" s="2"/>
      <c r="F594" s="2"/>
      <c r="G594" s="2"/>
      <c r="H594" s="2"/>
      <c r="I594" s="2"/>
      <c r="J594" s="2"/>
      <c r="K594" s="2"/>
    </row>
    <row r="595" spans="2:11">
      <c r="B595" s="1"/>
      <c r="C595" s="2"/>
      <c r="D595" s="2"/>
      <c r="E595" s="2"/>
      <c r="F595" s="2"/>
      <c r="G595" s="2"/>
      <c r="H595" s="2"/>
      <c r="I595" s="2"/>
      <c r="J595" s="2"/>
      <c r="K595" s="2"/>
    </row>
    <row r="596" spans="2:11">
      <c r="B596" s="1"/>
      <c r="C596" s="2"/>
      <c r="D596" s="2"/>
      <c r="E596" s="2"/>
      <c r="F596" s="2"/>
      <c r="G596" s="2"/>
      <c r="H596" s="2"/>
      <c r="I596" s="2"/>
      <c r="J596" s="2"/>
      <c r="K596" s="2"/>
    </row>
    <row r="597" spans="2:11">
      <c r="B597" s="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476" t="s">
        <v>682</v>
      </c>
      <c r="C606" s="476"/>
      <c r="D606" s="476"/>
      <c r="E606" s="476"/>
      <c r="F606" s="476"/>
      <c r="G606" s="476"/>
      <c r="H606" s="476"/>
      <c r="I606" s="476"/>
      <c r="J606" s="476"/>
      <c r="K606" s="476"/>
    </row>
    <row r="607" spans="2:11">
      <c r="B607" s="63"/>
      <c r="C607" s="3"/>
      <c r="D607" s="2"/>
      <c r="E607" s="2"/>
      <c r="F607" s="2"/>
      <c r="G607" s="2"/>
      <c r="H607" s="2"/>
      <c r="I607" s="2"/>
      <c r="J607" s="2"/>
      <c r="K607" s="2"/>
    </row>
    <row r="608" spans="2:11" ht="15" customHeight="1">
      <c r="B608" s="467" t="s">
        <v>683</v>
      </c>
      <c r="C608" s="467"/>
      <c r="D608" s="467"/>
      <c r="E608" s="467"/>
      <c r="F608" s="467"/>
      <c r="G608" s="467"/>
      <c r="H608" s="467"/>
      <c r="I608" s="467"/>
      <c r="J608" s="467"/>
      <c r="K608" s="467"/>
    </row>
    <row r="609" spans="2:11">
      <c r="B609" s="332"/>
      <c r="C609" s="21"/>
      <c r="D609" s="21"/>
      <c r="E609" s="21"/>
      <c r="F609" s="21"/>
      <c r="G609" s="21"/>
      <c r="H609" s="21"/>
      <c r="I609" s="2"/>
      <c r="J609" s="2"/>
      <c r="K609" s="2"/>
    </row>
    <row r="610" spans="2:11">
      <c r="B610" s="5"/>
      <c r="C610" s="64"/>
      <c r="D610" s="1"/>
      <c r="E610" s="64" t="s">
        <v>864</v>
      </c>
      <c r="F610" s="1"/>
      <c r="G610" s="1"/>
      <c r="H610" s="1"/>
      <c r="I610" s="1"/>
      <c r="J610" s="1"/>
      <c r="K610" s="1"/>
    </row>
    <row r="611" spans="2:11">
      <c r="B611" s="64"/>
      <c r="C611" s="63" t="s">
        <v>234</v>
      </c>
      <c r="D611" s="64" t="s">
        <v>790</v>
      </c>
      <c r="E611" s="64" t="s">
        <v>637</v>
      </c>
      <c r="F611" s="64" t="s">
        <v>864</v>
      </c>
      <c r="G611" s="64" t="s">
        <v>895</v>
      </c>
      <c r="H611" s="64" t="s">
        <v>896</v>
      </c>
      <c r="I611" s="64" t="s">
        <v>897</v>
      </c>
      <c r="J611" s="64" t="s">
        <v>898</v>
      </c>
      <c r="K611" s="64" t="s">
        <v>899</v>
      </c>
    </row>
    <row r="612" spans="2:11" ht="14.4" thickBot="1">
      <c r="B612" s="130"/>
      <c r="C612" s="66" t="s">
        <v>1</v>
      </c>
      <c r="D612" s="66" t="s">
        <v>1</v>
      </c>
      <c r="E612" s="66" t="s">
        <v>605</v>
      </c>
      <c r="F612" s="66" t="s">
        <v>19</v>
      </c>
      <c r="G612" s="66" t="str">
        <f>$M$1</f>
        <v>Adopted</v>
      </c>
      <c r="H612" s="66" t="s">
        <v>19</v>
      </c>
      <c r="I612" s="66" t="s">
        <v>19</v>
      </c>
      <c r="J612" s="66" t="s">
        <v>19</v>
      </c>
      <c r="K612" s="66" t="s">
        <v>19</v>
      </c>
    </row>
    <row r="613" spans="2:11">
      <c r="B613" s="62"/>
      <c r="C613" s="131"/>
      <c r="D613" s="2"/>
      <c r="E613" s="2"/>
      <c r="F613" s="2"/>
      <c r="G613" s="2"/>
      <c r="H613" s="2"/>
      <c r="I613" s="2"/>
      <c r="J613" s="2"/>
      <c r="K613" s="2"/>
    </row>
    <row r="614" spans="2:11">
      <c r="B614" s="124" t="s">
        <v>638</v>
      </c>
      <c r="C614" s="2"/>
      <c r="D614" s="2"/>
      <c r="E614" s="2"/>
      <c r="F614" s="2"/>
      <c r="G614" s="2"/>
      <c r="H614" s="2"/>
      <c r="I614" s="2"/>
      <c r="J614" s="2"/>
      <c r="K614" s="2"/>
    </row>
    <row r="615" spans="2:11" ht="20.100000000000001" customHeight="1">
      <c r="B615" s="323" t="s">
        <v>639</v>
      </c>
      <c r="C615" s="2">
        <f>SUM('Budget Detail FY 2017-24'!L974:L974)</f>
        <v>67307</v>
      </c>
      <c r="D615" s="2">
        <f>SUM('Budget Detail FY 2017-24'!M974:M974)</f>
        <v>76186</v>
      </c>
      <c r="E615" s="2">
        <f>SUM('Budget Detail FY 2017-24'!N974:N974)</f>
        <v>80000</v>
      </c>
      <c r="F615" s="2">
        <f>SUM('Budget Detail FY 2017-24'!O974:O974)</f>
        <v>78417</v>
      </c>
      <c r="G615" s="2">
        <f>SUM('Budget Detail FY 2017-24'!P974:P974)</f>
        <v>80000</v>
      </c>
      <c r="H615" s="2">
        <f>SUM('Budget Detail FY 2017-24'!Q974:Q974)</f>
        <v>80000</v>
      </c>
      <c r="I615" s="2">
        <f>SUM('Budget Detail FY 2017-24'!R974:R974)</f>
        <v>80000</v>
      </c>
      <c r="J615" s="2">
        <f>SUM('Budget Detail FY 2017-24'!S974:S974)</f>
        <v>80000</v>
      </c>
      <c r="K615" s="2">
        <f>SUM('Budget Detail FY 2017-24'!T974:T974)</f>
        <v>80000</v>
      </c>
    </row>
    <row r="616" spans="2:11" ht="20.100000000000001" customHeight="1">
      <c r="B616" s="324" t="s">
        <v>646</v>
      </c>
      <c r="C616" s="2">
        <f>'Budget Detail FY 2017-24'!L975</f>
        <v>1456</v>
      </c>
      <c r="D616" s="2">
        <f>'Budget Detail FY 2017-24'!M975</f>
        <v>0</v>
      </c>
      <c r="E616" s="2">
        <f>'Budget Detail FY 2017-24'!N975</f>
        <v>0</v>
      </c>
      <c r="F616" s="2">
        <f>'Budget Detail FY 2017-24'!O975</f>
        <v>0</v>
      </c>
      <c r="G616" s="2">
        <f>'Budget Detail FY 2017-24'!P975</f>
        <v>0</v>
      </c>
      <c r="H616" s="2">
        <f>'Budget Detail FY 2017-24'!Q975</f>
        <v>0</v>
      </c>
      <c r="I616" s="2">
        <f>'Budget Detail FY 2017-24'!R975</f>
        <v>0</v>
      </c>
      <c r="J616" s="2">
        <f>'Budget Detail FY 2017-24'!S975</f>
        <v>0</v>
      </c>
      <c r="K616" s="2">
        <f>'Budget Detail FY 2017-24'!T975</f>
        <v>0</v>
      </c>
    </row>
    <row r="617" spans="2:11" ht="20.100000000000001" customHeight="1">
      <c r="B617" s="326" t="s">
        <v>647</v>
      </c>
      <c r="C617" s="2">
        <f>'Budget Detail FY 2017-24'!L976</f>
        <v>0</v>
      </c>
      <c r="D617" s="2">
        <f>'Budget Detail FY 2017-24'!M976</f>
        <v>800000</v>
      </c>
      <c r="E617" s="2">
        <f>'Budget Detail FY 2017-24'!N976</f>
        <v>0</v>
      </c>
      <c r="F617" s="2">
        <f>'Budget Detail FY 2017-24'!O976</f>
        <v>0</v>
      </c>
      <c r="G617" s="2">
        <f>'Budget Detail FY 2017-24'!P976</f>
        <v>0</v>
      </c>
      <c r="H617" s="2">
        <f>'Budget Detail FY 2017-24'!Q976</f>
        <v>0</v>
      </c>
      <c r="I617" s="2">
        <f>'Budget Detail FY 2017-24'!R976</f>
        <v>0</v>
      </c>
      <c r="J617" s="2">
        <f>'Budget Detail FY 2017-24'!S976</f>
        <v>0</v>
      </c>
      <c r="K617" s="2">
        <f>'Budget Detail FY 2017-24'!T976</f>
        <v>0</v>
      </c>
    </row>
    <row r="618" spans="2:11" ht="20.100000000000001" customHeight="1" thickBot="1">
      <c r="B618" s="123" t="s">
        <v>648</v>
      </c>
      <c r="C618" s="121">
        <f>SUM(C615:C617)</f>
        <v>68763</v>
      </c>
      <c r="D618" s="121">
        <f t="shared" ref="D618:K618" si="54">SUM(D615:D617)</f>
        <v>876186</v>
      </c>
      <c r="E618" s="121">
        <f t="shared" si="54"/>
        <v>80000</v>
      </c>
      <c r="F618" s="121">
        <f t="shared" si="54"/>
        <v>78417</v>
      </c>
      <c r="G618" s="121">
        <f t="shared" si="54"/>
        <v>80000</v>
      </c>
      <c r="H618" s="121">
        <f t="shared" si="54"/>
        <v>80000</v>
      </c>
      <c r="I618" s="121">
        <f t="shared" si="54"/>
        <v>80000</v>
      </c>
      <c r="J618" s="121">
        <f t="shared" si="54"/>
        <v>80000</v>
      </c>
      <c r="K618" s="121">
        <f t="shared" si="54"/>
        <v>80000</v>
      </c>
    </row>
    <row r="619" spans="2:11">
      <c r="B619" s="1"/>
      <c r="C619" s="2"/>
      <c r="D619" s="2"/>
      <c r="E619" s="2"/>
      <c r="F619" s="2"/>
      <c r="G619" s="2"/>
      <c r="H619" s="2"/>
      <c r="I619" s="2"/>
      <c r="J619" s="2"/>
      <c r="K619" s="2"/>
    </row>
    <row r="620" spans="2:11" ht="15" customHeight="1">
      <c r="B620" s="124" t="s">
        <v>457</v>
      </c>
      <c r="C620" s="2"/>
      <c r="D620" s="2"/>
      <c r="E620" s="2"/>
      <c r="F620" s="2"/>
      <c r="G620" s="2"/>
      <c r="H620" s="2"/>
      <c r="I620" s="2"/>
      <c r="J620" s="2"/>
      <c r="K620" s="2"/>
    </row>
    <row r="621" spans="2:11" ht="20.100000000000001" customHeight="1">
      <c r="B621" s="325" t="s">
        <v>651</v>
      </c>
      <c r="C621" s="2">
        <f>SUM('Budget Detail FY 2017-24'!L980:L984)</f>
        <v>32016</v>
      </c>
      <c r="D621" s="2">
        <f>SUM('Budget Detail FY 2017-24'!M980:M984)</f>
        <v>80349</v>
      </c>
      <c r="E621" s="2">
        <f>SUM('Budget Detail FY 2017-24'!N980:N984)</f>
        <v>72533</v>
      </c>
      <c r="F621" s="2">
        <f>SUM('Budget Detail FY 2017-24'!O980:O984)</f>
        <v>57533</v>
      </c>
      <c r="G621" s="2">
        <f>SUM('Budget Detail FY 2017-24'!P980:P984)</f>
        <v>93246</v>
      </c>
      <c r="H621" s="2">
        <f>SUM('Budget Detail FY 2017-24'!Q980:Q984)</f>
        <v>69213</v>
      </c>
      <c r="I621" s="2">
        <f>SUM('Budget Detail FY 2017-24'!R980:R984)</f>
        <v>70209</v>
      </c>
      <c r="J621" s="2">
        <f>SUM('Budget Detail FY 2017-24'!S980:S984)</f>
        <v>71235</v>
      </c>
      <c r="K621" s="2">
        <f>SUM('Budget Detail FY 2017-24'!T980:T984)</f>
        <v>72292</v>
      </c>
    </row>
    <row r="622" spans="2:11" ht="20.100000000000001" customHeight="1">
      <c r="B622" s="325" t="s">
        <v>653</v>
      </c>
      <c r="C622" s="2">
        <f>SUM('Budget Detail FY 2017-24'!L985:L990)</f>
        <v>192894</v>
      </c>
      <c r="D622" s="2">
        <f>SUM('Budget Detail FY 2017-24'!M985:M990)</f>
        <v>1574697</v>
      </c>
      <c r="E622" s="2">
        <f>SUM('Budget Detail FY 2017-24'!N985:N990)</f>
        <v>216663</v>
      </c>
      <c r="F622" s="2">
        <f>SUM('Budget Detail FY 2017-24'!O985:O990)</f>
        <v>87482</v>
      </c>
      <c r="G622" s="2">
        <f>SUM('Budget Detail FY 2017-24'!P985:P990)</f>
        <v>114988</v>
      </c>
      <c r="H622" s="2">
        <f>SUM('Budget Detail FY 2017-24'!Q985:Q990)</f>
        <v>17488</v>
      </c>
      <c r="I622" s="2">
        <f>SUM('Budget Detail FY 2017-24'!R985:R990)</f>
        <v>17488</v>
      </c>
      <c r="J622" s="2">
        <f>SUM('Budget Detail FY 2017-24'!S985:S990)</f>
        <v>13120</v>
      </c>
      <c r="K622" s="2">
        <f>SUM('Budget Detail FY 2017-24'!T985:T990)</f>
        <v>10000</v>
      </c>
    </row>
    <row r="623" spans="2:11" ht="20.100000000000001" customHeight="1">
      <c r="B623" s="325" t="s">
        <v>593</v>
      </c>
      <c r="C623" s="2">
        <f>'Budget Detail FY 2017-24'!L992+'Budget Detail FY 2017-24'!L993</f>
        <v>0</v>
      </c>
      <c r="D623" s="2">
        <f>'Budget Detail FY 2017-24'!M992+'Budget Detail FY 2017-24'!M993</f>
        <v>0</v>
      </c>
      <c r="E623" s="2">
        <f>'Budget Detail FY 2017-24'!N992+'Budget Detail FY 2017-24'!N993</f>
        <v>225800</v>
      </c>
      <c r="F623" s="2">
        <f>'Budget Detail FY 2017-24'!O992+'Budget Detail FY 2017-24'!O993</f>
        <v>225800</v>
      </c>
      <c r="G623" s="2">
        <f>'Budget Detail FY 2017-24'!P992+'Budget Detail FY 2017-24'!P993</f>
        <v>218250</v>
      </c>
      <c r="H623" s="2">
        <f>'Budget Detail FY 2017-24'!Q992+'Budget Detail FY 2017-24'!Q993</f>
        <v>212200</v>
      </c>
      <c r="I623" s="2">
        <f>'Budget Detail FY 2017-24'!R992+'Budget Detail FY 2017-24'!R993</f>
        <v>206084</v>
      </c>
      <c r="J623" s="2">
        <f>'Budget Detail FY 2017-24'!S992+'Budget Detail FY 2017-24'!S993</f>
        <v>0</v>
      </c>
      <c r="K623" s="2">
        <f>'Budget Detail FY 2017-24'!T992+'Budget Detail FY 2017-24'!T993</f>
        <v>0</v>
      </c>
    </row>
    <row r="624" spans="2:11" ht="20.100000000000001" customHeight="1" thickBot="1">
      <c r="B624" s="123" t="s">
        <v>655</v>
      </c>
      <c r="C624" s="121">
        <f t="shared" ref="C624:K624" si="55">SUM(C621:C623)</f>
        <v>224910</v>
      </c>
      <c r="D624" s="121">
        <f t="shared" si="55"/>
        <v>1655046</v>
      </c>
      <c r="E624" s="121">
        <f t="shared" si="55"/>
        <v>514996</v>
      </c>
      <c r="F624" s="121">
        <f t="shared" si="55"/>
        <v>370815</v>
      </c>
      <c r="G624" s="121">
        <f t="shared" si="55"/>
        <v>426484</v>
      </c>
      <c r="H624" s="121">
        <f t="shared" si="55"/>
        <v>298901</v>
      </c>
      <c r="I624" s="121">
        <f t="shared" si="55"/>
        <v>293781</v>
      </c>
      <c r="J624" s="121">
        <f t="shared" si="55"/>
        <v>84355</v>
      </c>
      <c r="K624" s="121">
        <f t="shared" si="55"/>
        <v>82292</v>
      </c>
    </row>
    <row r="625" spans="2:11">
      <c r="B625" s="126"/>
      <c r="C625" s="3"/>
      <c r="D625" s="2"/>
      <c r="E625" s="2"/>
      <c r="F625" s="2"/>
      <c r="G625" s="2"/>
      <c r="H625" s="2"/>
      <c r="I625" s="2"/>
      <c r="J625" s="2"/>
      <c r="K625" s="2"/>
    </row>
    <row r="626" spans="2:11" ht="20.100000000000001" customHeight="1">
      <c r="B626" s="327" t="s">
        <v>656</v>
      </c>
      <c r="C626" s="3">
        <f t="shared" ref="C626:K626" si="56">+C618-C624</f>
        <v>-156147</v>
      </c>
      <c r="D626" s="3">
        <f t="shared" si="56"/>
        <v>-778860</v>
      </c>
      <c r="E626" s="3">
        <f t="shared" si="56"/>
        <v>-434996</v>
      </c>
      <c r="F626" s="3">
        <f t="shared" si="56"/>
        <v>-292398</v>
      </c>
      <c r="G626" s="3">
        <f t="shared" si="56"/>
        <v>-346484</v>
      </c>
      <c r="H626" s="3">
        <f t="shared" si="56"/>
        <v>-218901</v>
      </c>
      <c r="I626" s="3">
        <f t="shared" si="56"/>
        <v>-213781</v>
      </c>
      <c r="J626" s="3">
        <f t="shared" si="56"/>
        <v>-4355</v>
      </c>
      <c r="K626" s="3">
        <f t="shared" si="56"/>
        <v>-2292</v>
      </c>
    </row>
    <row r="627" spans="2:11">
      <c r="B627" s="127"/>
      <c r="C627" s="3"/>
      <c r="D627" s="2"/>
      <c r="E627" s="2"/>
      <c r="F627" s="2"/>
      <c r="G627" s="2"/>
      <c r="H627" s="2"/>
      <c r="I627" s="2"/>
      <c r="J627" s="2"/>
      <c r="K627" s="2"/>
    </row>
    <row r="628" spans="2:11" ht="20.100000000000001" customHeight="1" thickBot="1">
      <c r="B628" s="122" t="s">
        <v>657</v>
      </c>
      <c r="C628" s="79">
        <v>97556</v>
      </c>
      <c r="D628" s="79">
        <v>-681305</v>
      </c>
      <c r="E628" s="79">
        <v>-1194280</v>
      </c>
      <c r="F628" s="79">
        <f>D628+F626</f>
        <v>-973703</v>
      </c>
      <c r="G628" s="79">
        <f>F628+G626</f>
        <v>-1320187</v>
      </c>
      <c r="H628" s="79">
        <f>G628+H626</f>
        <v>-1539088</v>
      </c>
      <c r="I628" s="79">
        <f>H628+I626</f>
        <v>-1752869</v>
      </c>
      <c r="J628" s="79">
        <f>I628+J626</f>
        <v>-1757224</v>
      </c>
      <c r="K628" s="79">
        <f>J628+K626</f>
        <v>-1759516</v>
      </c>
    </row>
    <row r="629" spans="2:11" ht="14.4" thickTop="1">
      <c r="B629" s="128"/>
      <c r="C629" s="3"/>
      <c r="D629" s="3"/>
      <c r="E629" s="3"/>
      <c r="F629" s="2"/>
      <c r="G629" s="2"/>
      <c r="H629" s="2"/>
      <c r="I629" s="2"/>
      <c r="J629" s="2"/>
      <c r="K629" s="2"/>
    </row>
    <row r="630" spans="2:11">
      <c r="B630" s="128"/>
      <c r="C630" s="3"/>
      <c r="D630" s="3"/>
      <c r="E630" s="3"/>
      <c r="F630" s="2"/>
      <c r="G630" s="2"/>
      <c r="H630" s="2"/>
      <c r="I630" s="2"/>
      <c r="J630" s="2"/>
      <c r="K630" s="2"/>
    </row>
    <row r="631" spans="2:11">
      <c r="B631" s="128"/>
      <c r="C631" s="2"/>
      <c r="D631" s="2"/>
      <c r="E631" s="2"/>
      <c r="F631" s="2"/>
      <c r="G631" s="2"/>
      <c r="H631" s="2"/>
      <c r="I631" s="2"/>
      <c r="J631" s="2"/>
      <c r="K631" s="2"/>
    </row>
    <row r="632" spans="2:11">
      <c r="B632" s="1"/>
      <c r="C632" s="2"/>
      <c r="D632" s="2"/>
      <c r="E632" s="2"/>
      <c r="F632" s="2"/>
      <c r="G632" s="2"/>
      <c r="H632" s="2"/>
      <c r="I632" s="2"/>
      <c r="J632" s="2"/>
      <c r="K632" s="2"/>
    </row>
    <row r="633" spans="2:11">
      <c r="B633" s="1"/>
      <c r="C633" s="2"/>
      <c r="D633" s="2"/>
      <c r="E633" s="2"/>
      <c r="F633" s="2"/>
      <c r="G633" s="2"/>
      <c r="H633" s="2"/>
      <c r="I633" s="2"/>
      <c r="J633" s="2"/>
      <c r="K633" s="2"/>
    </row>
    <row r="634" spans="2:11">
      <c r="B634" s="1"/>
      <c r="C634" s="2"/>
      <c r="D634" s="2"/>
      <c r="E634" s="2"/>
      <c r="F634" s="2"/>
      <c r="G634" s="2"/>
      <c r="H634" s="2"/>
      <c r="I634" s="2"/>
      <c r="J634" s="2"/>
      <c r="K634" s="2"/>
    </row>
    <row r="635" spans="2:11">
      <c r="B635" s="1"/>
      <c r="C635" s="2"/>
      <c r="D635" s="2"/>
      <c r="E635" s="2"/>
      <c r="F635" s="2"/>
      <c r="G635" s="2"/>
      <c r="H635" s="2"/>
      <c r="I635" s="2"/>
      <c r="J635" s="2"/>
      <c r="K635" s="2"/>
    </row>
    <row r="636" spans="2:11">
      <c r="B636" s="1"/>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476" t="s">
        <v>1225</v>
      </c>
      <c r="C644" s="476"/>
      <c r="D644" s="476"/>
      <c r="E644" s="476"/>
      <c r="F644" s="476"/>
      <c r="G644" s="476"/>
      <c r="H644" s="476"/>
      <c r="I644" s="476"/>
      <c r="J644" s="476"/>
      <c r="K644" s="476"/>
    </row>
    <row r="645" spans="2:11">
      <c r="B645" s="63"/>
      <c r="C645" s="3"/>
      <c r="D645" s="2"/>
      <c r="E645" s="2"/>
      <c r="F645" s="2"/>
      <c r="G645" s="2"/>
      <c r="H645" s="2"/>
      <c r="I645" s="2"/>
      <c r="J645" s="2"/>
      <c r="K645" s="2"/>
    </row>
    <row r="646" spans="2:11" ht="15" customHeight="1">
      <c r="B646" s="470" t="s">
        <v>1372</v>
      </c>
      <c r="C646" s="470"/>
      <c r="D646" s="470"/>
      <c r="E646" s="470"/>
      <c r="F646" s="470"/>
      <c r="G646" s="470"/>
      <c r="H646" s="470"/>
      <c r="I646" s="470"/>
      <c r="J646" s="470"/>
      <c r="K646" s="470"/>
    </row>
    <row r="647" spans="2:11">
      <c r="B647" s="332"/>
      <c r="C647" s="21"/>
      <c r="D647" s="21"/>
      <c r="E647" s="21"/>
      <c r="F647" s="21"/>
      <c r="G647" s="21"/>
      <c r="H647" s="21"/>
      <c r="I647" s="2"/>
      <c r="J647" s="2"/>
      <c r="K647" s="2"/>
    </row>
    <row r="648" spans="2:11">
      <c r="B648" s="5"/>
      <c r="C648" s="64"/>
      <c r="D648" s="1"/>
      <c r="E648" s="64" t="s">
        <v>864</v>
      </c>
      <c r="F648" s="1"/>
      <c r="G648" s="1"/>
      <c r="H648" s="1"/>
      <c r="I648" s="1"/>
      <c r="J648" s="1"/>
      <c r="K648" s="1"/>
    </row>
    <row r="649" spans="2:11">
      <c r="B649" s="64"/>
      <c r="C649" s="63" t="s">
        <v>234</v>
      </c>
      <c r="D649" s="64" t="s">
        <v>790</v>
      </c>
      <c r="E649" s="64" t="s">
        <v>637</v>
      </c>
      <c r="F649" s="64" t="s">
        <v>864</v>
      </c>
      <c r="G649" s="64" t="s">
        <v>895</v>
      </c>
      <c r="H649" s="64" t="s">
        <v>896</v>
      </c>
      <c r="I649" s="64" t="s">
        <v>897</v>
      </c>
      <c r="J649" s="64" t="s">
        <v>898</v>
      </c>
      <c r="K649" s="64" t="s">
        <v>899</v>
      </c>
    </row>
    <row r="650" spans="2:11" ht="14.4" thickBot="1">
      <c r="B650" s="130"/>
      <c r="C650" s="66" t="s">
        <v>1</v>
      </c>
      <c r="D650" s="66" t="s">
        <v>1</v>
      </c>
      <c r="E650" s="66" t="s">
        <v>605</v>
      </c>
      <c r="F650" s="66" t="s">
        <v>19</v>
      </c>
      <c r="G650" s="66" t="str">
        <f>$M$1</f>
        <v>Adopted</v>
      </c>
      <c r="H650" s="66" t="s">
        <v>19</v>
      </c>
      <c r="I650" s="66" t="s">
        <v>19</v>
      </c>
      <c r="J650" s="66" t="s">
        <v>19</v>
      </c>
      <c r="K650" s="66" t="s">
        <v>19</v>
      </c>
    </row>
    <row r="651" spans="2:11">
      <c r="B651" s="62"/>
      <c r="C651" s="131"/>
      <c r="D651" s="2"/>
      <c r="E651" s="2"/>
      <c r="F651" s="2"/>
      <c r="G651" s="2"/>
      <c r="H651" s="2"/>
      <c r="I651" s="2"/>
      <c r="J651" s="2"/>
      <c r="K651" s="2"/>
    </row>
    <row r="652" spans="2:11">
      <c r="B652" s="124" t="s">
        <v>638</v>
      </c>
      <c r="C652" s="2"/>
      <c r="D652" s="2"/>
      <c r="E652" s="2"/>
      <c r="F652" s="2"/>
      <c r="G652" s="2"/>
      <c r="H652" s="2"/>
      <c r="I652" s="2"/>
      <c r="J652" s="2"/>
      <c r="K652" s="2"/>
    </row>
    <row r="653" spans="2:11" ht="20.100000000000001" customHeight="1">
      <c r="B653" s="323" t="s">
        <v>639</v>
      </c>
      <c r="C653" s="2">
        <f>'Budget Detail FY 2017-24'!L1003</f>
        <v>0</v>
      </c>
      <c r="D653" s="2">
        <f>'Budget Detail FY 2017-24'!M1003</f>
        <v>0</v>
      </c>
      <c r="E653" s="2">
        <f>'Budget Detail FY 2017-24'!N1003</f>
        <v>0</v>
      </c>
      <c r="F653" s="2">
        <f>'Budget Detail FY 2017-24'!O1003</f>
        <v>0</v>
      </c>
      <c r="G653" s="2">
        <f>'Budget Detail FY 2017-24'!P1003</f>
        <v>0</v>
      </c>
      <c r="H653" s="2">
        <f>'Budget Detail FY 2017-24'!Q1003</f>
        <v>0</v>
      </c>
      <c r="I653" s="2">
        <f>'Budget Detail FY 2017-24'!R1003</f>
        <v>0</v>
      </c>
      <c r="J653" s="2">
        <f>'Budget Detail FY 2017-24'!S1003</f>
        <v>0</v>
      </c>
      <c r="K653" s="2">
        <f>'Budget Detail FY 2017-24'!T1003</f>
        <v>0</v>
      </c>
    </row>
    <row r="654" spans="2:11" ht="20.100000000000001" customHeight="1">
      <c r="B654" s="324" t="s">
        <v>644</v>
      </c>
      <c r="C654" s="2">
        <f>'Budget Detail FY 2017-24'!L1004</f>
        <v>0</v>
      </c>
      <c r="D654" s="2">
        <f>'Budget Detail FY 2017-24'!M1004</f>
        <v>0</v>
      </c>
      <c r="E654" s="2">
        <f>'Budget Detail FY 2017-24'!N1004</f>
        <v>0</v>
      </c>
      <c r="F654" s="2">
        <f>'Budget Detail FY 2017-24'!O1004</f>
        <v>0</v>
      </c>
      <c r="G654" s="2">
        <f>'Budget Detail FY 2017-24'!P1004</f>
        <v>0</v>
      </c>
      <c r="H654" s="2">
        <f>'Budget Detail FY 2017-24'!Q1004</f>
        <v>0</v>
      </c>
      <c r="I654" s="2">
        <f>'Budget Detail FY 2017-24'!R1004</f>
        <v>0</v>
      </c>
      <c r="J654" s="2">
        <f>'Budget Detail FY 2017-24'!S1004</f>
        <v>0</v>
      </c>
      <c r="K654" s="2">
        <f>'Budget Detail FY 2017-24'!T1004</f>
        <v>0</v>
      </c>
    </row>
    <row r="655" spans="2:11" ht="14.4" thickBot="1">
      <c r="B655" s="123" t="s">
        <v>648</v>
      </c>
      <c r="C655" s="121">
        <f t="shared" ref="C655:K655" si="57">SUM(C653:C654)</f>
        <v>0</v>
      </c>
      <c r="D655" s="121">
        <f t="shared" si="57"/>
        <v>0</v>
      </c>
      <c r="E655" s="121">
        <f t="shared" si="57"/>
        <v>0</v>
      </c>
      <c r="F655" s="121">
        <f t="shared" si="57"/>
        <v>0</v>
      </c>
      <c r="G655" s="121">
        <f t="shared" si="57"/>
        <v>0</v>
      </c>
      <c r="H655" s="121">
        <f t="shared" si="57"/>
        <v>0</v>
      </c>
      <c r="I655" s="121">
        <f t="shared" si="57"/>
        <v>0</v>
      </c>
      <c r="J655" s="121">
        <f t="shared" si="57"/>
        <v>0</v>
      </c>
      <c r="K655" s="121">
        <f t="shared" si="57"/>
        <v>0</v>
      </c>
    </row>
    <row r="656" spans="2:11">
      <c r="B656" s="1"/>
      <c r="C656" s="2"/>
      <c r="D656" s="2"/>
      <c r="E656" s="2"/>
      <c r="F656" s="2"/>
      <c r="G656" s="2"/>
      <c r="H656" s="2"/>
      <c r="I656" s="2"/>
      <c r="J656" s="2"/>
      <c r="K656" s="2"/>
    </row>
    <row r="657" spans="2:11">
      <c r="B657" s="124" t="s">
        <v>457</v>
      </c>
      <c r="C657" s="2"/>
      <c r="D657" s="2"/>
      <c r="E657" s="2"/>
      <c r="F657" s="2"/>
      <c r="G657" s="2"/>
      <c r="H657" s="2"/>
      <c r="I657" s="2"/>
      <c r="J657" s="2"/>
      <c r="K657" s="2"/>
    </row>
    <row r="658" spans="2:11" ht="20.100000000000001" customHeight="1">
      <c r="B658" s="325" t="s">
        <v>651</v>
      </c>
      <c r="C658" s="2">
        <f>'Budget Detail FY 2017-24'!L1008+'Budget Detail FY 2017-24'!L1009+'Budget Detail FY 2017-24'!L1010+'Budget Detail FY 2017-24'!L1011</f>
        <v>0</v>
      </c>
      <c r="D658" s="2">
        <f>'Budget Detail FY 2017-24'!M1008+'Budget Detail FY 2017-24'!M1009+'Budget Detail FY 2017-24'!M1010+'Budget Detail FY 2017-24'!M1011</f>
        <v>0</v>
      </c>
      <c r="E658" s="2">
        <f>'Budget Detail FY 2017-24'!N1008+'Budget Detail FY 2017-24'!N1009+'Budget Detail FY 2017-24'!N1010+'Budget Detail FY 2017-24'!N1011</f>
        <v>10000</v>
      </c>
      <c r="F658" s="2">
        <f>'Budget Detail FY 2017-24'!O1008+'Budget Detail FY 2017-24'!O1009+'Budget Detail FY 2017-24'!O1010+'Budget Detail FY 2017-24'!O1011</f>
        <v>10000</v>
      </c>
      <c r="G658" s="2">
        <f>'Budget Detail FY 2017-24'!P1008+'Budget Detail FY 2017-24'!P1009+'Budget Detail FY 2017-24'!P1010+'Budget Detail FY 2017-24'!P1011</f>
        <v>35000</v>
      </c>
      <c r="H658" s="2">
        <f>'Budget Detail FY 2017-24'!Q1008+'Budget Detail FY 2017-24'!Q1009+'Budget Detail FY 2017-24'!Q1010+'Budget Detail FY 2017-24'!Q1011</f>
        <v>10000</v>
      </c>
      <c r="I658" s="2">
        <f>'Budget Detail FY 2017-24'!R1008+'Budget Detail FY 2017-24'!R1009+'Budget Detail FY 2017-24'!R1010+'Budget Detail FY 2017-24'!R1011</f>
        <v>10000</v>
      </c>
      <c r="J658" s="2">
        <f>'Budget Detail FY 2017-24'!S1008+'Budget Detail FY 2017-24'!S1009+'Budget Detail FY 2017-24'!S1010+'Budget Detail FY 2017-24'!S1011</f>
        <v>10000</v>
      </c>
      <c r="K658" s="2">
        <f>'Budget Detail FY 2017-24'!T1008+'Budget Detail FY 2017-24'!T1009+'Budget Detail FY 2017-24'!T1010+'Budget Detail FY 2017-24'!T1011</f>
        <v>10000</v>
      </c>
    </row>
    <row r="659" spans="2:11" ht="20.100000000000001" customHeight="1">
      <c r="B659" s="325" t="s">
        <v>653</v>
      </c>
      <c r="C659" s="2">
        <f>'Budget Detail FY 2017-24'!L1012</f>
        <v>0</v>
      </c>
      <c r="D659" s="2">
        <f>'Budget Detail FY 2017-24'!M1012</f>
        <v>0</v>
      </c>
      <c r="E659" s="2">
        <f>'Budget Detail FY 2017-24'!N1012</f>
        <v>0</v>
      </c>
      <c r="F659" s="2">
        <f>'Budget Detail FY 2017-24'!O1012</f>
        <v>0</v>
      </c>
      <c r="G659" s="2">
        <f>'Budget Detail FY 2017-24'!P1012</f>
        <v>0</v>
      </c>
      <c r="H659" s="2">
        <f>'Budget Detail FY 2017-24'!Q1012</f>
        <v>0</v>
      </c>
      <c r="I659" s="2">
        <f>'Budget Detail FY 2017-24'!R1012</f>
        <v>0</v>
      </c>
      <c r="J659" s="2">
        <f>'Budget Detail FY 2017-24'!S1012</f>
        <v>0</v>
      </c>
      <c r="K659" s="2">
        <f>'Budget Detail FY 2017-24'!T1012</f>
        <v>0</v>
      </c>
    </row>
    <row r="660" spans="2:11" ht="14.4" thickBot="1">
      <c r="B660" s="123" t="s">
        <v>655</v>
      </c>
      <c r="C660" s="121">
        <f t="shared" ref="C660:K660" si="58">SUM(C658:C659)</f>
        <v>0</v>
      </c>
      <c r="D660" s="121">
        <f t="shared" si="58"/>
        <v>0</v>
      </c>
      <c r="E660" s="121">
        <f t="shared" si="58"/>
        <v>10000</v>
      </c>
      <c r="F660" s="121">
        <f t="shared" si="58"/>
        <v>10000</v>
      </c>
      <c r="G660" s="121">
        <f t="shared" si="58"/>
        <v>35000</v>
      </c>
      <c r="H660" s="121">
        <f t="shared" si="58"/>
        <v>10000</v>
      </c>
      <c r="I660" s="121">
        <f t="shared" si="58"/>
        <v>10000</v>
      </c>
      <c r="J660" s="121">
        <f t="shared" si="58"/>
        <v>10000</v>
      </c>
      <c r="K660" s="121">
        <f t="shared" si="58"/>
        <v>10000</v>
      </c>
    </row>
    <row r="661" spans="2:11">
      <c r="B661" s="126"/>
      <c r="C661" s="3"/>
      <c r="D661" s="2"/>
      <c r="E661" s="2"/>
      <c r="F661" s="2"/>
      <c r="G661" s="2"/>
      <c r="H661" s="2"/>
      <c r="I661" s="2"/>
      <c r="J661" s="2"/>
      <c r="K661" s="2"/>
    </row>
    <row r="662" spans="2:11" ht="20.100000000000001" customHeight="1">
      <c r="B662" s="327" t="s">
        <v>656</v>
      </c>
      <c r="C662" s="3">
        <f t="shared" ref="C662:K662" si="59">+C655-C660</f>
        <v>0</v>
      </c>
      <c r="D662" s="3">
        <f t="shared" si="59"/>
        <v>0</v>
      </c>
      <c r="E662" s="3">
        <f t="shared" si="59"/>
        <v>-10000</v>
      </c>
      <c r="F662" s="3">
        <f t="shared" si="59"/>
        <v>-10000</v>
      </c>
      <c r="G662" s="3">
        <f t="shared" si="59"/>
        <v>-35000</v>
      </c>
      <c r="H662" s="3">
        <f t="shared" si="59"/>
        <v>-10000</v>
      </c>
      <c r="I662" s="3">
        <f t="shared" si="59"/>
        <v>-10000</v>
      </c>
      <c r="J662" s="3">
        <f t="shared" si="59"/>
        <v>-10000</v>
      </c>
      <c r="K662" s="3">
        <f t="shared" si="59"/>
        <v>-10000</v>
      </c>
    </row>
    <row r="663" spans="2:11">
      <c r="B663" s="127"/>
      <c r="C663" s="3"/>
      <c r="D663" s="2"/>
      <c r="E663" s="2"/>
      <c r="F663" s="2"/>
      <c r="G663" s="2"/>
      <c r="H663" s="2"/>
      <c r="I663" s="2"/>
      <c r="J663" s="2"/>
      <c r="K663" s="2"/>
    </row>
    <row r="664" spans="2:11" ht="20.100000000000001" customHeight="1" thickBot="1">
      <c r="B664" s="122" t="s">
        <v>657</v>
      </c>
      <c r="C664" s="79">
        <v>0</v>
      </c>
      <c r="D664" s="79">
        <v>0</v>
      </c>
      <c r="E664" s="79">
        <v>-10000</v>
      </c>
      <c r="F664" s="79">
        <f>D664+F662</f>
        <v>-10000</v>
      </c>
      <c r="G664" s="79">
        <f>F664+G662</f>
        <v>-45000</v>
      </c>
      <c r="H664" s="79">
        <f>G664+H662</f>
        <v>-55000</v>
      </c>
      <c r="I664" s="79">
        <f>H664+I662</f>
        <v>-65000</v>
      </c>
      <c r="J664" s="79">
        <f>I664+J662</f>
        <v>-75000</v>
      </c>
      <c r="K664" s="79">
        <f>J664+K662</f>
        <v>-85000</v>
      </c>
    </row>
    <row r="665" spans="2:11" ht="14.4" thickTop="1">
      <c r="B665" s="128"/>
      <c r="C665" s="3"/>
      <c r="D665" s="3"/>
      <c r="E665" s="3"/>
      <c r="F665" s="2"/>
      <c r="G665" s="2"/>
      <c r="H665" s="2"/>
      <c r="I665" s="2"/>
      <c r="J665" s="2"/>
      <c r="K665" s="2"/>
    </row>
    <row r="666" spans="2:11">
      <c r="B666" s="128"/>
      <c r="C666" s="3"/>
      <c r="D666" s="3"/>
      <c r="E666" s="3"/>
      <c r="F666" s="2"/>
      <c r="G666" s="2"/>
      <c r="H666" s="2"/>
      <c r="I666" s="2"/>
      <c r="J666" s="2"/>
      <c r="K666" s="2"/>
    </row>
    <row r="667" spans="2:11">
      <c r="B667" s="128"/>
      <c r="C667" s="2"/>
      <c r="D667" s="2"/>
      <c r="E667" s="2"/>
      <c r="F667" s="2"/>
      <c r="G667" s="2"/>
      <c r="H667" s="2"/>
      <c r="I667" s="2"/>
      <c r="J667" s="2"/>
      <c r="K667" s="2"/>
    </row>
    <row r="668" spans="2:11">
      <c r="B668" s="1"/>
      <c r="C668" s="2"/>
      <c r="D668" s="2"/>
      <c r="E668" s="2"/>
      <c r="F668" s="2"/>
      <c r="G668" s="2"/>
      <c r="H668" s="2"/>
      <c r="I668" s="2"/>
      <c r="J668" s="2"/>
      <c r="K668" s="2"/>
    </row>
    <row r="669" spans="2:11">
      <c r="B669" s="1"/>
      <c r="C669" s="2"/>
      <c r="D669" s="2"/>
      <c r="E669" s="2"/>
      <c r="F669" s="2"/>
      <c r="G669" s="2"/>
      <c r="H669" s="2"/>
      <c r="I669" s="2"/>
      <c r="J669" s="2"/>
      <c r="K669" s="2"/>
    </row>
    <row r="670" spans="2:11">
      <c r="B670" s="1"/>
      <c r="C670" s="2"/>
      <c r="D670" s="2"/>
      <c r="E670" s="2"/>
      <c r="F670" s="2"/>
      <c r="G670" s="2"/>
      <c r="H670" s="2"/>
      <c r="I670" s="2"/>
      <c r="J670" s="2"/>
      <c r="K670" s="2"/>
    </row>
    <row r="671" spans="2:11">
      <c r="B671" s="1"/>
      <c r="C671" s="2"/>
      <c r="D671" s="2"/>
      <c r="E671" s="2"/>
      <c r="F671" s="2"/>
      <c r="G671" s="2"/>
      <c r="H671" s="2"/>
      <c r="I671" s="2"/>
      <c r="J671" s="2"/>
      <c r="K671" s="2"/>
    </row>
    <row r="672" spans="2:11">
      <c r="B672" s="1"/>
      <c r="C672" s="2"/>
      <c r="D672" s="2"/>
      <c r="E672" s="2"/>
      <c r="F672" s="2"/>
      <c r="G672" s="2"/>
      <c r="H672" s="2"/>
      <c r="I672" s="2"/>
      <c r="J672" s="2"/>
      <c r="K672" s="2"/>
    </row>
    <row r="673" spans="1:11">
      <c r="B673" s="1"/>
      <c r="C673" s="2"/>
      <c r="D673" s="2"/>
      <c r="E673" s="2"/>
      <c r="F673" s="2"/>
      <c r="G673" s="2"/>
      <c r="H673" s="2"/>
      <c r="I673" s="2"/>
      <c r="J673" s="2"/>
      <c r="K673" s="2"/>
    </row>
    <row r="674" spans="1:11">
      <c r="B674" s="1"/>
      <c r="C674" s="2"/>
      <c r="D674" s="2"/>
      <c r="E674" s="2"/>
      <c r="F674" s="2"/>
      <c r="G674" s="2"/>
      <c r="H674" s="2"/>
      <c r="I674" s="2"/>
      <c r="J674" s="2"/>
      <c r="K674" s="2"/>
    </row>
    <row r="675" spans="1:11">
      <c r="B675" s="1"/>
      <c r="C675" s="2"/>
      <c r="D675" s="2"/>
      <c r="E675" s="2"/>
      <c r="F675" s="2"/>
      <c r="G675" s="2"/>
      <c r="H675" s="2"/>
      <c r="I675" s="2"/>
      <c r="J675" s="2"/>
      <c r="K675" s="2"/>
    </row>
    <row r="676" spans="1:11">
      <c r="B676" s="1"/>
      <c r="C676" s="2"/>
      <c r="D676" s="2"/>
      <c r="E676" s="2"/>
      <c r="F676" s="2"/>
      <c r="G676" s="2"/>
      <c r="H676" s="2"/>
      <c r="I676" s="2"/>
      <c r="J676" s="2"/>
      <c r="K676" s="2"/>
    </row>
    <row r="677" spans="1:11">
      <c r="B677" s="1"/>
      <c r="C677" s="2"/>
      <c r="D677" s="2"/>
      <c r="E677" s="2"/>
      <c r="F677" s="2"/>
      <c r="G677" s="2"/>
      <c r="H677" s="2"/>
      <c r="I677" s="2"/>
      <c r="J677" s="2"/>
      <c r="K677" s="2"/>
    </row>
    <row r="678" spans="1:11">
      <c r="B678" s="1"/>
      <c r="C678" s="2"/>
      <c r="D678" s="2"/>
      <c r="E678" s="2"/>
      <c r="F678" s="2"/>
      <c r="G678" s="2"/>
      <c r="H678" s="2"/>
      <c r="I678" s="2"/>
      <c r="J678" s="2"/>
      <c r="K678" s="2"/>
    </row>
    <row r="679" spans="1:11">
      <c r="B679" s="1"/>
      <c r="C679" s="2"/>
      <c r="D679" s="2"/>
      <c r="E679" s="2"/>
      <c r="F679" s="2"/>
      <c r="G679" s="2"/>
      <c r="H679" s="2"/>
      <c r="I679" s="2"/>
      <c r="J679" s="2"/>
      <c r="K679" s="2"/>
    </row>
    <row r="680" spans="1:11">
      <c r="A680" s="1"/>
      <c r="B680" s="476" t="s">
        <v>890</v>
      </c>
      <c r="C680" s="476"/>
      <c r="D680" s="476"/>
      <c r="E680" s="476"/>
      <c r="F680" s="476"/>
      <c r="G680" s="476"/>
      <c r="H680" s="476"/>
      <c r="I680" s="476"/>
      <c r="J680" s="476"/>
      <c r="K680" s="476"/>
    </row>
    <row r="681" spans="1:11" ht="7.5" customHeight="1">
      <c r="A681" s="1"/>
      <c r="B681" s="63"/>
      <c r="C681" s="3"/>
      <c r="D681" s="2"/>
      <c r="E681" s="2"/>
      <c r="F681" s="2"/>
      <c r="G681" s="2"/>
      <c r="H681" s="2"/>
      <c r="I681" s="2"/>
      <c r="J681" s="2"/>
      <c r="K681" s="2"/>
    </row>
    <row r="682" spans="1:11" ht="15" customHeight="1">
      <c r="A682" s="1"/>
      <c r="B682" s="467" t="s">
        <v>1209</v>
      </c>
      <c r="C682" s="467"/>
      <c r="D682" s="467"/>
      <c r="E682" s="467"/>
      <c r="F682" s="467"/>
      <c r="G682" s="467"/>
      <c r="H682" s="467"/>
      <c r="I682" s="467"/>
      <c r="J682" s="467"/>
      <c r="K682" s="467"/>
    </row>
    <row r="683" spans="1:11">
      <c r="A683" s="1"/>
      <c r="B683" s="467"/>
      <c r="C683" s="467"/>
      <c r="D683" s="467"/>
      <c r="E683" s="467"/>
      <c r="F683" s="467"/>
      <c r="G683" s="467"/>
      <c r="H683" s="467"/>
      <c r="I683" s="467"/>
      <c r="J683" s="467"/>
      <c r="K683" s="467"/>
    </row>
    <row r="684" spans="1:11">
      <c r="A684" s="1"/>
      <c r="B684" s="467"/>
      <c r="C684" s="467"/>
      <c r="D684" s="467"/>
      <c r="E684" s="467"/>
      <c r="F684" s="467"/>
      <c r="G684" s="467"/>
      <c r="H684" s="467"/>
      <c r="I684" s="467"/>
      <c r="J684" s="467"/>
      <c r="K684" s="467"/>
    </row>
    <row r="685" spans="1:11">
      <c r="A685" s="1"/>
      <c r="B685" s="467"/>
      <c r="C685" s="467"/>
      <c r="D685" s="467"/>
      <c r="E685" s="467"/>
      <c r="F685" s="467"/>
      <c r="G685" s="467"/>
      <c r="H685" s="467"/>
      <c r="I685" s="467"/>
      <c r="J685" s="467"/>
      <c r="K685" s="467"/>
    </row>
    <row r="686" spans="1:11">
      <c r="A686" s="1"/>
      <c r="B686" s="5"/>
      <c r="C686" s="64"/>
      <c r="D686" s="1"/>
      <c r="E686" s="64" t="s">
        <v>864</v>
      </c>
      <c r="F686" s="1"/>
      <c r="G686" s="1"/>
      <c r="H686" s="1"/>
      <c r="I686" s="1"/>
      <c r="J686" s="1"/>
      <c r="K686" s="1"/>
    </row>
    <row r="687" spans="1:11">
      <c r="A687" s="1"/>
      <c r="B687" s="64"/>
      <c r="C687" s="63" t="s">
        <v>234</v>
      </c>
      <c r="D687" s="64" t="s">
        <v>790</v>
      </c>
      <c r="E687" s="64" t="s">
        <v>637</v>
      </c>
      <c r="F687" s="64" t="s">
        <v>864</v>
      </c>
      <c r="G687" s="64" t="s">
        <v>895</v>
      </c>
      <c r="H687" s="64" t="s">
        <v>896</v>
      </c>
      <c r="I687" s="64" t="s">
        <v>897</v>
      </c>
      <c r="J687" s="64" t="s">
        <v>898</v>
      </c>
      <c r="K687" s="64" t="s">
        <v>899</v>
      </c>
    </row>
    <row r="688" spans="1:11" ht="14.4" thickBot="1">
      <c r="A688" s="1"/>
      <c r="B688" s="130"/>
      <c r="C688" s="66" t="s">
        <v>1</v>
      </c>
      <c r="D688" s="66" t="s">
        <v>1</v>
      </c>
      <c r="E688" s="66" t="s">
        <v>605</v>
      </c>
      <c r="F688" s="66" t="s">
        <v>19</v>
      </c>
      <c r="G688" s="66" t="str">
        <f>$M$1</f>
        <v>Adopted</v>
      </c>
      <c r="H688" s="66" t="s">
        <v>19</v>
      </c>
      <c r="I688" s="66" t="s">
        <v>19</v>
      </c>
      <c r="J688" s="66" t="s">
        <v>19</v>
      </c>
      <c r="K688" s="66" t="s">
        <v>19</v>
      </c>
    </row>
    <row r="689" spans="1:13">
      <c r="A689" s="1"/>
      <c r="B689" s="62"/>
      <c r="C689" s="131"/>
      <c r="D689" s="2"/>
      <c r="E689" s="2"/>
      <c r="F689" s="2"/>
      <c r="G689" s="2"/>
      <c r="H689" s="2"/>
      <c r="I689" s="2"/>
      <c r="J689" s="2"/>
      <c r="K689" s="2"/>
    </row>
    <row r="690" spans="1:13">
      <c r="A690" s="1"/>
      <c r="B690" s="124" t="s">
        <v>638</v>
      </c>
      <c r="C690" s="2"/>
      <c r="D690" s="2"/>
      <c r="E690" s="2"/>
      <c r="F690" s="2"/>
      <c r="G690" s="2"/>
      <c r="H690" s="2"/>
      <c r="I690" s="2"/>
      <c r="J690" s="2"/>
      <c r="K690" s="2"/>
    </row>
    <row r="691" spans="1:13" ht="20.100000000000001" customHeight="1">
      <c r="A691" s="1"/>
      <c r="B691" s="323" t="s">
        <v>639</v>
      </c>
      <c r="C691" s="2">
        <f t="shared" ref="C691:K691" si="60">C11+C57+C93+C278+C580+C615</f>
        <v>11093920</v>
      </c>
      <c r="D691" s="2">
        <f t="shared" si="60"/>
        <v>11260019</v>
      </c>
      <c r="E691" s="2">
        <f t="shared" si="60"/>
        <v>11369492</v>
      </c>
      <c r="F691" s="2">
        <f t="shared" si="60"/>
        <v>11546963</v>
      </c>
      <c r="G691" s="2">
        <f t="shared" si="60"/>
        <v>11732554</v>
      </c>
      <c r="H691" s="2">
        <f t="shared" si="60"/>
        <v>11964911</v>
      </c>
      <c r="I691" s="2">
        <f t="shared" si="60"/>
        <v>12337709</v>
      </c>
      <c r="J691" s="2">
        <f t="shared" si="60"/>
        <v>12416478</v>
      </c>
      <c r="K691" s="2">
        <f t="shared" si="60"/>
        <v>12639237</v>
      </c>
      <c r="M691" s="323"/>
    </row>
    <row r="692" spans="1:13" ht="20.100000000000001" customHeight="1">
      <c r="A692" s="1"/>
      <c r="B692" s="323" t="s">
        <v>640</v>
      </c>
      <c r="C692" s="2">
        <f t="shared" ref="C692:K692" si="61">C12+C127+C165+C408</f>
        <v>3256276</v>
      </c>
      <c r="D692" s="2">
        <f t="shared" si="61"/>
        <v>2997973</v>
      </c>
      <c r="E692" s="2">
        <f t="shared" si="61"/>
        <v>3745778</v>
      </c>
      <c r="F692" s="2">
        <f t="shared" si="61"/>
        <v>3881434</v>
      </c>
      <c r="G692" s="2">
        <f t="shared" si="61"/>
        <v>3228316</v>
      </c>
      <c r="H692" s="2">
        <f t="shared" si="61"/>
        <v>3288384</v>
      </c>
      <c r="I692" s="2">
        <f t="shared" si="61"/>
        <v>3354654</v>
      </c>
      <c r="J692" s="2">
        <f t="shared" si="61"/>
        <v>3417150</v>
      </c>
      <c r="K692" s="2">
        <f t="shared" si="61"/>
        <v>3485894</v>
      </c>
      <c r="M692" s="323"/>
    </row>
    <row r="693" spans="1:13" ht="20.100000000000001" customHeight="1">
      <c r="A693" s="1"/>
      <c r="B693" s="324" t="s">
        <v>641</v>
      </c>
      <c r="C693" s="2">
        <f>C13+C166+C279+C314+C360+C409+C212-'Budget Detail FY 2017-24'!L473-'Budget Detail FY 2017-24'!L428</f>
        <v>926915</v>
      </c>
      <c r="D693" s="2">
        <f>D13+D166+D279+D314+D360+D409+D212-'Budget Detail FY 2017-24'!M473-'Budget Detail FY 2017-24'!M428</f>
        <v>1307703</v>
      </c>
      <c r="E693" s="2">
        <f>E13+E166+E279+E314+E360+E409+E212-'Budget Detail FY 2017-24'!N473-'Budget Detail FY 2017-24'!N428</f>
        <v>572500</v>
      </c>
      <c r="F693" s="2">
        <f>F13+F166+F279+F314+F360+F409+F212-'Budget Detail FY 2017-24'!O473-'Budget Detail FY 2017-24'!O428</f>
        <v>1134663</v>
      </c>
      <c r="G693" s="2">
        <f>G13+G166+G279+G314+G360+G409+G212-'Budget Detail FY 2017-24'!P473-'Budget Detail FY 2017-24'!P428</f>
        <v>674826</v>
      </c>
      <c r="H693" s="2">
        <f>H13+H166+H279+H314+H360+H409+H212-'Budget Detail FY 2017-24'!Q473-'Budget Detail FY 2017-24'!Q428</f>
        <v>649826</v>
      </c>
      <c r="I693" s="2">
        <f>I13+I166+I279+I314+I360+I409+I212-'Budget Detail FY 2017-24'!R473-'Budget Detail FY 2017-24'!R428</f>
        <v>649826</v>
      </c>
      <c r="J693" s="2">
        <f>J13+J166+J279+J314+J360+J409+J212-'Budget Detail FY 2017-24'!S473-'Budget Detail FY 2017-24'!S428</f>
        <v>649826</v>
      </c>
      <c r="K693" s="2">
        <f>K13+K166+K279+K314+K360+K409+K212-'Budget Detail FY 2017-24'!T473-'Budget Detail FY 2017-24'!T428</f>
        <v>645180</v>
      </c>
      <c r="M693" s="324"/>
    </row>
    <row r="694" spans="1:13" ht="20.100000000000001" customHeight="1">
      <c r="A694" s="1"/>
      <c r="B694" s="324" t="s">
        <v>642</v>
      </c>
      <c r="C694" s="2">
        <f>C14+'Budget Detail FY 2017-24'!L429+'Budget Detail FY 2017-24'!L430+'Budget Detail FY 2017-24'!L431</f>
        <v>146858</v>
      </c>
      <c r="D694" s="2">
        <f>D14+'Budget Detail FY 2017-24'!M429+'Budget Detail FY 2017-24'!M430+'Budget Detail FY 2017-24'!M431</f>
        <v>132347</v>
      </c>
      <c r="E694" s="2">
        <f>E14+'Budget Detail FY 2017-24'!N429+'Budget Detail FY 2017-24'!N430+'Budget Detail FY 2017-24'!N431</f>
        <v>137100</v>
      </c>
      <c r="F694" s="2">
        <f>F14+'Budget Detail FY 2017-24'!O429+'Budget Detail FY 2017-24'!O430+'Budget Detail FY 2017-24'!O431</f>
        <v>126300</v>
      </c>
      <c r="G694" s="2">
        <f>G14+'Budget Detail FY 2017-24'!P429+'Budget Detail FY 2017-24'!P430+'Budget Detail FY 2017-24'!P431</f>
        <v>134050</v>
      </c>
      <c r="H694" s="2">
        <f>H14+'Budget Detail FY 2017-24'!Q429+'Budget Detail FY 2017-24'!Q430+'Budget Detail FY 2017-24'!Q431</f>
        <v>134050</v>
      </c>
      <c r="I694" s="2">
        <f>I14+'Budget Detail FY 2017-24'!R429+'Budget Detail FY 2017-24'!R430+'Budget Detail FY 2017-24'!R431</f>
        <v>134050</v>
      </c>
      <c r="J694" s="2">
        <f>J14+'Budget Detail FY 2017-24'!S429+'Budget Detail FY 2017-24'!S430+'Budget Detail FY 2017-24'!S431</f>
        <v>134050</v>
      </c>
      <c r="K694" s="2">
        <f>K14+'Budget Detail FY 2017-24'!T429+'Budget Detail FY 2017-24'!T430+'Budget Detail FY 2017-24'!T431</f>
        <v>134050</v>
      </c>
      <c r="M694" s="324"/>
    </row>
    <row r="695" spans="1:13" ht="20.100000000000001" customHeight="1">
      <c r="A695" s="1"/>
      <c r="B695" s="324" t="s">
        <v>643</v>
      </c>
      <c r="C695" s="2">
        <f>C15+C167+C315+C361+'Budget Detail FY 2017-24'!L432+'Budget Detail FY 2017-24'!L434+'Budget Detail FY 2017-24'!L435</f>
        <v>7590425</v>
      </c>
      <c r="D695" s="2">
        <f>D15+D167+D315+D361+'Budget Detail FY 2017-24'!M432+'Budget Detail FY 2017-24'!M434+'Budget Detail FY 2017-24'!M435</f>
        <v>8456964</v>
      </c>
      <c r="E695" s="2">
        <f>E15+E167+E315+E361+'Budget Detail FY 2017-24'!N432+'Budget Detail FY 2017-24'!N434+'Budget Detail FY 2017-24'!N435</f>
        <v>8292497</v>
      </c>
      <c r="F695" s="2">
        <f>F15+F167+F315+F361+'Budget Detail FY 2017-24'!O432+'Budget Detail FY 2017-24'!O434+'Budget Detail FY 2017-24'!O435</f>
        <v>8560419</v>
      </c>
      <c r="G695" s="2">
        <f>G15+G167+G315+G361+'Budget Detail FY 2017-24'!P432+'Budget Detail FY 2017-24'!P434+'Budget Detail FY 2017-24'!P435</f>
        <v>8357543</v>
      </c>
      <c r="H695" s="2">
        <f>H15+H167+H315+H361+'Budget Detail FY 2017-24'!Q432+'Budget Detail FY 2017-24'!Q434+'Budget Detail FY 2017-24'!Q435</f>
        <v>8597169</v>
      </c>
      <c r="I695" s="2">
        <f>I15+I167+I315+I361+'Budget Detail FY 2017-24'!R432+'Budget Detail FY 2017-24'!R434+'Budget Detail FY 2017-24'!R435</f>
        <v>8855403</v>
      </c>
      <c r="J695" s="2">
        <f>J15+J167+J315+J361+'Budget Detail FY 2017-24'!S432+'Budget Detail FY 2017-24'!S434+'Budget Detail FY 2017-24'!S435</f>
        <v>9118544</v>
      </c>
      <c r="K695" s="2">
        <f>K15+K167+K315+K361+'Budget Detail FY 2017-24'!T432+'Budget Detail FY 2017-24'!T434+'Budget Detail FY 2017-24'!T435</f>
        <v>9407158</v>
      </c>
      <c r="M695" s="324"/>
    </row>
    <row r="696" spans="1:13" ht="20.100000000000001" customHeight="1">
      <c r="A696" s="1"/>
      <c r="B696" s="324" t="s">
        <v>644</v>
      </c>
      <c r="C696" s="2">
        <f t="shared" ref="C696:K696" si="62">C16+C58+C128+C168+C316+C362</f>
        <v>64084</v>
      </c>
      <c r="D696" s="2">
        <f t="shared" si="62"/>
        <v>114527</v>
      </c>
      <c r="E696" s="2">
        <f t="shared" si="62"/>
        <v>34250</v>
      </c>
      <c r="F696" s="2">
        <f t="shared" si="62"/>
        <v>161000</v>
      </c>
      <c r="G696" s="2">
        <f t="shared" si="62"/>
        <v>128320</v>
      </c>
      <c r="H696" s="2">
        <f t="shared" si="62"/>
        <v>111551</v>
      </c>
      <c r="I696" s="2">
        <f t="shared" si="62"/>
        <v>97784</v>
      </c>
      <c r="J696" s="2">
        <f t="shared" si="62"/>
        <v>87542</v>
      </c>
      <c r="K696" s="2">
        <f t="shared" si="62"/>
        <v>94372</v>
      </c>
      <c r="M696" s="324"/>
    </row>
    <row r="697" spans="1:13" ht="20.100000000000001" customHeight="1">
      <c r="A697" s="1"/>
      <c r="B697" s="324" t="s">
        <v>645</v>
      </c>
      <c r="C697" s="2">
        <f t="shared" ref="C697:K697" si="63">C17+C169+C317+C363+C411</f>
        <v>365501</v>
      </c>
      <c r="D697" s="2">
        <f t="shared" si="63"/>
        <v>465490</v>
      </c>
      <c r="E697" s="2">
        <f t="shared" si="63"/>
        <v>1164077</v>
      </c>
      <c r="F697" s="2">
        <f t="shared" si="63"/>
        <v>1367100</v>
      </c>
      <c r="G697" s="2">
        <f t="shared" si="63"/>
        <v>3088849</v>
      </c>
      <c r="H697" s="2">
        <f t="shared" si="63"/>
        <v>82549</v>
      </c>
      <c r="I697" s="2">
        <f t="shared" si="63"/>
        <v>75000</v>
      </c>
      <c r="J697" s="2">
        <f t="shared" si="63"/>
        <v>75000</v>
      </c>
      <c r="K697" s="2">
        <f t="shared" si="63"/>
        <v>246600</v>
      </c>
      <c r="M697" s="324"/>
    </row>
    <row r="698" spans="1:13" ht="20.100000000000001" customHeight="1">
      <c r="A698" s="1"/>
      <c r="B698" s="324" t="s">
        <v>674</v>
      </c>
      <c r="C698" s="2">
        <f t="shared" ref="C698:K698" si="64">C410</f>
        <v>47753</v>
      </c>
      <c r="D698" s="2">
        <f t="shared" si="64"/>
        <v>125491</v>
      </c>
      <c r="E698" s="2">
        <f t="shared" si="64"/>
        <v>11639</v>
      </c>
      <c r="F698" s="2">
        <f t="shared" si="64"/>
        <v>162779</v>
      </c>
      <c r="G698" s="2">
        <f t="shared" si="64"/>
        <v>58435</v>
      </c>
      <c r="H698" s="2">
        <f t="shared" si="64"/>
        <v>19579</v>
      </c>
      <c r="I698" s="2">
        <f t="shared" si="64"/>
        <v>0</v>
      </c>
      <c r="J698" s="2">
        <f t="shared" si="64"/>
        <v>0</v>
      </c>
      <c r="K698" s="2">
        <f t="shared" si="64"/>
        <v>28305</v>
      </c>
      <c r="M698" s="324"/>
    </row>
    <row r="699" spans="1:13" ht="20.100000000000001" customHeight="1">
      <c r="A699" s="1"/>
      <c r="B699" s="324" t="s">
        <v>646</v>
      </c>
      <c r="C699" s="2">
        <f>C18+C318+'Budget Detail FY 2017-24'!L440+'Budget Detail FY 2017-24'!L441+C616+C170+C412</f>
        <v>87704</v>
      </c>
      <c r="D699" s="2">
        <f>D18+D318+'Budget Detail FY 2017-24'!M440+'Budget Detail FY 2017-24'!M441+D616+D170+D412</f>
        <v>82439</v>
      </c>
      <c r="E699" s="2">
        <f>E18+E318+'Budget Detail FY 2017-24'!N440+'Budget Detail FY 2017-24'!N441+E616+E170+E412</f>
        <v>88241</v>
      </c>
      <c r="F699" s="2">
        <f>F18+F318+'Budget Detail FY 2017-24'!O440+'Budget Detail FY 2017-24'!O441+F616+F170+F412</f>
        <v>91503</v>
      </c>
      <c r="G699" s="2">
        <f>G18+G318+'Budget Detail FY 2017-24'!P440+'Budget Detail FY 2017-24'!P441+G616+G170+G412</f>
        <v>119999</v>
      </c>
      <c r="H699" s="2">
        <f>H18+H318+'Budget Detail FY 2017-24'!Q440+'Budget Detail FY 2017-24'!Q441+H616+H170+H412</f>
        <v>122393</v>
      </c>
      <c r="I699" s="2">
        <f>I18+I318+'Budget Detail FY 2017-24'!R440+'Budget Detail FY 2017-24'!R441+I616+I170+I412</f>
        <v>124847</v>
      </c>
      <c r="J699" s="2">
        <f>J18+J318+'Budget Detail FY 2017-24'!S440+'Budget Detail FY 2017-24'!S441+J616+J170+J412</f>
        <v>127362</v>
      </c>
      <c r="K699" s="2">
        <f>K18+K318+'Budget Detail FY 2017-24'!T440+'Budget Detail FY 2017-24'!T441+K616+K170+K412</f>
        <v>129940</v>
      </c>
      <c r="M699" s="324"/>
    </row>
    <row r="700" spans="1:13" ht="20.100000000000001" customHeight="1">
      <c r="A700" s="1"/>
      <c r="B700" s="324" t="s">
        <v>647</v>
      </c>
      <c r="C700" s="2">
        <f>C19+C171+C280+C319+C364+'Budget Detail FY 2017-24'!L443+'Budget Detail FY 2017-24'!L444+C129+C413+C617</f>
        <v>7852410</v>
      </c>
      <c r="D700" s="2">
        <f>D19+D171+D280+D319+D364+'Budget Detail FY 2017-24'!M443+'Budget Detail FY 2017-24'!M444+D129+D413+D617</f>
        <v>3499458</v>
      </c>
      <c r="E700" s="2">
        <f>E19+E171+E280+E319+E364+'Budget Detail FY 2017-24'!N443+'Budget Detail FY 2017-24'!N444+E129+E413+E617</f>
        <v>1905574</v>
      </c>
      <c r="F700" s="2">
        <f>F19+F171+F280+F319+F364+'Budget Detail FY 2017-24'!O443+'Budget Detail FY 2017-24'!O444+F129+F413+F617</f>
        <v>1919806</v>
      </c>
      <c r="G700" s="2">
        <f>G19+G171+G280+G319+G364+'Budget Detail FY 2017-24'!P443+'Budget Detail FY 2017-24'!P444+G129+G413+G617</f>
        <v>1120370</v>
      </c>
      <c r="H700" s="2">
        <f>H19+H171+H280+H319+H364+'Budget Detail FY 2017-24'!Q443+'Budget Detail FY 2017-24'!Q444+H129+H413+H617</f>
        <v>1227284</v>
      </c>
      <c r="I700" s="2">
        <f>I19+I171+I280+I319+I364+'Budget Detail FY 2017-24'!R443+'Budget Detail FY 2017-24'!R444+I129+I413+I617</f>
        <v>1546621</v>
      </c>
      <c r="J700" s="2">
        <f>J19+J171+J280+J319+J364+'Budget Detail FY 2017-24'!S443+'Budget Detail FY 2017-24'!S444+J129+J413+J617</f>
        <v>1686432</v>
      </c>
      <c r="K700" s="2">
        <f>K19+K171+K280+K319+K364+'Budget Detail FY 2017-24'!T443+'Budget Detail FY 2017-24'!T444+K129+K413+K617</f>
        <v>1360538</v>
      </c>
      <c r="M700" s="324"/>
    </row>
    <row r="701" spans="1:13" ht="20.100000000000001" customHeight="1" thickBot="1">
      <c r="A701" s="1"/>
      <c r="B701" s="123" t="s">
        <v>648</v>
      </c>
      <c r="C701" s="121">
        <f t="shared" ref="C701:K701" si="65">SUM(C691:C700)</f>
        <v>31431846</v>
      </c>
      <c r="D701" s="121">
        <f t="shared" si="65"/>
        <v>28442411</v>
      </c>
      <c r="E701" s="121">
        <f t="shared" si="65"/>
        <v>27321148</v>
      </c>
      <c r="F701" s="121">
        <f t="shared" si="65"/>
        <v>28951967</v>
      </c>
      <c r="G701" s="121">
        <f t="shared" si="65"/>
        <v>28643262</v>
      </c>
      <c r="H701" s="121">
        <f t="shared" si="65"/>
        <v>26197696</v>
      </c>
      <c r="I701" s="121">
        <f t="shared" si="65"/>
        <v>27175894</v>
      </c>
      <c r="J701" s="121">
        <f t="shared" si="65"/>
        <v>27712384</v>
      </c>
      <c r="K701" s="121">
        <f t="shared" si="65"/>
        <v>28171274</v>
      </c>
    </row>
    <row r="702" spans="1:13" ht="7.5" customHeight="1">
      <c r="A702" s="1"/>
      <c r="B702" s="1"/>
      <c r="C702" s="2"/>
      <c r="D702" s="2"/>
      <c r="E702" s="2"/>
      <c r="F702" s="2"/>
      <c r="G702" s="2"/>
      <c r="H702" s="2"/>
      <c r="I702" s="2"/>
      <c r="J702" s="2"/>
      <c r="K702" s="2"/>
    </row>
    <row r="703" spans="1:13">
      <c r="A703" s="1"/>
      <c r="B703" s="124" t="s">
        <v>457</v>
      </c>
      <c r="C703" s="2"/>
      <c r="D703" s="2"/>
      <c r="E703" s="2"/>
      <c r="F703" s="2"/>
      <c r="G703" s="2"/>
      <c r="H703" s="2"/>
      <c r="I703" s="2"/>
      <c r="J703" s="2"/>
      <c r="K703" s="2"/>
    </row>
    <row r="704" spans="1:13" ht="20.100000000000001" customHeight="1">
      <c r="A704" s="1"/>
      <c r="B704" s="325" t="s">
        <v>649</v>
      </c>
      <c r="C704" s="2">
        <f t="shared" ref="C704:K704" si="66">C23+C323+C368</f>
        <v>4816133</v>
      </c>
      <c r="D704" s="2">
        <f t="shared" si="66"/>
        <v>5159152</v>
      </c>
      <c r="E704" s="2">
        <f t="shared" si="66"/>
        <v>5577267</v>
      </c>
      <c r="F704" s="2">
        <f t="shared" si="66"/>
        <v>5378355</v>
      </c>
      <c r="G704" s="2">
        <f t="shared" si="66"/>
        <v>5997636</v>
      </c>
      <c r="H704" s="2">
        <f t="shared" si="66"/>
        <v>6303758</v>
      </c>
      <c r="I704" s="2">
        <f t="shared" si="66"/>
        <v>6546150</v>
      </c>
      <c r="J704" s="2">
        <f t="shared" si="66"/>
        <v>6797729</v>
      </c>
      <c r="K704" s="2">
        <f t="shared" si="66"/>
        <v>7058829</v>
      </c>
      <c r="M704" s="325"/>
    </row>
    <row r="705" spans="1:13" ht="20.100000000000001" customHeight="1">
      <c r="A705" s="1"/>
      <c r="B705" s="325" t="s">
        <v>650</v>
      </c>
      <c r="C705" s="2">
        <f t="shared" ref="C705:K705" si="67">C24+C324+C369</f>
        <v>2976086</v>
      </c>
      <c r="D705" s="2">
        <f t="shared" si="67"/>
        <v>3263393</v>
      </c>
      <c r="E705" s="2">
        <f t="shared" si="67"/>
        <v>3427605</v>
      </c>
      <c r="F705" s="2">
        <f t="shared" si="67"/>
        <v>3237950</v>
      </c>
      <c r="G705" s="2">
        <f t="shared" si="67"/>
        <v>3700741</v>
      </c>
      <c r="H705" s="2">
        <f t="shared" si="67"/>
        <v>3989196</v>
      </c>
      <c r="I705" s="2">
        <f t="shared" si="67"/>
        <v>4224532</v>
      </c>
      <c r="J705" s="2">
        <f t="shared" si="67"/>
        <v>4513175</v>
      </c>
      <c r="K705" s="2">
        <f t="shared" si="67"/>
        <v>4820331</v>
      </c>
      <c r="M705" s="325"/>
    </row>
    <row r="706" spans="1:13" ht="20.100000000000001" customHeight="1">
      <c r="A706" s="1"/>
      <c r="B706" s="325" t="s">
        <v>651</v>
      </c>
      <c r="C706" s="2">
        <f t="shared" ref="C706:K706" si="68">C25+C62+C97+C133+C175+C221+C231+C284+C325+C370+C417+C584+C621+C658</f>
        <v>6097547</v>
      </c>
      <c r="D706" s="2">
        <f t="shared" si="68"/>
        <v>6483365</v>
      </c>
      <c r="E706" s="2">
        <f t="shared" si="68"/>
        <v>7074956</v>
      </c>
      <c r="F706" s="2">
        <f t="shared" si="68"/>
        <v>6479150</v>
      </c>
      <c r="G706" s="2">
        <f t="shared" si="68"/>
        <v>7467146</v>
      </c>
      <c r="H706" s="2">
        <f t="shared" si="68"/>
        <v>6563784</v>
      </c>
      <c r="I706" s="2">
        <f t="shared" si="68"/>
        <v>6569646</v>
      </c>
      <c r="J706" s="2">
        <f t="shared" si="68"/>
        <v>6518707</v>
      </c>
      <c r="K706" s="2">
        <f t="shared" si="68"/>
        <v>6665314</v>
      </c>
      <c r="M706" s="325"/>
    </row>
    <row r="707" spans="1:13" ht="20.100000000000001" customHeight="1">
      <c r="A707" s="1"/>
      <c r="B707" s="325" t="s">
        <v>652</v>
      </c>
      <c r="C707" s="2">
        <f t="shared" ref="C707:K707" si="69">C26+C134+C176+C232+C326+C371</f>
        <v>708218</v>
      </c>
      <c r="D707" s="2">
        <f t="shared" si="69"/>
        <v>763900</v>
      </c>
      <c r="E707" s="2">
        <f t="shared" si="69"/>
        <v>886926</v>
      </c>
      <c r="F707" s="2">
        <f t="shared" si="69"/>
        <v>917166</v>
      </c>
      <c r="G707" s="2">
        <f t="shared" si="69"/>
        <v>1004929</v>
      </c>
      <c r="H707" s="2">
        <f t="shared" si="69"/>
        <v>975149</v>
      </c>
      <c r="I707" s="2">
        <f t="shared" si="69"/>
        <v>993755</v>
      </c>
      <c r="J707" s="2">
        <f t="shared" si="69"/>
        <v>1013291</v>
      </c>
      <c r="K707" s="2">
        <f t="shared" si="69"/>
        <v>1033805</v>
      </c>
      <c r="M707" s="325"/>
    </row>
    <row r="708" spans="1:13" ht="20.100000000000001" customHeight="1">
      <c r="A708" s="1"/>
      <c r="B708" s="325" t="s">
        <v>653</v>
      </c>
      <c r="C708" s="2">
        <f t="shared" ref="C708:K708" si="70">C135+C177+C222+C233+C327+C372+C418+C622+C585</f>
        <v>7572362</v>
      </c>
      <c r="D708" s="2">
        <f t="shared" si="70"/>
        <v>6928000</v>
      </c>
      <c r="E708" s="2">
        <f t="shared" si="70"/>
        <v>5780925</v>
      </c>
      <c r="F708" s="2">
        <f t="shared" si="70"/>
        <v>4306286</v>
      </c>
      <c r="G708" s="2">
        <f t="shared" si="70"/>
        <v>6646967</v>
      </c>
      <c r="H708" s="2">
        <f t="shared" si="70"/>
        <v>2706721</v>
      </c>
      <c r="I708" s="2">
        <f t="shared" si="70"/>
        <v>2627952</v>
      </c>
      <c r="J708" s="2">
        <f t="shared" si="70"/>
        <v>2688927</v>
      </c>
      <c r="K708" s="2">
        <f t="shared" si="70"/>
        <v>1812206</v>
      </c>
      <c r="M708" s="325"/>
    </row>
    <row r="709" spans="1:13" ht="20.100000000000001" customHeight="1">
      <c r="A709" s="1"/>
      <c r="B709" s="326" t="s">
        <v>1098</v>
      </c>
      <c r="C709" s="2">
        <f t="shared" ref="C709:K709" si="71">C373</f>
        <v>33872</v>
      </c>
      <c r="D709" s="2">
        <f t="shared" si="71"/>
        <v>34888</v>
      </c>
      <c r="E709" s="2">
        <f t="shared" si="71"/>
        <v>35938</v>
      </c>
      <c r="F709" s="2">
        <f t="shared" si="71"/>
        <v>35938</v>
      </c>
      <c r="G709" s="2">
        <f t="shared" si="71"/>
        <v>30721</v>
      </c>
      <c r="H709" s="2">
        <f t="shared" si="71"/>
        <v>0</v>
      </c>
      <c r="I709" s="2">
        <f t="shared" si="71"/>
        <v>0</v>
      </c>
      <c r="J709" s="2">
        <f t="shared" si="71"/>
        <v>0</v>
      </c>
      <c r="K709" s="2">
        <f t="shared" si="71"/>
        <v>0</v>
      </c>
      <c r="M709" s="326"/>
    </row>
    <row r="710" spans="1:13" ht="20.100000000000001" customHeight="1">
      <c r="A710" s="1"/>
      <c r="B710" s="326" t="s">
        <v>593</v>
      </c>
      <c r="C710" s="2">
        <f t="shared" ref="C710:K710" si="72">C178+C234+C285+C328+C374+C623</f>
        <v>4110569</v>
      </c>
      <c r="D710" s="2">
        <f t="shared" si="72"/>
        <v>4014513</v>
      </c>
      <c r="E710" s="2">
        <f t="shared" si="72"/>
        <v>4441530</v>
      </c>
      <c r="F710" s="2">
        <f t="shared" si="72"/>
        <v>4443493</v>
      </c>
      <c r="G710" s="2">
        <f t="shared" si="72"/>
        <v>4653319</v>
      </c>
      <c r="H710" s="2">
        <f t="shared" si="72"/>
        <v>4538544</v>
      </c>
      <c r="I710" s="2">
        <f t="shared" si="72"/>
        <v>4042455</v>
      </c>
      <c r="J710" s="2">
        <f t="shared" si="72"/>
        <v>3677594</v>
      </c>
      <c r="K710" s="2">
        <f t="shared" si="72"/>
        <v>2237540</v>
      </c>
      <c r="M710" s="326"/>
    </row>
    <row r="711" spans="1:13" ht="20.100000000000001" customHeight="1">
      <c r="A711" s="1"/>
      <c r="B711" s="326" t="s">
        <v>654</v>
      </c>
      <c r="C711" s="2">
        <f t="shared" ref="C711:K711" si="73">C27+C179+C375+C329</f>
        <v>8927076</v>
      </c>
      <c r="D711" s="2">
        <f t="shared" si="73"/>
        <v>4029313</v>
      </c>
      <c r="E711" s="2">
        <f t="shared" si="73"/>
        <v>3205452</v>
      </c>
      <c r="F711" s="2">
        <f t="shared" si="73"/>
        <v>3211922</v>
      </c>
      <c r="G711" s="2">
        <f t="shared" si="73"/>
        <v>2556361</v>
      </c>
      <c r="H711" s="2">
        <f t="shared" si="73"/>
        <v>2812443</v>
      </c>
      <c r="I711" s="2">
        <f t="shared" si="73"/>
        <v>3196689</v>
      </c>
      <c r="J711" s="2">
        <f t="shared" si="73"/>
        <v>3415325</v>
      </c>
      <c r="K711" s="2">
        <f t="shared" si="73"/>
        <v>3157087</v>
      </c>
      <c r="M711" s="326"/>
    </row>
    <row r="712" spans="1:13" ht="20.100000000000001" customHeight="1" thickBot="1">
      <c r="A712" s="1"/>
      <c r="B712" s="123" t="s">
        <v>655</v>
      </c>
      <c r="C712" s="121">
        <f t="shared" ref="C712:K712" si="74">SUM(C704:C711)</f>
        <v>35241863</v>
      </c>
      <c r="D712" s="121">
        <f t="shared" si="74"/>
        <v>30676524</v>
      </c>
      <c r="E712" s="121">
        <f t="shared" si="74"/>
        <v>30430599</v>
      </c>
      <c r="F712" s="121">
        <f t="shared" si="74"/>
        <v>28010260</v>
      </c>
      <c r="G712" s="121">
        <f t="shared" si="74"/>
        <v>32057820</v>
      </c>
      <c r="H712" s="121">
        <f t="shared" si="74"/>
        <v>27889595</v>
      </c>
      <c r="I712" s="121">
        <f t="shared" si="74"/>
        <v>28201179</v>
      </c>
      <c r="J712" s="121">
        <f t="shared" si="74"/>
        <v>28624748</v>
      </c>
      <c r="K712" s="121">
        <f t="shared" si="74"/>
        <v>26785112</v>
      </c>
    </row>
    <row r="713" spans="1:13" s="336" customFormat="1">
      <c r="A713" s="1"/>
      <c r="B713" s="126"/>
      <c r="C713" s="3"/>
      <c r="D713" s="2"/>
      <c r="E713" s="2"/>
      <c r="F713" s="2"/>
      <c r="G713" s="2"/>
      <c r="H713" s="2"/>
      <c r="I713" s="2"/>
      <c r="J713" s="2"/>
      <c r="K713" s="2"/>
    </row>
    <row r="714" spans="1:13" ht="15" customHeight="1">
      <c r="A714" s="1"/>
      <c r="B714" s="327" t="s">
        <v>656</v>
      </c>
      <c r="C714" s="3">
        <f t="shared" ref="C714:K714" si="75">C701-C712</f>
        <v>-3810017</v>
      </c>
      <c r="D714" s="3">
        <f t="shared" si="75"/>
        <v>-2234113</v>
      </c>
      <c r="E714" s="3">
        <f t="shared" si="75"/>
        <v>-3109451</v>
      </c>
      <c r="F714" s="3">
        <f t="shared" si="75"/>
        <v>941707</v>
      </c>
      <c r="G714" s="3">
        <f t="shared" si="75"/>
        <v>-3414558</v>
      </c>
      <c r="H714" s="3">
        <f t="shared" si="75"/>
        <v>-1691899</v>
      </c>
      <c r="I714" s="3">
        <f t="shared" si="75"/>
        <v>-1025285</v>
      </c>
      <c r="J714" s="3">
        <f t="shared" si="75"/>
        <v>-912364</v>
      </c>
      <c r="K714" s="3">
        <f t="shared" si="75"/>
        <v>1386162</v>
      </c>
    </row>
    <row r="715" spans="1:13" s="336" customFormat="1">
      <c r="A715" s="1"/>
      <c r="B715" s="127"/>
      <c r="C715" s="3"/>
      <c r="D715" s="2"/>
      <c r="E715" s="2"/>
      <c r="F715" s="2"/>
      <c r="G715" s="2"/>
      <c r="H715" s="2"/>
      <c r="I715" s="2"/>
      <c r="J715" s="2"/>
      <c r="K715" s="2"/>
    </row>
    <row r="716" spans="1:13" ht="15" customHeight="1" thickBot="1">
      <c r="A716" s="1"/>
      <c r="B716" s="122" t="s">
        <v>657</v>
      </c>
      <c r="C716" s="79">
        <v>12417105</v>
      </c>
      <c r="D716" s="79">
        <v>10182982</v>
      </c>
      <c r="E716" s="79">
        <v>6293309</v>
      </c>
      <c r="F716" s="79">
        <f>D716+F714</f>
        <v>11124689</v>
      </c>
      <c r="G716" s="79">
        <f>F716+G714</f>
        <v>7710131</v>
      </c>
      <c r="H716" s="79">
        <f>G716+H714</f>
        <v>6018232</v>
      </c>
      <c r="I716" s="79">
        <f>H716+I714</f>
        <v>4992947</v>
      </c>
      <c r="J716" s="79">
        <f>I716+J714</f>
        <v>4080583</v>
      </c>
      <c r="K716" s="79">
        <f>J716+K714</f>
        <v>5466745</v>
      </c>
    </row>
    <row r="717" spans="1:13" s="336" customFormat="1" ht="14.4" thickTop="1">
      <c r="A717" s="1"/>
      <c r="B717" s="128"/>
      <c r="C717" s="129">
        <f t="shared" ref="C717:K717" si="76">+C716/C712</f>
        <v>0.352339630853227</v>
      </c>
      <c r="D717" s="129">
        <f t="shared" si="76"/>
        <v>0.33194706153800213</v>
      </c>
      <c r="E717" s="129">
        <f t="shared" si="76"/>
        <v>0.20680858106013622</v>
      </c>
      <c r="F717" s="129">
        <f t="shared" si="76"/>
        <v>0.39716478890235218</v>
      </c>
      <c r="G717" s="129">
        <f t="shared" si="76"/>
        <v>0.24050702761447909</v>
      </c>
      <c r="H717" s="129">
        <f t="shared" si="76"/>
        <v>0.21578771581301198</v>
      </c>
      <c r="I717" s="129">
        <f t="shared" si="76"/>
        <v>0.17704745606557798</v>
      </c>
      <c r="J717" s="129">
        <f t="shared" si="76"/>
        <v>0.14255437288041803</v>
      </c>
      <c r="K717" s="129">
        <f t="shared" si="76"/>
        <v>0.20409640250897587</v>
      </c>
    </row>
    <row r="719" spans="1:13">
      <c r="A719" s="1"/>
      <c r="B719" s="128"/>
      <c r="C719" s="129"/>
      <c r="D719" s="129"/>
      <c r="E719" s="129"/>
      <c r="F719" s="129"/>
      <c r="G719" s="129"/>
      <c r="H719" s="129"/>
      <c r="I719" s="129"/>
      <c r="J719" s="129"/>
      <c r="K719" s="129"/>
    </row>
    <row r="720" spans="1:13" ht="7.5" customHeight="1">
      <c r="A720" s="1"/>
      <c r="B720" s="128"/>
      <c r="C720" s="2"/>
      <c r="D720" s="2"/>
      <c r="E720" s="2"/>
      <c r="F720" s="2"/>
      <c r="G720" s="2"/>
      <c r="H720" s="2"/>
      <c r="I720" s="2"/>
      <c r="J720" s="2"/>
      <c r="K720" s="2"/>
    </row>
    <row r="721" spans="1:11">
      <c r="A721" s="1"/>
      <c r="B721" s="1"/>
      <c r="C721" s="2"/>
      <c r="D721" s="2"/>
      <c r="E721" s="2"/>
      <c r="F721" s="2"/>
      <c r="G721" s="2"/>
      <c r="H721" s="2"/>
      <c r="I721" s="2"/>
      <c r="J721" s="2"/>
      <c r="K721" s="2"/>
    </row>
    <row r="722" spans="1:11">
      <c r="A722" s="1"/>
      <c r="B722" s="1"/>
      <c r="C722" s="2"/>
      <c r="D722" s="2"/>
      <c r="E722" s="2"/>
      <c r="F722" s="2"/>
      <c r="G722" s="2"/>
      <c r="H722" s="2"/>
      <c r="I722" s="2"/>
      <c r="J722" s="2"/>
      <c r="K722" s="2"/>
    </row>
    <row r="723" spans="1:11">
      <c r="A723" s="1"/>
      <c r="B723" s="1"/>
      <c r="C723" s="2"/>
      <c r="D723" s="2"/>
      <c r="E723" s="2"/>
      <c r="F723" s="2"/>
      <c r="G723" s="2"/>
      <c r="H723" s="2"/>
      <c r="I723" s="2"/>
      <c r="J723" s="2"/>
      <c r="K723" s="2"/>
    </row>
    <row r="724" spans="1:11">
      <c r="A724" s="1"/>
      <c r="B724" s="1"/>
      <c r="C724" s="2"/>
      <c r="D724" s="2"/>
      <c r="E724" s="2"/>
      <c r="F724" s="2"/>
      <c r="G724" s="2"/>
      <c r="H724" s="2"/>
      <c r="I724" s="2"/>
      <c r="J724" s="2"/>
      <c r="K724" s="2"/>
    </row>
    <row r="725" spans="1:11">
      <c r="A725" s="1"/>
      <c r="B725" s="1"/>
      <c r="C725" s="2"/>
      <c r="D725" s="2"/>
      <c r="E725" s="2"/>
      <c r="F725" s="2"/>
      <c r="G725" s="2"/>
      <c r="H725" s="2"/>
      <c r="I725" s="2"/>
      <c r="J725" s="2"/>
      <c r="K725" s="2"/>
    </row>
    <row r="726" spans="1:11">
      <c r="A726" s="1"/>
      <c r="B726" s="1"/>
      <c r="C726" s="2"/>
      <c r="D726" s="2"/>
      <c r="E726" s="2"/>
      <c r="F726" s="2"/>
      <c r="G726" s="2"/>
      <c r="H726" s="2"/>
      <c r="I726" s="2"/>
      <c r="J726" s="2"/>
      <c r="K726" s="2"/>
    </row>
    <row r="727" spans="1:11">
      <c r="A727" s="1"/>
      <c r="B727" s="1"/>
      <c r="C727" s="2"/>
      <c r="D727" s="2"/>
      <c r="E727" s="2"/>
      <c r="F727" s="2"/>
      <c r="G727" s="2"/>
      <c r="H727" s="2"/>
      <c r="I727" s="2"/>
      <c r="J727" s="2"/>
      <c r="K727" s="2"/>
    </row>
    <row r="728" spans="1:11">
      <c r="A728" s="1"/>
      <c r="B728" s="1"/>
      <c r="C728" s="2"/>
      <c r="D728" s="2"/>
      <c r="E728" s="2"/>
      <c r="F728" s="2"/>
      <c r="G728" s="2"/>
      <c r="H728" s="2"/>
      <c r="I728" s="2"/>
      <c r="J728" s="2"/>
      <c r="K728" s="2"/>
    </row>
    <row r="729" spans="1:11">
      <c r="A729" s="1"/>
      <c r="B729" s="1"/>
      <c r="C729" s="2"/>
      <c r="D729" s="2"/>
      <c r="E729" s="2"/>
      <c r="F729" s="2"/>
      <c r="G729" s="2"/>
      <c r="H729" s="2"/>
      <c r="I729" s="2"/>
      <c r="J729" s="2"/>
      <c r="K729" s="2"/>
    </row>
    <row r="730" spans="1:11">
      <c r="A730" s="1"/>
      <c r="B730" s="1"/>
      <c r="C730" s="2"/>
      <c r="D730" s="2"/>
      <c r="E730" s="2"/>
      <c r="F730" s="2"/>
      <c r="G730" s="2"/>
      <c r="H730" s="2"/>
      <c r="I730" s="2"/>
      <c r="J730" s="2"/>
      <c r="K730" s="2"/>
    </row>
    <row r="732" spans="1:11">
      <c r="B732" s="476" t="s">
        <v>891</v>
      </c>
      <c r="C732" s="476"/>
      <c r="D732" s="476"/>
      <c r="E732" s="476"/>
      <c r="F732" s="476"/>
      <c r="G732" s="476"/>
      <c r="H732" s="476"/>
      <c r="I732" s="476"/>
      <c r="J732" s="476"/>
      <c r="K732" s="476"/>
    </row>
    <row r="733" spans="1:11" ht="7.5" customHeight="1">
      <c r="B733" s="63"/>
      <c r="C733" s="3"/>
      <c r="D733" s="2"/>
      <c r="E733" s="2"/>
      <c r="F733" s="2"/>
      <c r="G733" s="2"/>
      <c r="H733" s="2"/>
      <c r="I733" s="2"/>
      <c r="J733" s="2"/>
      <c r="K733" s="2"/>
    </row>
    <row r="734" spans="1:11">
      <c r="B734" s="467" t="s">
        <v>1210</v>
      </c>
      <c r="C734" s="467"/>
      <c r="D734" s="467"/>
      <c r="E734" s="467"/>
      <c r="F734" s="467"/>
      <c r="G734" s="467"/>
      <c r="H734" s="467"/>
      <c r="I734" s="467"/>
      <c r="J734" s="467"/>
      <c r="K734" s="467"/>
    </row>
    <row r="735" spans="1:11">
      <c r="B735" s="467"/>
      <c r="C735" s="467"/>
      <c r="D735" s="467"/>
      <c r="E735" s="467"/>
      <c r="F735" s="467"/>
      <c r="G735" s="467"/>
      <c r="H735" s="467"/>
      <c r="I735" s="467"/>
      <c r="J735" s="467"/>
      <c r="K735" s="467"/>
    </row>
    <row r="736" spans="1:11">
      <c r="B736" s="467"/>
      <c r="C736" s="467"/>
      <c r="D736" s="467"/>
      <c r="E736" s="467"/>
      <c r="F736" s="467"/>
      <c r="G736" s="467"/>
      <c r="H736" s="467"/>
      <c r="I736" s="467"/>
      <c r="J736" s="467"/>
      <c r="K736" s="467"/>
    </row>
    <row r="737" spans="2:11" ht="7.5" customHeight="1">
      <c r="B737" s="332"/>
      <c r="C737" s="332"/>
      <c r="D737" s="332"/>
      <c r="E737" s="332"/>
      <c r="F737" s="332"/>
      <c r="G737" s="332"/>
      <c r="H737" s="332"/>
      <c r="I737" s="332"/>
      <c r="J737" s="332"/>
      <c r="K737" s="332"/>
    </row>
    <row r="738" spans="2:11">
      <c r="B738" s="5"/>
      <c r="C738" s="64"/>
      <c r="D738" s="1"/>
      <c r="E738" s="64" t="s">
        <v>864</v>
      </c>
      <c r="F738" s="1"/>
      <c r="G738" s="1"/>
      <c r="H738" s="1"/>
      <c r="I738" s="1"/>
      <c r="J738" s="1"/>
      <c r="K738" s="1"/>
    </row>
    <row r="739" spans="2:11">
      <c r="B739" s="64"/>
      <c r="C739" s="63" t="s">
        <v>234</v>
      </c>
      <c r="D739" s="64" t="s">
        <v>790</v>
      </c>
      <c r="E739" s="64" t="s">
        <v>637</v>
      </c>
      <c r="F739" s="64" t="s">
        <v>864</v>
      </c>
      <c r="G739" s="64" t="s">
        <v>895</v>
      </c>
      <c r="H739" s="64" t="s">
        <v>896</v>
      </c>
      <c r="I739" s="64" t="s">
        <v>897</v>
      </c>
      <c r="J739" s="64" t="s">
        <v>898</v>
      </c>
      <c r="K739" s="64" t="s">
        <v>899</v>
      </c>
    </row>
    <row r="740" spans="2:11" ht="14.4" thickBot="1">
      <c r="B740" s="130"/>
      <c r="C740" s="66" t="s">
        <v>1</v>
      </c>
      <c r="D740" s="66" t="s">
        <v>1</v>
      </c>
      <c r="E740" s="66" t="s">
        <v>605</v>
      </c>
      <c r="F740" s="66" t="s">
        <v>19</v>
      </c>
      <c r="G740" s="66" t="str">
        <f>$M$1</f>
        <v>Adopted</v>
      </c>
      <c r="H740" s="66" t="s">
        <v>19</v>
      </c>
      <c r="I740" s="66" t="s">
        <v>19</v>
      </c>
      <c r="J740" s="66" t="s">
        <v>19</v>
      </c>
      <c r="K740" s="66" t="s">
        <v>19</v>
      </c>
    </row>
    <row r="741" spans="2:11" ht="7.5" customHeight="1">
      <c r="B741" s="62"/>
      <c r="C741" s="131"/>
      <c r="D741" s="2"/>
      <c r="E741" s="2"/>
      <c r="F741" s="2"/>
      <c r="G741" s="2"/>
      <c r="H741" s="2"/>
      <c r="I741" s="2"/>
      <c r="J741" s="2"/>
      <c r="K741" s="2"/>
    </row>
    <row r="742" spans="2:11">
      <c r="B742" s="124" t="s">
        <v>638</v>
      </c>
      <c r="C742" s="2"/>
      <c r="D742" s="2"/>
      <c r="E742" s="2"/>
      <c r="F742" s="2"/>
      <c r="G742" s="2"/>
      <c r="H742" s="2"/>
      <c r="I742" s="2"/>
      <c r="J742" s="2"/>
      <c r="K742" s="2"/>
    </row>
    <row r="743" spans="2:11" ht="20.100000000000001" customHeight="1">
      <c r="B743" s="323" t="s">
        <v>639</v>
      </c>
      <c r="C743" s="2">
        <f t="shared" ref="C743:K743" si="77">C492</f>
        <v>1372091</v>
      </c>
      <c r="D743" s="2">
        <f t="shared" si="77"/>
        <v>1402659</v>
      </c>
      <c r="E743" s="2">
        <f t="shared" si="77"/>
        <v>1464606</v>
      </c>
      <c r="F743" s="2">
        <f t="shared" si="77"/>
        <v>1457087</v>
      </c>
      <c r="G743" s="2">
        <f t="shared" si="77"/>
        <v>1492248</v>
      </c>
      <c r="H743" s="2">
        <f t="shared" si="77"/>
        <v>1536157</v>
      </c>
      <c r="I743" s="2">
        <f t="shared" si="77"/>
        <v>1563492</v>
      </c>
      <c r="J743" s="2">
        <f t="shared" si="77"/>
        <v>1585093</v>
      </c>
      <c r="K743" s="2">
        <f t="shared" si="77"/>
        <v>1619273</v>
      </c>
    </row>
    <row r="744" spans="2:11" ht="20.100000000000001" customHeight="1">
      <c r="B744" s="323" t="s">
        <v>640</v>
      </c>
      <c r="C744" s="2">
        <f t="shared" ref="C744:K744" si="78">C493</f>
        <v>18958</v>
      </c>
      <c r="D744" s="2">
        <f t="shared" si="78"/>
        <v>18086</v>
      </c>
      <c r="E744" s="2">
        <f t="shared" si="78"/>
        <v>18350</v>
      </c>
      <c r="F744" s="2">
        <f t="shared" si="78"/>
        <v>30461</v>
      </c>
      <c r="G744" s="2">
        <f t="shared" si="78"/>
        <v>25250</v>
      </c>
      <c r="H744" s="2">
        <f t="shared" si="78"/>
        <v>25250</v>
      </c>
      <c r="I744" s="2">
        <f t="shared" si="78"/>
        <v>25250</v>
      </c>
      <c r="J744" s="2">
        <f t="shared" si="78"/>
        <v>25250</v>
      </c>
      <c r="K744" s="2">
        <f t="shared" si="78"/>
        <v>25250</v>
      </c>
    </row>
    <row r="745" spans="2:11" ht="20.100000000000001" customHeight="1">
      <c r="B745" s="324" t="s">
        <v>641</v>
      </c>
      <c r="C745" s="2">
        <f t="shared" ref="C745:K745" si="79">C540</f>
        <v>53650</v>
      </c>
      <c r="D745" s="2">
        <f t="shared" si="79"/>
        <v>100484</v>
      </c>
      <c r="E745" s="2">
        <f t="shared" si="79"/>
        <v>43200</v>
      </c>
      <c r="F745" s="2">
        <f t="shared" si="79"/>
        <v>110000</v>
      </c>
      <c r="G745" s="2">
        <f t="shared" si="79"/>
        <v>50000</v>
      </c>
      <c r="H745" s="2">
        <f t="shared" si="79"/>
        <v>50000</v>
      </c>
      <c r="I745" s="2">
        <f t="shared" si="79"/>
        <v>50000</v>
      </c>
      <c r="J745" s="2">
        <f t="shared" si="79"/>
        <v>50000</v>
      </c>
      <c r="K745" s="2">
        <f t="shared" si="79"/>
        <v>50000</v>
      </c>
    </row>
    <row r="746" spans="2:11" ht="20.100000000000001" customHeight="1">
      <c r="B746" s="324" t="s">
        <v>642</v>
      </c>
      <c r="C746" s="2">
        <f t="shared" ref="C746:K746" si="80">C494</f>
        <v>7355</v>
      </c>
      <c r="D746" s="2">
        <f t="shared" si="80"/>
        <v>9922</v>
      </c>
      <c r="E746" s="2">
        <f t="shared" si="80"/>
        <v>8500</v>
      </c>
      <c r="F746" s="2">
        <f t="shared" si="80"/>
        <v>8500</v>
      </c>
      <c r="G746" s="2">
        <f t="shared" si="80"/>
        <v>8500</v>
      </c>
      <c r="H746" s="2">
        <f t="shared" si="80"/>
        <v>8500</v>
      </c>
      <c r="I746" s="2">
        <f t="shared" si="80"/>
        <v>8500</v>
      </c>
      <c r="J746" s="2">
        <f t="shared" si="80"/>
        <v>8500</v>
      </c>
      <c r="K746" s="2">
        <f t="shared" si="80"/>
        <v>8500</v>
      </c>
    </row>
    <row r="747" spans="2:11" ht="20.100000000000001" customHeight="1">
      <c r="B747" s="324" t="s">
        <v>643</v>
      </c>
      <c r="C747" s="2">
        <f t="shared" ref="C747:K747" si="81">C495</f>
        <v>10208</v>
      </c>
      <c r="D747" s="2">
        <f t="shared" si="81"/>
        <v>12750</v>
      </c>
      <c r="E747" s="2">
        <f t="shared" si="81"/>
        <v>11500</v>
      </c>
      <c r="F747" s="2">
        <f t="shared" si="81"/>
        <v>12750</v>
      </c>
      <c r="G747" s="2">
        <f t="shared" si="81"/>
        <v>11750</v>
      </c>
      <c r="H747" s="2">
        <f t="shared" si="81"/>
        <v>11750</v>
      </c>
      <c r="I747" s="2">
        <f t="shared" si="81"/>
        <v>11750</v>
      </c>
      <c r="J747" s="2">
        <f t="shared" si="81"/>
        <v>11750</v>
      </c>
      <c r="K747" s="2">
        <f t="shared" si="81"/>
        <v>11750</v>
      </c>
    </row>
    <row r="748" spans="2:11" ht="20.100000000000001" customHeight="1">
      <c r="B748" s="324" t="s">
        <v>644</v>
      </c>
      <c r="C748" s="2">
        <f t="shared" ref="C748:K748" si="82">C496+C541</f>
        <v>1606</v>
      </c>
      <c r="D748" s="2">
        <f t="shared" si="82"/>
        <v>5439</v>
      </c>
      <c r="E748" s="2">
        <f t="shared" si="82"/>
        <v>1760</v>
      </c>
      <c r="F748" s="2">
        <f t="shared" si="82"/>
        <v>10150</v>
      </c>
      <c r="G748" s="2">
        <f t="shared" si="82"/>
        <v>10100</v>
      </c>
      <c r="H748" s="2">
        <f t="shared" si="82"/>
        <v>10100</v>
      </c>
      <c r="I748" s="2">
        <f t="shared" si="82"/>
        <v>7600</v>
      </c>
      <c r="J748" s="2">
        <f t="shared" si="82"/>
        <v>7500</v>
      </c>
      <c r="K748" s="2">
        <f t="shared" si="82"/>
        <v>5000</v>
      </c>
    </row>
    <row r="749" spans="2:11" ht="20.100000000000001" customHeight="1">
      <c r="B749" s="324" t="s">
        <v>645</v>
      </c>
      <c r="C749" s="2">
        <f>'Budget Detail FY 2017-24'!L870</f>
        <v>2141</v>
      </c>
      <c r="D749" s="2">
        <f>'Budget Detail FY 2017-24'!M870</f>
        <v>691</v>
      </c>
      <c r="E749" s="2">
        <f>'Budget Detail FY 2017-24'!N870</f>
        <v>0</v>
      </c>
      <c r="F749" s="2">
        <f>'Budget Detail FY 2017-24'!O870</f>
        <v>0</v>
      </c>
      <c r="G749" s="2">
        <f>'Budget Detail FY 2017-24'!P870</f>
        <v>0</v>
      </c>
      <c r="H749" s="2">
        <f>'Budget Detail FY 2017-24'!Q870</f>
        <v>0</v>
      </c>
      <c r="I749" s="2">
        <f>'Budget Detail FY 2017-24'!R870</f>
        <v>0</v>
      </c>
      <c r="J749" s="2">
        <f>'Budget Detail FY 2017-24'!S870</f>
        <v>0</v>
      </c>
      <c r="K749" s="2">
        <f>'Budget Detail FY 2017-24'!T870</f>
        <v>0</v>
      </c>
    </row>
    <row r="750" spans="2:11" ht="20.100000000000001" customHeight="1">
      <c r="B750" s="324" t="s">
        <v>646</v>
      </c>
      <c r="C750" s="2">
        <f t="shared" ref="C750:K750" si="83">C498+C542</f>
        <v>7229</v>
      </c>
      <c r="D750" s="2">
        <f t="shared" si="83"/>
        <v>6525</v>
      </c>
      <c r="E750" s="2">
        <f t="shared" si="83"/>
        <v>6750</v>
      </c>
      <c r="F750" s="2">
        <f t="shared" si="83"/>
        <v>4350</v>
      </c>
      <c r="G750" s="2">
        <f t="shared" si="83"/>
        <v>4000</v>
      </c>
      <c r="H750" s="2">
        <f t="shared" si="83"/>
        <v>4000</v>
      </c>
      <c r="I750" s="2">
        <f t="shared" si="83"/>
        <v>4000</v>
      </c>
      <c r="J750" s="2">
        <f t="shared" si="83"/>
        <v>4000</v>
      </c>
      <c r="K750" s="2">
        <f t="shared" si="83"/>
        <v>4000</v>
      </c>
    </row>
    <row r="751" spans="2:11" ht="20.100000000000001" customHeight="1">
      <c r="B751" s="326" t="s">
        <v>647</v>
      </c>
      <c r="C751" s="2">
        <f t="shared" ref="C751:K751" si="84">C499</f>
        <v>24044</v>
      </c>
      <c r="D751" s="2">
        <f t="shared" si="84"/>
        <v>23775</v>
      </c>
      <c r="E751" s="2">
        <f t="shared" si="84"/>
        <v>25179</v>
      </c>
      <c r="F751" s="2">
        <f t="shared" si="84"/>
        <v>23485</v>
      </c>
      <c r="G751" s="2">
        <f t="shared" si="84"/>
        <v>25003</v>
      </c>
      <c r="H751" s="2">
        <f t="shared" si="84"/>
        <v>26458</v>
      </c>
      <c r="I751" s="2">
        <f t="shared" si="84"/>
        <v>28000</v>
      </c>
      <c r="J751" s="2">
        <f t="shared" si="84"/>
        <v>29635</v>
      </c>
      <c r="K751" s="2">
        <f t="shared" si="84"/>
        <v>31368</v>
      </c>
    </row>
    <row r="752" spans="2:11" ht="20.100000000000001" customHeight="1" thickBot="1">
      <c r="B752" s="123" t="s">
        <v>648</v>
      </c>
      <c r="C752" s="121">
        <f t="shared" ref="C752:K752" si="85">SUM(C743:C751)</f>
        <v>1497282</v>
      </c>
      <c r="D752" s="121">
        <f t="shared" si="85"/>
        <v>1580331</v>
      </c>
      <c r="E752" s="121">
        <f t="shared" si="85"/>
        <v>1579845</v>
      </c>
      <c r="F752" s="121">
        <f t="shared" si="85"/>
        <v>1656783</v>
      </c>
      <c r="G752" s="121">
        <f t="shared" si="85"/>
        <v>1626851</v>
      </c>
      <c r="H752" s="121">
        <f t="shared" si="85"/>
        <v>1672215</v>
      </c>
      <c r="I752" s="121">
        <f t="shared" si="85"/>
        <v>1698592</v>
      </c>
      <c r="J752" s="121">
        <f t="shared" si="85"/>
        <v>1721728</v>
      </c>
      <c r="K752" s="121">
        <f t="shared" si="85"/>
        <v>1755141</v>
      </c>
    </row>
    <row r="753" spans="2:11" ht="7.5" customHeight="1">
      <c r="B753" s="1"/>
      <c r="C753" s="2"/>
      <c r="D753" s="2"/>
      <c r="E753" s="2"/>
      <c r="F753" s="2"/>
      <c r="G753" s="2"/>
      <c r="H753" s="2"/>
      <c r="I753" s="2"/>
      <c r="J753" s="2"/>
      <c r="K753" s="2"/>
    </row>
    <row r="754" spans="2:11">
      <c r="B754" s="124" t="s">
        <v>457</v>
      </c>
      <c r="C754" s="2"/>
      <c r="D754" s="2"/>
      <c r="E754" s="2"/>
      <c r="F754" s="2"/>
      <c r="G754" s="2"/>
      <c r="H754" s="2"/>
      <c r="I754" s="2"/>
      <c r="J754" s="2"/>
      <c r="K754" s="2"/>
    </row>
    <row r="755" spans="2:11" ht="20.100000000000001" customHeight="1">
      <c r="B755" s="325" t="s">
        <v>649</v>
      </c>
      <c r="C755" s="2">
        <f t="shared" ref="C755:K755" si="86">C503</f>
        <v>411502</v>
      </c>
      <c r="D755" s="2">
        <f t="shared" si="86"/>
        <v>403032</v>
      </c>
      <c r="E755" s="2">
        <f t="shared" si="86"/>
        <v>422698</v>
      </c>
      <c r="F755" s="2">
        <f t="shared" si="86"/>
        <v>431500</v>
      </c>
      <c r="G755" s="2">
        <f t="shared" si="86"/>
        <v>474394</v>
      </c>
      <c r="H755" s="2">
        <f t="shared" si="86"/>
        <v>488626</v>
      </c>
      <c r="I755" s="2">
        <f t="shared" si="86"/>
        <v>503284</v>
      </c>
      <c r="J755" s="2">
        <f t="shared" si="86"/>
        <v>518382</v>
      </c>
      <c r="K755" s="2">
        <f t="shared" si="86"/>
        <v>533933</v>
      </c>
    </row>
    <row r="756" spans="2:11" ht="20.100000000000001" customHeight="1">
      <c r="B756" s="325" t="s">
        <v>650</v>
      </c>
      <c r="C756" s="2">
        <f t="shared" ref="C756:K756" si="87">C504</f>
        <v>158182</v>
      </c>
      <c r="D756" s="2">
        <f t="shared" si="87"/>
        <v>148184</v>
      </c>
      <c r="E756" s="2">
        <f t="shared" si="87"/>
        <v>166150</v>
      </c>
      <c r="F756" s="2">
        <f t="shared" si="87"/>
        <v>164659</v>
      </c>
      <c r="G756" s="2">
        <f t="shared" si="87"/>
        <v>175658</v>
      </c>
      <c r="H756" s="2">
        <f t="shared" si="87"/>
        <v>186526</v>
      </c>
      <c r="I756" s="2">
        <f t="shared" si="87"/>
        <v>198219</v>
      </c>
      <c r="J756" s="2">
        <f t="shared" si="87"/>
        <v>210723</v>
      </c>
      <c r="K756" s="2">
        <f t="shared" si="87"/>
        <v>224094</v>
      </c>
    </row>
    <row r="757" spans="2:11" ht="20.100000000000001" customHeight="1">
      <c r="B757" s="325" t="s">
        <v>651</v>
      </c>
      <c r="C757" s="2">
        <f t="shared" ref="C757:K757" si="88">C505+C546</f>
        <v>108253</v>
      </c>
      <c r="D757" s="2">
        <f t="shared" si="88"/>
        <v>135222</v>
      </c>
      <c r="E757" s="2">
        <f t="shared" si="88"/>
        <v>149340</v>
      </c>
      <c r="F757" s="2">
        <f t="shared" si="88"/>
        <v>132739</v>
      </c>
      <c r="G757" s="2">
        <f t="shared" si="88"/>
        <v>152580</v>
      </c>
      <c r="H757" s="2">
        <f t="shared" si="88"/>
        <v>152098</v>
      </c>
      <c r="I757" s="2">
        <f t="shared" si="88"/>
        <v>152806</v>
      </c>
      <c r="J757" s="2">
        <f t="shared" si="88"/>
        <v>153556</v>
      </c>
      <c r="K757" s="2">
        <f t="shared" si="88"/>
        <v>154351</v>
      </c>
    </row>
    <row r="758" spans="2:11" ht="20.100000000000001" customHeight="1">
      <c r="B758" s="325" t="s">
        <v>652</v>
      </c>
      <c r="C758" s="2">
        <f t="shared" ref="C758:K758" si="89">C506+C547</f>
        <v>71778</v>
      </c>
      <c r="D758" s="2">
        <f t="shared" si="89"/>
        <v>69692</v>
      </c>
      <c r="E758" s="2">
        <f t="shared" si="89"/>
        <v>69800</v>
      </c>
      <c r="F758" s="2">
        <f t="shared" si="89"/>
        <v>96270</v>
      </c>
      <c r="G758" s="2">
        <f t="shared" si="89"/>
        <v>96200</v>
      </c>
      <c r="H758" s="2">
        <f t="shared" si="89"/>
        <v>95200</v>
      </c>
      <c r="I758" s="2">
        <f t="shared" si="89"/>
        <v>95200</v>
      </c>
      <c r="J758" s="2">
        <f t="shared" si="89"/>
        <v>85200</v>
      </c>
      <c r="K758" s="2">
        <f t="shared" si="89"/>
        <v>71343</v>
      </c>
    </row>
    <row r="759" spans="2:11" ht="20.100000000000001" customHeight="1">
      <c r="B759" s="325" t="s">
        <v>653</v>
      </c>
      <c r="C759" s="2">
        <f>'Budget Detail FY 2017-24'!L941</f>
        <v>0</v>
      </c>
      <c r="D759" s="2">
        <f>'Budget Detail FY 2017-24'!M941</f>
        <v>3970</v>
      </c>
      <c r="E759" s="2">
        <f>'Budget Detail FY 2017-24'!N941</f>
        <v>0</v>
      </c>
      <c r="F759" s="2">
        <f>'Budget Detail FY 2017-24'!O941</f>
        <v>0</v>
      </c>
      <c r="G759" s="2">
        <f>'Budget Detail FY 2017-24'!P941</f>
        <v>0</v>
      </c>
      <c r="H759" s="2">
        <f>'Budget Detail FY 2017-24'!Q941</f>
        <v>0</v>
      </c>
      <c r="I759" s="2">
        <f>'Budget Detail FY 2017-24'!R941</f>
        <v>0</v>
      </c>
      <c r="J759" s="2">
        <f>'Budget Detail FY 2017-24'!S941</f>
        <v>0</v>
      </c>
      <c r="K759" s="2">
        <f>'Budget Detail FY 2017-24'!T941</f>
        <v>0</v>
      </c>
    </row>
    <row r="760" spans="2:11" ht="20.100000000000001" customHeight="1">
      <c r="B760" s="326" t="s">
        <v>593</v>
      </c>
      <c r="C760" s="2">
        <f t="shared" ref="C760:K760" si="90">C507</f>
        <v>752771</v>
      </c>
      <c r="D760" s="2">
        <f t="shared" si="90"/>
        <v>760396</v>
      </c>
      <c r="E760" s="2">
        <f t="shared" si="90"/>
        <v>792101</v>
      </c>
      <c r="F760" s="2">
        <f t="shared" si="90"/>
        <v>792101</v>
      </c>
      <c r="G760" s="2">
        <f t="shared" si="90"/>
        <v>797013</v>
      </c>
      <c r="H760" s="2">
        <f t="shared" si="90"/>
        <v>827088</v>
      </c>
      <c r="I760" s="2">
        <f t="shared" si="90"/>
        <v>840225</v>
      </c>
      <c r="J760" s="2">
        <f t="shared" si="90"/>
        <v>847313</v>
      </c>
      <c r="K760" s="2">
        <f t="shared" si="90"/>
        <v>866750</v>
      </c>
    </row>
    <row r="761" spans="2:11" ht="20.100000000000001" customHeight="1" thickBot="1">
      <c r="B761" s="123" t="s">
        <v>655</v>
      </c>
      <c r="C761" s="121">
        <f t="shared" ref="C761:K761" si="91">SUM(C755:C760)</f>
        <v>1502486</v>
      </c>
      <c r="D761" s="121">
        <f t="shared" si="91"/>
        <v>1520496</v>
      </c>
      <c r="E761" s="121">
        <f t="shared" si="91"/>
        <v>1600089</v>
      </c>
      <c r="F761" s="121">
        <f t="shared" si="91"/>
        <v>1617269</v>
      </c>
      <c r="G761" s="121">
        <f t="shared" si="91"/>
        <v>1695845</v>
      </c>
      <c r="H761" s="121">
        <f t="shared" si="91"/>
        <v>1749538</v>
      </c>
      <c r="I761" s="121">
        <f t="shared" si="91"/>
        <v>1789734</v>
      </c>
      <c r="J761" s="121">
        <f t="shared" si="91"/>
        <v>1815174</v>
      </c>
      <c r="K761" s="121">
        <f t="shared" si="91"/>
        <v>1850471</v>
      </c>
    </row>
    <row r="762" spans="2:11" ht="7.5" customHeight="1">
      <c r="B762" s="126"/>
      <c r="C762" s="3"/>
      <c r="D762" s="2"/>
      <c r="E762" s="2"/>
      <c r="F762" s="2"/>
      <c r="G762" s="2"/>
      <c r="H762" s="2"/>
      <c r="I762" s="2"/>
      <c r="J762" s="2"/>
      <c r="K762" s="2"/>
    </row>
    <row r="763" spans="2:11" ht="20.100000000000001" customHeight="1">
      <c r="B763" s="327" t="s">
        <v>656</v>
      </c>
      <c r="C763" s="3">
        <f t="shared" ref="C763:K763" si="92">+C752-C761</f>
        <v>-5204</v>
      </c>
      <c r="D763" s="3">
        <f t="shared" si="92"/>
        <v>59835</v>
      </c>
      <c r="E763" s="3">
        <f t="shared" si="92"/>
        <v>-20244</v>
      </c>
      <c r="F763" s="3">
        <f t="shared" si="92"/>
        <v>39514</v>
      </c>
      <c r="G763" s="3">
        <f t="shared" si="92"/>
        <v>-68994</v>
      </c>
      <c r="H763" s="3">
        <f t="shared" si="92"/>
        <v>-77323</v>
      </c>
      <c r="I763" s="3">
        <f t="shared" si="92"/>
        <v>-91142</v>
      </c>
      <c r="J763" s="3">
        <f t="shared" si="92"/>
        <v>-93446</v>
      </c>
      <c r="K763" s="3">
        <f t="shared" si="92"/>
        <v>-95330</v>
      </c>
    </row>
    <row r="764" spans="2:11" ht="7.5" customHeight="1">
      <c r="B764" s="127"/>
      <c r="C764" s="3"/>
      <c r="D764" s="2"/>
      <c r="E764" s="2"/>
      <c r="F764" s="2"/>
      <c r="G764" s="2"/>
      <c r="H764" s="2"/>
      <c r="I764" s="2"/>
      <c r="J764" s="2"/>
      <c r="K764" s="2"/>
    </row>
    <row r="765" spans="2:11" ht="20.100000000000001" customHeight="1" thickBot="1">
      <c r="B765" s="122" t="s">
        <v>657</v>
      </c>
      <c r="C765" s="79">
        <v>508961</v>
      </c>
      <c r="D765" s="79">
        <v>568798</v>
      </c>
      <c r="E765" s="79">
        <v>505313</v>
      </c>
      <c r="F765" s="79">
        <f>D765+F763</f>
        <v>608312</v>
      </c>
      <c r="G765" s="79">
        <f>F765+G763</f>
        <v>539318</v>
      </c>
      <c r="H765" s="79">
        <f>G765+H763</f>
        <v>461995</v>
      </c>
      <c r="I765" s="79">
        <f>H765+I763</f>
        <v>370853</v>
      </c>
      <c r="J765" s="79">
        <f>I765+J763</f>
        <v>277407</v>
      </c>
      <c r="K765" s="79">
        <f>J765+K763</f>
        <v>182077</v>
      </c>
    </row>
    <row r="766" spans="2:11" ht="14.4" thickTop="1">
      <c r="B766" s="128"/>
      <c r="C766" s="129">
        <f t="shared" ref="C766:K766" si="93">+C765/C761</f>
        <v>0.33874591843118673</v>
      </c>
      <c r="D766" s="129">
        <f t="shared" si="93"/>
        <v>0.37408713998589932</v>
      </c>
      <c r="E766" s="129">
        <f t="shared" si="93"/>
        <v>0.31580305845487344</v>
      </c>
      <c r="F766" s="129">
        <f t="shared" si="93"/>
        <v>0.37613532442654873</v>
      </c>
      <c r="G766" s="129">
        <f t="shared" si="93"/>
        <v>0.31802316839097911</v>
      </c>
      <c r="H766" s="129">
        <f t="shared" si="93"/>
        <v>0.26406685650726075</v>
      </c>
      <c r="I766" s="129">
        <f t="shared" si="93"/>
        <v>0.20721123921208404</v>
      </c>
      <c r="J766" s="129">
        <f t="shared" si="93"/>
        <v>0.15282667116210347</v>
      </c>
      <c r="K766" s="129">
        <f t="shared" si="93"/>
        <v>9.839494917780392E-2</v>
      </c>
    </row>
    <row r="767" spans="2:11">
      <c r="B767" s="128"/>
      <c r="C767" s="129"/>
      <c r="D767" s="129"/>
      <c r="E767" s="129"/>
      <c r="F767" s="129"/>
      <c r="G767" s="129"/>
      <c r="H767" s="129"/>
      <c r="I767" s="129"/>
      <c r="J767" s="129"/>
      <c r="K767" s="129"/>
    </row>
    <row r="768" spans="2:11" ht="7.5" customHeight="1">
      <c r="B768" s="128"/>
      <c r="C768" s="136"/>
      <c r="D768" s="136"/>
      <c r="E768" s="136"/>
      <c r="F768" s="136"/>
      <c r="G768" s="136"/>
      <c r="H768" s="136"/>
      <c r="I768" s="136"/>
      <c r="J768" s="136"/>
      <c r="K768" s="136"/>
    </row>
    <row r="769" spans="2:11">
      <c r="B769" s="128"/>
      <c r="C769" s="2"/>
      <c r="D769" s="2"/>
      <c r="E769" s="2"/>
      <c r="F769" s="2"/>
      <c r="G769" s="2"/>
      <c r="H769" s="2"/>
      <c r="I769" s="2"/>
      <c r="J769" s="2"/>
      <c r="K769" s="2"/>
    </row>
    <row r="770" spans="2:11">
      <c r="B770" s="1"/>
      <c r="C770" s="2"/>
      <c r="D770" s="2"/>
      <c r="E770" s="2"/>
      <c r="F770" s="2"/>
      <c r="G770" s="2"/>
      <c r="H770" s="2"/>
      <c r="I770" s="2"/>
      <c r="J770" s="2"/>
      <c r="K770" s="2"/>
    </row>
    <row r="771" spans="2:11">
      <c r="B771" s="1"/>
      <c r="C771" s="2"/>
      <c r="D771" s="2"/>
      <c r="E771" s="2"/>
      <c r="F771" s="2"/>
      <c r="G771" s="2"/>
      <c r="H771" s="2"/>
      <c r="I771" s="2"/>
      <c r="J771" s="2"/>
      <c r="K771" s="2"/>
    </row>
    <row r="772" spans="2:11">
      <c r="B772" s="1"/>
      <c r="C772" s="2"/>
      <c r="D772" s="2"/>
      <c r="E772" s="2"/>
      <c r="F772" s="2"/>
      <c r="G772" s="2"/>
      <c r="H772" s="2"/>
      <c r="I772" s="2"/>
      <c r="J772" s="2"/>
      <c r="K772" s="2"/>
    </row>
    <row r="773" spans="2:11">
      <c r="B773" s="1"/>
      <c r="C773" s="2"/>
      <c r="D773" s="2"/>
      <c r="E773" s="2"/>
      <c r="F773" s="2"/>
      <c r="G773" s="2"/>
      <c r="H773" s="2"/>
      <c r="I773" s="2"/>
      <c r="J773" s="2"/>
      <c r="K773" s="2"/>
    </row>
    <row r="774" spans="2:11">
      <c r="B774" s="1"/>
      <c r="C774" s="2"/>
      <c r="D774" s="2"/>
      <c r="E774" s="2"/>
      <c r="F774" s="2"/>
      <c r="G774" s="2"/>
      <c r="H774" s="2"/>
      <c r="I774" s="2"/>
      <c r="J774" s="2"/>
      <c r="K774" s="2"/>
    </row>
    <row r="775" spans="2:11">
      <c r="B775" s="1"/>
      <c r="C775" s="2"/>
      <c r="D775" s="2"/>
      <c r="E775" s="2"/>
      <c r="F775" s="2"/>
      <c r="G775" s="2"/>
      <c r="H775" s="2"/>
      <c r="I775" s="2"/>
      <c r="J775" s="2"/>
      <c r="K775" s="2"/>
    </row>
    <row r="776" spans="2:11">
      <c r="B776" s="1"/>
      <c r="C776" s="2"/>
      <c r="D776" s="2"/>
      <c r="E776" s="2"/>
      <c r="F776" s="2"/>
      <c r="G776" s="2"/>
      <c r="H776" s="2"/>
      <c r="I776" s="2"/>
      <c r="J776" s="2"/>
      <c r="K776" s="2"/>
    </row>
    <row r="777" spans="2:11">
      <c r="B777" s="1"/>
      <c r="C777" s="2"/>
      <c r="D777" s="2"/>
      <c r="E777" s="2"/>
      <c r="F777" s="2"/>
      <c r="G777" s="2"/>
      <c r="H777" s="2"/>
      <c r="I777" s="2"/>
      <c r="J777" s="2"/>
      <c r="K777" s="2"/>
    </row>
    <row r="778" spans="2:11">
      <c r="B778" s="1"/>
      <c r="C778" s="2"/>
      <c r="D778" s="2"/>
      <c r="E778" s="2"/>
      <c r="F778" s="2"/>
      <c r="G778" s="2"/>
      <c r="H778" s="2"/>
      <c r="I778" s="2"/>
      <c r="J778" s="2"/>
      <c r="K778" s="2"/>
    </row>
    <row r="779" spans="2:11">
      <c r="B779" s="1"/>
      <c r="C779" s="2"/>
      <c r="D779" s="2"/>
      <c r="E779" s="2"/>
      <c r="F779" s="2"/>
      <c r="G779" s="2"/>
      <c r="H779" s="2"/>
      <c r="I779" s="2"/>
      <c r="J779" s="2"/>
      <c r="K779" s="2"/>
    </row>
    <row r="780" spans="2:11">
      <c r="B780" s="1"/>
      <c r="C780" s="2"/>
      <c r="D780" s="2"/>
      <c r="E780" s="2"/>
      <c r="F780" s="2"/>
      <c r="G780" s="2"/>
      <c r="H780" s="2"/>
      <c r="I780" s="2"/>
      <c r="J780" s="2"/>
      <c r="K780" s="2"/>
    </row>
    <row r="781" spans="2:11">
      <c r="B781" s="1"/>
      <c r="C781" s="2"/>
      <c r="D781" s="2"/>
      <c r="E781" s="2"/>
      <c r="F781" s="2"/>
      <c r="G781" s="2"/>
      <c r="H781" s="2"/>
      <c r="I781" s="2"/>
      <c r="J781" s="2"/>
      <c r="K781" s="2"/>
    </row>
    <row r="782" spans="2:11">
      <c r="B782" s="476" t="s">
        <v>892</v>
      </c>
      <c r="C782" s="476"/>
      <c r="D782" s="476"/>
      <c r="E782" s="476"/>
      <c r="F782" s="476"/>
      <c r="G782" s="476"/>
      <c r="H782" s="476"/>
      <c r="I782" s="476"/>
      <c r="J782" s="476"/>
      <c r="K782" s="476"/>
    </row>
    <row r="783" spans="2:11" ht="7.5" customHeight="1">
      <c r="B783" s="63"/>
      <c r="C783" s="3"/>
      <c r="D783" s="2"/>
      <c r="E783" s="2"/>
      <c r="F783" s="2"/>
      <c r="G783" s="2"/>
      <c r="H783" s="2"/>
      <c r="I783" s="2"/>
      <c r="J783" s="2"/>
      <c r="K783" s="2"/>
    </row>
    <row r="784" spans="2:11">
      <c r="B784" s="467" t="s">
        <v>1211</v>
      </c>
      <c r="C784" s="467"/>
      <c r="D784" s="467"/>
      <c r="E784" s="467"/>
      <c r="F784" s="467"/>
      <c r="G784" s="467"/>
      <c r="H784" s="467"/>
      <c r="I784" s="467"/>
      <c r="J784" s="467"/>
      <c r="K784" s="467"/>
    </row>
    <row r="785" spans="2:11">
      <c r="B785" s="467"/>
      <c r="C785" s="467"/>
      <c r="D785" s="467"/>
      <c r="E785" s="467"/>
      <c r="F785" s="467"/>
      <c r="G785" s="467"/>
      <c r="H785" s="467"/>
      <c r="I785" s="467"/>
      <c r="J785" s="467"/>
      <c r="K785" s="467"/>
    </row>
    <row r="786" spans="2:11">
      <c r="B786" s="467"/>
      <c r="C786" s="467"/>
      <c r="D786" s="467"/>
      <c r="E786" s="467"/>
      <c r="F786" s="467"/>
      <c r="G786" s="467"/>
      <c r="H786" s="467"/>
      <c r="I786" s="467"/>
      <c r="J786" s="467"/>
      <c r="K786" s="467"/>
    </row>
    <row r="787" spans="2:11">
      <c r="B787" s="467"/>
      <c r="C787" s="467"/>
      <c r="D787" s="467"/>
      <c r="E787" s="467"/>
      <c r="F787" s="467"/>
      <c r="G787" s="467"/>
      <c r="H787" s="467"/>
      <c r="I787" s="467"/>
      <c r="J787" s="467"/>
      <c r="K787" s="467"/>
    </row>
    <row r="788" spans="2:11">
      <c r="B788" s="5"/>
      <c r="C788" s="64"/>
      <c r="D788" s="1"/>
      <c r="E788" s="64" t="s">
        <v>864</v>
      </c>
      <c r="F788" s="1"/>
      <c r="G788" s="1"/>
      <c r="H788" s="1"/>
      <c r="I788" s="1"/>
      <c r="J788" s="1"/>
      <c r="K788" s="1"/>
    </row>
    <row r="789" spans="2:11">
      <c r="B789" s="64"/>
      <c r="C789" s="63" t="s">
        <v>234</v>
      </c>
      <c r="D789" s="64" t="s">
        <v>790</v>
      </c>
      <c r="E789" s="64" t="s">
        <v>637</v>
      </c>
      <c r="F789" s="64" t="s">
        <v>864</v>
      </c>
      <c r="G789" s="64" t="s">
        <v>895</v>
      </c>
      <c r="H789" s="64" t="s">
        <v>896</v>
      </c>
      <c r="I789" s="64" t="s">
        <v>897</v>
      </c>
      <c r="J789" s="64" t="s">
        <v>898</v>
      </c>
      <c r="K789" s="64" t="s">
        <v>899</v>
      </c>
    </row>
    <row r="790" spans="2:11" ht="14.4" thickBot="1">
      <c r="B790" s="130"/>
      <c r="C790" s="66" t="s">
        <v>1</v>
      </c>
      <c r="D790" s="66" t="s">
        <v>1</v>
      </c>
      <c r="E790" s="66" t="s">
        <v>605</v>
      </c>
      <c r="F790" s="66" t="s">
        <v>19</v>
      </c>
      <c r="G790" s="66" t="str">
        <f>$M$1</f>
        <v>Adopted</v>
      </c>
      <c r="H790" s="66" t="s">
        <v>19</v>
      </c>
      <c r="I790" s="66" t="s">
        <v>19</v>
      </c>
      <c r="J790" s="66" t="s">
        <v>19</v>
      </c>
      <c r="K790" s="66" t="s">
        <v>19</v>
      </c>
    </row>
    <row r="791" spans="2:11">
      <c r="B791" s="62"/>
      <c r="C791" s="131"/>
      <c r="D791" s="2"/>
      <c r="E791" s="2"/>
      <c r="F791" s="2"/>
      <c r="G791" s="2"/>
      <c r="H791" s="2"/>
      <c r="I791" s="2"/>
      <c r="J791" s="2"/>
      <c r="K791" s="2"/>
    </row>
    <row r="792" spans="2:11">
      <c r="B792" s="124" t="s">
        <v>638</v>
      </c>
      <c r="C792" s="2"/>
      <c r="D792" s="2"/>
      <c r="E792" s="2"/>
      <c r="F792" s="2"/>
      <c r="G792" s="2"/>
      <c r="H792" s="2"/>
      <c r="I792" s="2"/>
      <c r="J792" s="2"/>
      <c r="K792" s="2"/>
    </row>
    <row r="793" spans="2:11" ht="20.100000000000001" customHeight="1">
      <c r="B793" s="323" t="s">
        <v>640</v>
      </c>
      <c r="C793" s="2">
        <f t="shared" ref="C793:K793" si="94">C450</f>
        <v>0</v>
      </c>
      <c r="D793" s="2">
        <f t="shared" si="94"/>
        <v>0</v>
      </c>
      <c r="E793" s="2">
        <f t="shared" si="94"/>
        <v>81815</v>
      </c>
      <c r="F793" s="2">
        <f t="shared" si="94"/>
        <v>81815</v>
      </c>
      <c r="G793" s="2">
        <f t="shared" si="94"/>
        <v>0</v>
      </c>
      <c r="H793" s="2">
        <f t="shared" si="94"/>
        <v>0</v>
      </c>
      <c r="I793" s="2">
        <f t="shared" si="94"/>
        <v>0</v>
      </c>
      <c r="J793" s="2">
        <f t="shared" si="94"/>
        <v>0</v>
      </c>
      <c r="K793" s="2">
        <f t="shared" si="94"/>
        <v>0</v>
      </c>
    </row>
    <row r="794" spans="2:11" ht="20.100000000000001" customHeight="1">
      <c r="B794" s="324" t="s">
        <v>643</v>
      </c>
      <c r="C794" s="2">
        <f>C451+'Budget Detail FY 2017-24'!L428+'Budget Detail FY 2017-24'!L436</f>
        <v>533884</v>
      </c>
      <c r="D794" s="2">
        <f>D451+'Budget Detail FY 2017-24'!M428+'Budget Detail FY 2017-24'!M436</f>
        <v>529166</v>
      </c>
      <c r="E794" s="2">
        <f>E451+'Budget Detail FY 2017-24'!N428+'Budget Detail FY 2017-24'!N436</f>
        <v>571000</v>
      </c>
      <c r="F794" s="2">
        <f>F451+'Budget Detail FY 2017-24'!O428+'Budget Detail FY 2017-24'!O436</f>
        <v>588500</v>
      </c>
      <c r="G794" s="2">
        <f>G451+'Budget Detail FY 2017-24'!P428+'Budget Detail FY 2017-24'!P436</f>
        <v>637000</v>
      </c>
      <c r="H794" s="2">
        <f>H451+'Budget Detail FY 2017-24'!Q428+'Budget Detail FY 2017-24'!Q436</f>
        <v>637000</v>
      </c>
      <c r="I794" s="2">
        <f>I451+'Budget Detail FY 2017-24'!R428+'Budget Detail FY 2017-24'!R436</f>
        <v>637000</v>
      </c>
      <c r="J794" s="2">
        <f>J451+'Budget Detail FY 2017-24'!S428+'Budget Detail FY 2017-24'!S436</f>
        <v>637000</v>
      </c>
      <c r="K794" s="2">
        <f>K451+'Budget Detail FY 2017-24'!T428+'Budget Detail FY 2017-24'!T436</f>
        <v>637000</v>
      </c>
    </row>
    <row r="795" spans="2:11" ht="20.100000000000001" customHeight="1">
      <c r="B795" s="324" t="s">
        <v>644</v>
      </c>
      <c r="C795" s="2">
        <f>C452+'Budget Detail FY 2017-24'!L438</f>
        <v>414</v>
      </c>
      <c r="D795" s="2">
        <f>D452+'Budget Detail FY 2017-24'!M438</f>
        <v>1150</v>
      </c>
      <c r="E795" s="2">
        <f>E452+'Budget Detail FY 2017-24'!N438</f>
        <v>650</v>
      </c>
      <c r="F795" s="2">
        <f>F452+'Budget Detail FY 2017-24'!O438</f>
        <v>2350</v>
      </c>
      <c r="G795" s="2">
        <f>G452+'Budget Detail FY 2017-24'!P438</f>
        <v>2350</v>
      </c>
      <c r="H795" s="2">
        <f>H452+'Budget Detail FY 2017-24'!Q438</f>
        <v>2350</v>
      </c>
      <c r="I795" s="2">
        <f>I452+'Budget Detail FY 2017-24'!R438</f>
        <v>2350</v>
      </c>
      <c r="J795" s="2">
        <f>J452+'Budget Detail FY 2017-24'!S438</f>
        <v>2350</v>
      </c>
      <c r="K795" s="2">
        <f>K452+'Budget Detail FY 2017-24'!T438</f>
        <v>2350</v>
      </c>
    </row>
    <row r="796" spans="2:11" ht="20.100000000000001" customHeight="1">
      <c r="B796" s="324" t="s">
        <v>645</v>
      </c>
      <c r="C796" s="2">
        <f t="shared" ref="C796:K796" si="95">C453</f>
        <v>3002</v>
      </c>
      <c r="D796" s="2">
        <f t="shared" si="95"/>
        <v>174</v>
      </c>
      <c r="E796" s="2">
        <f t="shared" si="95"/>
        <v>0</v>
      </c>
      <c r="F796" s="2">
        <f t="shared" si="95"/>
        <v>19158</v>
      </c>
      <c r="G796" s="2">
        <f t="shared" si="95"/>
        <v>0</v>
      </c>
      <c r="H796" s="2">
        <f t="shared" si="95"/>
        <v>0</v>
      </c>
      <c r="I796" s="2">
        <f t="shared" si="95"/>
        <v>0</v>
      </c>
      <c r="J796" s="2">
        <f t="shared" si="95"/>
        <v>0</v>
      </c>
      <c r="K796" s="2">
        <f t="shared" si="95"/>
        <v>0</v>
      </c>
    </row>
    <row r="797" spans="2:11" ht="20.100000000000001" customHeight="1">
      <c r="B797" s="324" t="s">
        <v>646</v>
      </c>
      <c r="C797" s="2">
        <f t="shared" ref="C797:K797" si="96">C454</f>
        <v>209970</v>
      </c>
      <c r="D797" s="2">
        <f t="shared" si="96"/>
        <v>234784</v>
      </c>
      <c r="E797" s="2">
        <f t="shared" si="96"/>
        <v>201000</v>
      </c>
      <c r="F797" s="2">
        <f t="shared" si="96"/>
        <v>204849</v>
      </c>
      <c r="G797" s="2">
        <f t="shared" si="96"/>
        <v>200500</v>
      </c>
      <c r="H797" s="2">
        <f t="shared" si="96"/>
        <v>202416</v>
      </c>
      <c r="I797" s="2">
        <f t="shared" si="96"/>
        <v>204409</v>
      </c>
      <c r="J797" s="2">
        <f t="shared" si="96"/>
        <v>206481</v>
      </c>
      <c r="K797" s="2">
        <f t="shared" si="96"/>
        <v>208636</v>
      </c>
    </row>
    <row r="798" spans="2:11" ht="20.100000000000001" customHeight="1">
      <c r="B798" s="324" t="s">
        <v>647</v>
      </c>
      <c r="C798" s="2">
        <f>C455+'Budget Detail FY 2017-24'!L445</f>
        <v>1366810</v>
      </c>
      <c r="D798" s="2">
        <f>D455+'Budget Detail FY 2017-24'!M445</f>
        <v>1308583</v>
      </c>
      <c r="E798" s="2">
        <f>E455+'Budget Detail FY 2017-24'!N445</f>
        <v>1274699</v>
      </c>
      <c r="F798" s="2">
        <f>F455+'Budget Detail FY 2017-24'!O445</f>
        <v>1274699</v>
      </c>
      <c r="G798" s="2">
        <f>G455+'Budget Detail FY 2017-24'!P445</f>
        <v>1410988</v>
      </c>
      <c r="H798" s="2">
        <f>H455+'Budget Detail FY 2017-24'!Q445</f>
        <v>1558701</v>
      </c>
      <c r="I798" s="2">
        <f>I455+'Budget Detail FY 2017-24'!R445</f>
        <v>1622068</v>
      </c>
      <c r="J798" s="2">
        <f>J455+'Budget Detail FY 2017-24'!S445</f>
        <v>1699258</v>
      </c>
      <c r="K798" s="2">
        <f>K455+'Budget Detail FY 2017-24'!T445</f>
        <v>1765181</v>
      </c>
    </row>
    <row r="799" spans="2:11" ht="20.100000000000001" customHeight="1" thickBot="1">
      <c r="B799" s="123" t="s">
        <v>648</v>
      </c>
      <c r="C799" s="121">
        <f>SUM(C793:C798)</f>
        <v>2114080</v>
      </c>
      <c r="D799" s="121">
        <f t="shared" ref="D799:K799" si="97">SUM(D793:D798)</f>
        <v>2073857</v>
      </c>
      <c r="E799" s="121">
        <f t="shared" si="97"/>
        <v>2129164</v>
      </c>
      <c r="F799" s="121">
        <f t="shared" si="97"/>
        <v>2171371</v>
      </c>
      <c r="G799" s="121">
        <f t="shared" si="97"/>
        <v>2250838</v>
      </c>
      <c r="H799" s="121">
        <f t="shared" si="97"/>
        <v>2400467</v>
      </c>
      <c r="I799" s="121">
        <f t="shared" si="97"/>
        <v>2465827</v>
      </c>
      <c r="J799" s="121">
        <f t="shared" si="97"/>
        <v>2545089</v>
      </c>
      <c r="K799" s="121">
        <f t="shared" si="97"/>
        <v>2613167</v>
      </c>
    </row>
    <row r="800" spans="2:11" ht="7.5" customHeight="1">
      <c r="B800" s="1"/>
      <c r="C800" s="2"/>
      <c r="D800" s="2"/>
      <c r="E800" s="2"/>
      <c r="F800" s="2"/>
      <c r="G800" s="2"/>
      <c r="H800" s="2"/>
      <c r="I800" s="2"/>
      <c r="J800" s="2"/>
      <c r="K800" s="2"/>
    </row>
    <row r="801" spans="2:11">
      <c r="B801" s="124" t="s">
        <v>457</v>
      </c>
      <c r="C801" s="2"/>
      <c r="D801" s="2"/>
      <c r="E801" s="2"/>
      <c r="F801" s="2"/>
      <c r="G801" s="2"/>
      <c r="H801" s="2"/>
      <c r="I801" s="2"/>
      <c r="J801" s="2"/>
      <c r="K801" s="2"/>
    </row>
    <row r="802" spans="2:11" ht="20.100000000000001" customHeight="1">
      <c r="B802" s="325" t="s">
        <v>649</v>
      </c>
      <c r="C802" s="2">
        <f t="shared" ref="C802:K802" si="98">C459</f>
        <v>805190</v>
      </c>
      <c r="D802" s="2">
        <f t="shared" si="98"/>
        <v>868189</v>
      </c>
      <c r="E802" s="2">
        <f t="shared" si="98"/>
        <v>989828</v>
      </c>
      <c r="F802" s="2">
        <f t="shared" si="98"/>
        <v>992500</v>
      </c>
      <c r="G802" s="2">
        <f t="shared" si="98"/>
        <v>1103861</v>
      </c>
      <c r="H802" s="2">
        <f t="shared" si="98"/>
        <v>1133217</v>
      </c>
      <c r="I802" s="2">
        <f t="shared" si="98"/>
        <v>1163393</v>
      </c>
      <c r="J802" s="2">
        <f t="shared" si="98"/>
        <v>1194415</v>
      </c>
      <c r="K802" s="2">
        <f t="shared" si="98"/>
        <v>1226308</v>
      </c>
    </row>
    <row r="803" spans="2:11" ht="20.100000000000001" customHeight="1">
      <c r="B803" s="325" t="s">
        <v>650</v>
      </c>
      <c r="C803" s="2">
        <f t="shared" ref="C803:K803" si="99">C460</f>
        <v>365079</v>
      </c>
      <c r="D803" s="2">
        <f t="shared" si="99"/>
        <v>390010</v>
      </c>
      <c r="E803" s="2">
        <f t="shared" si="99"/>
        <v>437531</v>
      </c>
      <c r="F803" s="2">
        <f t="shared" si="99"/>
        <v>415316</v>
      </c>
      <c r="G803" s="2">
        <f t="shared" si="99"/>
        <v>448232</v>
      </c>
      <c r="H803" s="2">
        <f t="shared" si="99"/>
        <v>470329</v>
      </c>
      <c r="I803" s="2">
        <f t="shared" si="99"/>
        <v>501290</v>
      </c>
      <c r="J803" s="2">
        <f t="shared" si="99"/>
        <v>534481</v>
      </c>
      <c r="K803" s="2">
        <f t="shared" si="99"/>
        <v>570072</v>
      </c>
    </row>
    <row r="804" spans="2:11" ht="20.100000000000001" customHeight="1">
      <c r="B804" s="325" t="s">
        <v>651</v>
      </c>
      <c r="C804" s="2">
        <f t="shared" ref="C804:K804" si="100">C461+C238</f>
        <v>313168</v>
      </c>
      <c r="D804" s="2">
        <f t="shared" si="100"/>
        <v>319233</v>
      </c>
      <c r="E804" s="2">
        <f t="shared" si="100"/>
        <v>294214</v>
      </c>
      <c r="F804" s="2">
        <f t="shared" si="100"/>
        <v>282579</v>
      </c>
      <c r="G804" s="2">
        <f t="shared" si="100"/>
        <v>306682</v>
      </c>
      <c r="H804" s="2">
        <f t="shared" si="100"/>
        <v>295490</v>
      </c>
      <c r="I804" s="2">
        <f t="shared" si="100"/>
        <v>295663</v>
      </c>
      <c r="J804" s="2">
        <f t="shared" si="100"/>
        <v>307143</v>
      </c>
      <c r="K804" s="2">
        <f t="shared" si="100"/>
        <v>307442</v>
      </c>
    </row>
    <row r="805" spans="2:11" ht="20.100000000000001" customHeight="1">
      <c r="B805" s="325" t="s">
        <v>652</v>
      </c>
      <c r="C805" s="2">
        <f t="shared" ref="C805:K805" si="101">C462</f>
        <v>360884</v>
      </c>
      <c r="D805" s="2">
        <f t="shared" si="101"/>
        <v>393250</v>
      </c>
      <c r="E805" s="2">
        <f t="shared" si="101"/>
        <v>506935</v>
      </c>
      <c r="F805" s="2">
        <f t="shared" si="101"/>
        <v>527606</v>
      </c>
      <c r="G805" s="2">
        <f t="shared" si="101"/>
        <v>489630</v>
      </c>
      <c r="H805" s="2">
        <f t="shared" si="101"/>
        <v>490901</v>
      </c>
      <c r="I805" s="2">
        <f t="shared" si="101"/>
        <v>492235</v>
      </c>
      <c r="J805" s="2">
        <f t="shared" si="101"/>
        <v>493636</v>
      </c>
      <c r="K805" s="2">
        <f t="shared" si="101"/>
        <v>495107</v>
      </c>
    </row>
    <row r="806" spans="2:11" ht="20.100000000000001" customHeight="1">
      <c r="B806" s="325" t="s">
        <v>653</v>
      </c>
      <c r="C806" s="2">
        <f t="shared" ref="C806:K806" si="102">C239</f>
        <v>53908</v>
      </c>
      <c r="D806" s="2">
        <f t="shared" si="102"/>
        <v>25167</v>
      </c>
      <c r="E806" s="2">
        <f t="shared" si="102"/>
        <v>50000</v>
      </c>
      <c r="F806" s="2">
        <f t="shared" si="102"/>
        <v>50000</v>
      </c>
      <c r="G806" s="2">
        <f t="shared" si="102"/>
        <v>50000</v>
      </c>
      <c r="H806" s="2">
        <f t="shared" si="102"/>
        <v>0</v>
      </c>
      <c r="I806" s="2">
        <f t="shared" si="102"/>
        <v>0</v>
      </c>
      <c r="J806" s="2">
        <f t="shared" si="102"/>
        <v>0</v>
      </c>
      <c r="K806" s="2">
        <f t="shared" si="102"/>
        <v>0</v>
      </c>
    </row>
    <row r="807" spans="2:11" ht="20.100000000000001" customHeight="1">
      <c r="B807" s="326" t="s">
        <v>593</v>
      </c>
      <c r="C807" s="2">
        <f t="shared" ref="C807:K807" si="103">C240</f>
        <v>2219</v>
      </c>
      <c r="D807" s="2">
        <f t="shared" si="103"/>
        <v>2219</v>
      </c>
      <c r="E807" s="2">
        <f t="shared" si="103"/>
        <v>2219</v>
      </c>
      <c r="F807" s="2">
        <f t="shared" si="103"/>
        <v>2280</v>
      </c>
      <c r="G807" s="2">
        <f t="shared" si="103"/>
        <v>2366</v>
      </c>
      <c r="H807" s="2">
        <f t="shared" si="103"/>
        <v>2366</v>
      </c>
      <c r="I807" s="2">
        <f t="shared" si="103"/>
        <v>2367</v>
      </c>
      <c r="J807" s="2">
        <f t="shared" si="103"/>
        <v>2366</v>
      </c>
      <c r="K807" s="2">
        <f t="shared" si="103"/>
        <v>2367</v>
      </c>
    </row>
    <row r="808" spans="2:11" ht="20.100000000000001" customHeight="1" thickBot="1">
      <c r="B808" s="123" t="s">
        <v>655</v>
      </c>
      <c r="C808" s="121">
        <f t="shared" ref="C808:K808" si="104">SUM(C802:C807)</f>
        <v>1900448</v>
      </c>
      <c r="D808" s="121">
        <f t="shared" si="104"/>
        <v>1998068</v>
      </c>
      <c r="E808" s="121">
        <f t="shared" si="104"/>
        <v>2280727</v>
      </c>
      <c r="F808" s="121">
        <f t="shared" si="104"/>
        <v>2270281</v>
      </c>
      <c r="G808" s="121">
        <f t="shared" si="104"/>
        <v>2400771</v>
      </c>
      <c r="H808" s="121">
        <f t="shared" si="104"/>
        <v>2392303</v>
      </c>
      <c r="I808" s="121">
        <f t="shared" si="104"/>
        <v>2454948</v>
      </c>
      <c r="J808" s="121">
        <f t="shared" si="104"/>
        <v>2532041</v>
      </c>
      <c r="K808" s="121">
        <f t="shared" si="104"/>
        <v>2601296</v>
      </c>
    </row>
    <row r="809" spans="2:11" ht="7.5" customHeight="1">
      <c r="B809" s="126"/>
      <c r="C809" s="3"/>
      <c r="D809" s="2"/>
      <c r="E809" s="2"/>
      <c r="F809" s="2"/>
      <c r="G809" s="2"/>
      <c r="H809" s="2"/>
      <c r="I809" s="2"/>
      <c r="J809" s="2"/>
      <c r="K809" s="2"/>
    </row>
    <row r="810" spans="2:11" ht="20.100000000000001" customHeight="1">
      <c r="B810" s="327" t="s">
        <v>656</v>
      </c>
      <c r="C810" s="3">
        <f t="shared" ref="C810:K810" si="105">+C799-C808</f>
        <v>213632</v>
      </c>
      <c r="D810" s="3">
        <f t="shared" si="105"/>
        <v>75789</v>
      </c>
      <c r="E810" s="3">
        <f t="shared" si="105"/>
        <v>-151563</v>
      </c>
      <c r="F810" s="3">
        <f t="shared" si="105"/>
        <v>-98910</v>
      </c>
      <c r="G810" s="3">
        <f t="shared" si="105"/>
        <v>-149933</v>
      </c>
      <c r="H810" s="3">
        <f t="shared" si="105"/>
        <v>8164</v>
      </c>
      <c r="I810" s="3">
        <f t="shared" si="105"/>
        <v>10879</v>
      </c>
      <c r="J810" s="3">
        <f t="shared" si="105"/>
        <v>13048</v>
      </c>
      <c r="K810" s="3">
        <f t="shared" si="105"/>
        <v>11871</v>
      </c>
    </row>
    <row r="811" spans="2:11" ht="7.5" customHeight="1">
      <c r="B811" s="127"/>
      <c r="C811" s="3"/>
      <c r="D811" s="2"/>
      <c r="E811" s="2"/>
      <c r="F811" s="2"/>
      <c r="G811" s="2"/>
      <c r="H811" s="2"/>
      <c r="I811" s="2"/>
      <c r="J811" s="2"/>
      <c r="K811" s="2"/>
    </row>
    <row r="812" spans="2:11" ht="20.100000000000001" customHeight="1" thickBot="1">
      <c r="B812" s="122" t="s">
        <v>657</v>
      </c>
      <c r="C812" s="79">
        <v>716282</v>
      </c>
      <c r="D812" s="79">
        <v>793168</v>
      </c>
      <c r="E812" s="79">
        <v>570312</v>
      </c>
      <c r="F812" s="79">
        <f>D812+F810</f>
        <v>694258</v>
      </c>
      <c r="G812" s="79">
        <f>F812+G810</f>
        <v>544325</v>
      </c>
      <c r="H812" s="79">
        <f>G812+H810</f>
        <v>552489</v>
      </c>
      <c r="I812" s="79">
        <f>H812+I810</f>
        <v>563368</v>
      </c>
      <c r="J812" s="79">
        <f>I812+J810</f>
        <v>576416</v>
      </c>
      <c r="K812" s="79">
        <f>J812+K810</f>
        <v>588287</v>
      </c>
    </row>
    <row r="813" spans="2:11" ht="14.4" thickTop="1">
      <c r="B813" s="128"/>
      <c r="C813" s="132">
        <f t="shared" ref="C813:K813" si="106">+C812/C808</f>
        <v>0.37690165687248478</v>
      </c>
      <c r="D813" s="132">
        <f t="shared" si="106"/>
        <v>0.396967470576577</v>
      </c>
      <c r="E813" s="132">
        <f t="shared" si="106"/>
        <v>0.25005710898323208</v>
      </c>
      <c r="F813" s="132">
        <f t="shared" si="106"/>
        <v>0.30580267376593467</v>
      </c>
      <c r="G813" s="132">
        <f t="shared" si="106"/>
        <v>0.22672924656287502</v>
      </c>
      <c r="H813" s="132">
        <f t="shared" si="106"/>
        <v>0.23094440796170052</v>
      </c>
      <c r="I813" s="132">
        <f t="shared" si="106"/>
        <v>0.22948266113986937</v>
      </c>
      <c r="J813" s="132">
        <f t="shared" si="106"/>
        <v>0.22764876240155668</v>
      </c>
      <c r="K813" s="132">
        <f t="shared" si="106"/>
        <v>0.22615150294314834</v>
      </c>
    </row>
    <row r="814" spans="2:11">
      <c r="B814" s="128"/>
      <c r="C814" s="132"/>
      <c r="D814" s="132"/>
      <c r="E814" s="132"/>
      <c r="F814" s="132"/>
      <c r="G814" s="132"/>
      <c r="H814" s="132"/>
      <c r="I814" s="132"/>
      <c r="J814" s="132"/>
      <c r="K814" s="132"/>
    </row>
    <row r="815" spans="2:11" ht="7.5" customHeight="1">
      <c r="B815" s="128"/>
      <c r="C815" s="2"/>
      <c r="D815" s="2"/>
      <c r="E815" s="2"/>
      <c r="F815" s="2"/>
      <c r="G815" s="2"/>
      <c r="H815" s="2"/>
      <c r="I815" s="2"/>
      <c r="J815" s="2"/>
      <c r="K815" s="2"/>
    </row>
    <row r="816" spans="2:11">
      <c r="B816" s="1"/>
      <c r="C816" s="2"/>
      <c r="D816" s="2"/>
      <c r="E816" s="2"/>
      <c r="F816" s="2"/>
      <c r="G816" s="2"/>
      <c r="H816" s="2"/>
      <c r="I816" s="2"/>
      <c r="J816" s="2"/>
      <c r="K816" s="2"/>
    </row>
    <row r="817" spans="2:11">
      <c r="B817" s="1"/>
      <c r="C817" s="2"/>
      <c r="D817" s="2"/>
      <c r="E817" s="2"/>
      <c r="F817" s="2"/>
      <c r="G817" s="2"/>
      <c r="H817" s="2"/>
      <c r="I817" s="2"/>
      <c r="J817" s="2"/>
      <c r="K817" s="2"/>
    </row>
    <row r="818" spans="2:11">
      <c r="B818" s="1"/>
      <c r="C818" s="2"/>
      <c r="D818" s="2"/>
      <c r="E818" s="2"/>
      <c r="F818" s="2"/>
      <c r="G818" s="2"/>
      <c r="H818" s="2"/>
      <c r="I818" s="2"/>
      <c r="J818" s="2"/>
      <c r="K818" s="2"/>
    </row>
    <row r="819" spans="2:11">
      <c r="B819" s="1"/>
      <c r="C819" s="2"/>
      <c r="D819" s="2"/>
      <c r="E819" s="2"/>
      <c r="F819" s="2"/>
      <c r="G819" s="2"/>
      <c r="H819" s="2"/>
      <c r="I819" s="2"/>
      <c r="J819" s="2"/>
      <c r="K819" s="2"/>
    </row>
    <row r="820" spans="2:11">
      <c r="B820" s="1"/>
      <c r="C820" s="2"/>
      <c r="D820" s="2"/>
      <c r="E820" s="2"/>
      <c r="F820" s="2"/>
      <c r="G820" s="2"/>
      <c r="H820" s="2"/>
      <c r="I820" s="2"/>
      <c r="J820" s="2"/>
      <c r="K820" s="2"/>
    </row>
    <row r="821" spans="2:11">
      <c r="B821" s="1"/>
      <c r="C821" s="2"/>
      <c r="D821" s="2"/>
      <c r="E821" s="2"/>
      <c r="F821" s="2"/>
      <c r="G821" s="2"/>
      <c r="H821" s="2"/>
      <c r="I821" s="2"/>
      <c r="J821" s="2"/>
      <c r="K821" s="2"/>
    </row>
    <row r="822" spans="2:11">
      <c r="B822" s="1"/>
      <c r="C822" s="2"/>
      <c r="D822" s="2"/>
      <c r="E822" s="2"/>
      <c r="F822" s="2"/>
      <c r="G822" s="2"/>
      <c r="H822" s="2"/>
      <c r="I822" s="2"/>
      <c r="J822" s="2"/>
      <c r="K822" s="2"/>
    </row>
    <row r="823" spans="2:11">
      <c r="B823" s="1"/>
      <c r="C823" s="2"/>
      <c r="D823" s="2"/>
      <c r="E823" s="2"/>
      <c r="F823" s="2"/>
      <c r="G823" s="2"/>
      <c r="H823" s="2"/>
      <c r="I823" s="2"/>
      <c r="J823" s="2"/>
      <c r="K823" s="2"/>
    </row>
    <row r="824" spans="2:11">
      <c r="B824" s="1"/>
      <c r="C824" s="2"/>
      <c r="D824" s="2"/>
      <c r="E824" s="2"/>
      <c r="F824" s="2"/>
      <c r="G824" s="2"/>
      <c r="H824" s="2"/>
      <c r="I824" s="2"/>
      <c r="J824" s="2"/>
      <c r="K824" s="2"/>
    </row>
    <row r="825" spans="2:11">
      <c r="B825" s="1"/>
      <c r="C825" s="2"/>
      <c r="D825" s="2"/>
      <c r="E825" s="2"/>
      <c r="F825" s="2"/>
      <c r="G825" s="2"/>
      <c r="H825" s="2"/>
      <c r="I825" s="2"/>
      <c r="J825" s="2"/>
      <c r="K825" s="2"/>
    </row>
    <row r="826" spans="2:11">
      <c r="B826" s="1"/>
      <c r="C826" s="2"/>
      <c r="D826" s="2"/>
      <c r="E826" s="2"/>
      <c r="F826" s="2"/>
      <c r="G826" s="2"/>
      <c r="H826" s="2"/>
      <c r="I826" s="2"/>
      <c r="J826" s="2"/>
      <c r="K826" s="2"/>
    </row>
  </sheetData>
  <mergeCells count="38">
    <mergeCell ref="B606:K606"/>
    <mergeCell ref="B400:K402"/>
    <mergeCell ref="B439:K439"/>
    <mergeCell ref="B608:K608"/>
    <mergeCell ref="B482:K482"/>
    <mergeCell ref="B484:K486"/>
    <mergeCell ref="B530:K530"/>
    <mergeCell ref="B532:K533"/>
    <mergeCell ref="B441:K444"/>
    <mergeCell ref="B570:K570"/>
    <mergeCell ref="B572:K573"/>
    <mergeCell ref="B398:K398"/>
    <mergeCell ref="B306:K307"/>
    <mergeCell ref="B350:K350"/>
    <mergeCell ref="B352:K353"/>
    <mergeCell ref="B155:K155"/>
    <mergeCell ref="B200:K200"/>
    <mergeCell ref="B117:K117"/>
    <mergeCell ref="B119:K120"/>
    <mergeCell ref="B304:K304"/>
    <mergeCell ref="B157:K158"/>
    <mergeCell ref="B268:K268"/>
    <mergeCell ref="B270:K271"/>
    <mergeCell ref="B202:K206"/>
    <mergeCell ref="B85:K86"/>
    <mergeCell ref="B1:K1"/>
    <mergeCell ref="B3:K4"/>
    <mergeCell ref="B47:K47"/>
    <mergeCell ref="B49:K50"/>
    <mergeCell ref="B83:K83"/>
    <mergeCell ref="B644:K644"/>
    <mergeCell ref="B646:K646"/>
    <mergeCell ref="B782:K782"/>
    <mergeCell ref="B784:K787"/>
    <mergeCell ref="B680:K680"/>
    <mergeCell ref="B732:K732"/>
    <mergeCell ref="B734:K736"/>
    <mergeCell ref="B682:K685"/>
  </mergeCells>
  <printOptions horizontalCentered="1"/>
  <pageMargins left="0" right="0" top="0.5" bottom="0" header="0" footer="0"/>
  <pageSetup scale="73" orientation="landscape" r:id="rId1"/>
  <rowBreaks count="18" manualBreakCount="18">
    <brk id="45" max="16383" man="1"/>
    <brk id="81" max="16383" man="1"/>
    <brk id="115" max="16383" man="1"/>
    <brk id="153" min="1" max="10" man="1"/>
    <brk id="198" max="16383" man="1"/>
    <brk id="266" max="16383" man="1"/>
    <brk id="303" min="1" max="10" man="1"/>
    <brk id="349" min="1" max="10" man="1"/>
    <brk id="396" min="1" max="10" man="1"/>
    <brk id="437" max="16383" man="1"/>
    <brk id="480" max="16383" man="1"/>
    <brk id="528" min="1" max="10" man="1"/>
    <brk id="568" max="16383" man="1"/>
    <brk id="604" max="16383" man="1"/>
    <brk id="642" min="1" max="10" man="1"/>
    <brk id="679" min="1" max="10" man="1"/>
    <brk id="731" min="1" max="10" man="1"/>
    <brk id="781" min="1" max="10" man="1"/>
  </rowBreaks>
  <colBreaks count="1" manualBreakCount="1">
    <brk id="1" max="100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U1424"/>
  <sheetViews>
    <sheetView tabSelected="1" showOutlineSymbols="0" zoomScale="75" zoomScaleNormal="75" zoomScaleSheetLayoutView="70" workbookViewId="0">
      <pane ySplit="5" topLeftCell="A6" activePane="bottomLeft" state="frozen"/>
      <selection activeCell="L64" sqref="L64"/>
      <selection pane="bottomLeft" activeCell="T918" sqref="T918"/>
    </sheetView>
  </sheetViews>
  <sheetFormatPr defaultColWidth="6.88671875" defaultRowHeight="12.75" customHeight="1"/>
  <cols>
    <col min="1" max="1" width="20" style="181" customWidth="1"/>
    <col min="2" max="3" width="1.33203125" style="181" customWidth="1"/>
    <col min="4" max="4" width="6" style="181" customWidth="1"/>
    <col min="5" max="5" width="1.44140625" style="181" customWidth="1"/>
    <col min="6" max="6" width="7.44140625" style="181" customWidth="1"/>
    <col min="7" max="7" width="2.5546875" style="181" customWidth="1"/>
    <col min="8" max="8" width="1.109375" style="181" customWidth="1"/>
    <col min="9" max="9" width="3" style="181" customWidth="1"/>
    <col min="10" max="10" width="4" style="181" customWidth="1"/>
    <col min="11" max="11" width="21" style="181" customWidth="1"/>
    <col min="12" max="13" width="18.6640625" style="181" customWidth="1"/>
    <col min="14" max="15" width="18.6640625" style="137" customWidth="1"/>
    <col min="16" max="20" width="18.6640625" style="181" customWidth="1"/>
    <col min="21" max="21" width="4" style="352" customWidth="1"/>
    <col min="22" max="16384" width="6.88671875" style="181"/>
  </cols>
  <sheetData>
    <row r="1" spans="1:21" ht="24" customHeight="1"/>
    <row r="2" spans="1:21" ht="24" customHeight="1"/>
    <row r="3" spans="1:21" ht="24" customHeight="1">
      <c r="S3" s="180"/>
      <c r="T3" s="180"/>
    </row>
    <row r="4" spans="1:21" ht="24" customHeight="1">
      <c r="A4" s="183"/>
      <c r="B4" s="183"/>
      <c r="C4" s="183"/>
      <c r="D4" s="183"/>
      <c r="E4" s="183"/>
      <c r="F4" s="183"/>
      <c r="G4" s="183"/>
      <c r="H4" s="183"/>
      <c r="I4" s="183"/>
      <c r="J4" s="183"/>
      <c r="K4" s="183"/>
      <c r="L4" s="184" t="s">
        <v>234</v>
      </c>
      <c r="M4" s="184" t="s">
        <v>790</v>
      </c>
      <c r="N4" s="185" t="s">
        <v>864</v>
      </c>
      <c r="O4" s="185" t="s">
        <v>864</v>
      </c>
      <c r="P4" s="184" t="s">
        <v>895</v>
      </c>
      <c r="Q4" s="184" t="s">
        <v>896</v>
      </c>
      <c r="R4" s="184" t="s">
        <v>897</v>
      </c>
      <c r="S4" s="184" t="s">
        <v>898</v>
      </c>
      <c r="T4" s="184" t="s">
        <v>899</v>
      </c>
    </row>
    <row r="5" spans="1:21" ht="24" customHeight="1">
      <c r="A5" s="186" t="s">
        <v>831</v>
      </c>
      <c r="B5" s="183"/>
      <c r="C5" s="183"/>
      <c r="D5" s="493" t="s">
        <v>0</v>
      </c>
      <c r="E5" s="493"/>
      <c r="F5" s="493"/>
      <c r="G5" s="183"/>
      <c r="H5" s="183"/>
      <c r="I5" s="183"/>
      <c r="J5" s="183"/>
      <c r="K5" s="183"/>
      <c r="L5" s="187" t="s">
        <v>1</v>
      </c>
      <c r="M5" s="187" t="s">
        <v>1</v>
      </c>
      <c r="N5" s="373" t="s">
        <v>637</v>
      </c>
      <c r="O5" s="188" t="s">
        <v>19</v>
      </c>
      <c r="P5" s="187" t="s">
        <v>637</v>
      </c>
      <c r="Q5" s="187" t="s">
        <v>19</v>
      </c>
      <c r="R5" s="187" t="s">
        <v>19</v>
      </c>
      <c r="S5" s="187" t="s">
        <v>19</v>
      </c>
      <c r="T5" s="187" t="s">
        <v>19</v>
      </c>
    </row>
    <row r="6" spans="1:21" ht="15" customHeight="1">
      <c r="A6" s="182"/>
      <c r="D6" s="182"/>
      <c r="E6" s="182"/>
      <c r="F6" s="182"/>
      <c r="L6" s="138"/>
      <c r="M6" s="138"/>
      <c r="N6" s="139"/>
      <c r="O6" s="139"/>
      <c r="P6" s="138"/>
      <c r="Q6" s="138"/>
      <c r="R6" s="138"/>
      <c r="S6" s="138"/>
      <c r="T6" s="138"/>
    </row>
    <row r="7" spans="1:21" ht="24" customHeight="1">
      <c r="A7" s="488" t="s">
        <v>466</v>
      </c>
      <c r="B7" s="488"/>
      <c r="C7" s="488"/>
      <c r="D7" s="488"/>
      <c r="E7" s="488"/>
      <c r="F7" s="488"/>
      <c r="G7" s="488"/>
      <c r="H7" s="488"/>
      <c r="I7" s="488"/>
      <c r="J7" s="488"/>
      <c r="K7" s="488"/>
      <c r="P7" s="361"/>
      <c r="Q7" s="177"/>
      <c r="R7" s="177"/>
      <c r="S7" s="177"/>
      <c r="T7" s="177"/>
    </row>
    <row r="8" spans="1:21" ht="15" customHeight="1">
      <c r="A8" s="246"/>
      <c r="B8" s="246"/>
      <c r="C8" s="246"/>
      <c r="D8" s="246"/>
      <c r="E8" s="246"/>
      <c r="F8" s="246"/>
      <c r="G8" s="246"/>
      <c r="H8" s="246"/>
      <c r="I8" s="246"/>
      <c r="J8" s="246"/>
      <c r="K8" s="246"/>
      <c r="P8" s="177"/>
      <c r="Q8" s="154"/>
      <c r="R8" s="154"/>
      <c r="S8" s="154"/>
      <c r="T8" s="154"/>
      <c r="U8" s="384"/>
    </row>
    <row r="9" spans="1:21" ht="24" customHeight="1">
      <c r="A9" s="183" t="s">
        <v>20</v>
      </c>
      <c r="B9" s="183"/>
      <c r="C9" s="183"/>
      <c r="D9" s="183" t="s">
        <v>181</v>
      </c>
      <c r="E9" s="183"/>
      <c r="F9" s="183"/>
      <c r="G9" s="183"/>
      <c r="H9" s="183"/>
      <c r="I9" s="183"/>
      <c r="J9" s="183"/>
      <c r="K9" s="183"/>
      <c r="L9" s="190">
        <v>2206925</v>
      </c>
      <c r="M9" s="190">
        <v>2129984</v>
      </c>
      <c r="N9" s="141">
        <v>2191279</v>
      </c>
      <c r="O9" s="141">
        <v>2191159</v>
      </c>
      <c r="P9" s="140">
        <v>2119323</v>
      </c>
      <c r="Q9" s="140">
        <v>2161709</v>
      </c>
      <c r="R9" s="140">
        <v>2204943</v>
      </c>
      <c r="S9" s="140">
        <v>2249042</v>
      </c>
      <c r="T9" s="140">
        <v>2294023</v>
      </c>
    </row>
    <row r="10" spans="1:21" ht="24" customHeight="1">
      <c r="A10" s="183" t="s">
        <v>183</v>
      </c>
      <c r="B10" s="183"/>
      <c r="C10" s="183"/>
      <c r="D10" s="183" t="s">
        <v>182</v>
      </c>
      <c r="E10" s="183"/>
      <c r="F10" s="183"/>
      <c r="G10" s="183"/>
      <c r="H10" s="183"/>
      <c r="I10" s="183"/>
      <c r="J10" s="183"/>
      <c r="K10" s="183"/>
      <c r="L10" s="192">
        <v>817490</v>
      </c>
      <c r="M10" s="192">
        <v>963908</v>
      </c>
      <c r="N10" s="144">
        <v>958544</v>
      </c>
      <c r="O10" s="141">
        <v>958476</v>
      </c>
      <c r="P10" s="143">
        <v>1105927</v>
      </c>
      <c r="Q10" s="143">
        <v>1155927</v>
      </c>
      <c r="R10" s="143">
        <v>1205927</v>
      </c>
      <c r="S10" s="143">
        <v>1255927</v>
      </c>
      <c r="T10" s="143">
        <v>1305927</v>
      </c>
    </row>
    <row r="11" spans="1:21" ht="24" customHeight="1">
      <c r="A11" s="247" t="s">
        <v>22</v>
      </c>
      <c r="B11" s="183"/>
      <c r="C11" s="183"/>
      <c r="D11" s="183" t="s">
        <v>21</v>
      </c>
      <c r="E11" s="183"/>
      <c r="F11" s="183"/>
      <c r="G11" s="183"/>
      <c r="H11" s="183"/>
      <c r="I11" s="183"/>
      <c r="J11" s="183"/>
      <c r="K11" s="183"/>
      <c r="L11" s="192">
        <v>2940976</v>
      </c>
      <c r="M11" s="192">
        <v>3002133</v>
      </c>
      <c r="N11" s="144">
        <v>3009475</v>
      </c>
      <c r="O11" s="144">
        <v>3090000</v>
      </c>
      <c r="P11" s="143">
        <v>3151800</v>
      </c>
      <c r="Q11" s="143">
        <v>3214836</v>
      </c>
      <c r="R11" s="143">
        <v>3279133</v>
      </c>
      <c r="S11" s="143">
        <v>3344716</v>
      </c>
      <c r="T11" s="143">
        <v>3411610</v>
      </c>
    </row>
    <row r="12" spans="1:21" ht="24" customHeight="1">
      <c r="A12" s="247" t="s">
        <v>237</v>
      </c>
      <c r="B12" s="183"/>
      <c r="C12" s="183"/>
      <c r="D12" s="442" t="s">
        <v>526</v>
      </c>
      <c r="E12" s="442"/>
      <c r="F12" s="442"/>
      <c r="G12" s="442"/>
      <c r="H12" s="442"/>
      <c r="I12" s="442"/>
      <c r="J12" s="442"/>
      <c r="K12" s="442"/>
      <c r="L12" s="192">
        <v>2259787</v>
      </c>
      <c r="M12" s="192">
        <v>2325623</v>
      </c>
      <c r="N12" s="144">
        <v>2339575</v>
      </c>
      <c r="O12" s="144">
        <v>2385000</v>
      </c>
      <c r="P12" s="143">
        <v>2432700</v>
      </c>
      <c r="Q12" s="143">
        <v>2481354</v>
      </c>
      <c r="R12" s="143">
        <v>2530981</v>
      </c>
      <c r="S12" s="143">
        <v>2581601</v>
      </c>
      <c r="T12" s="143">
        <v>2633233</v>
      </c>
    </row>
    <row r="13" spans="1:21" ht="24" customHeight="1">
      <c r="A13" s="247" t="s">
        <v>23</v>
      </c>
      <c r="B13" s="183"/>
      <c r="C13" s="183"/>
      <c r="D13" s="247" t="s">
        <v>2</v>
      </c>
      <c r="E13" s="248"/>
      <c r="F13" s="248"/>
      <c r="G13" s="248"/>
      <c r="H13" s="248"/>
      <c r="I13" s="248"/>
      <c r="J13" s="248"/>
      <c r="K13" s="248"/>
      <c r="L13" s="192">
        <v>710892</v>
      </c>
      <c r="M13" s="192">
        <v>702111</v>
      </c>
      <c r="N13" s="144">
        <v>695000</v>
      </c>
      <c r="O13" s="144">
        <v>720000</v>
      </c>
      <c r="P13" s="143">
        <v>710000</v>
      </c>
      <c r="Q13" s="143">
        <v>710000</v>
      </c>
      <c r="R13" s="143">
        <v>710000</v>
      </c>
      <c r="S13" s="143">
        <v>710000</v>
      </c>
      <c r="T13" s="143">
        <v>710000</v>
      </c>
    </row>
    <row r="14" spans="1:21" ht="24" customHeight="1">
      <c r="A14" s="247" t="s">
        <v>24</v>
      </c>
      <c r="B14" s="183"/>
      <c r="C14" s="183"/>
      <c r="D14" s="247" t="s">
        <v>36</v>
      </c>
      <c r="E14" s="183"/>
      <c r="F14" s="183"/>
      <c r="G14" s="183"/>
      <c r="H14" s="183"/>
      <c r="I14" s="183"/>
      <c r="J14" s="183"/>
      <c r="K14" s="183"/>
      <c r="L14" s="192">
        <v>241699</v>
      </c>
      <c r="M14" s="192">
        <v>251555</v>
      </c>
      <c r="N14" s="144">
        <v>240000</v>
      </c>
      <c r="O14" s="144">
        <v>260000</v>
      </c>
      <c r="P14" s="143">
        <v>250000</v>
      </c>
      <c r="Q14" s="143">
        <v>250000</v>
      </c>
      <c r="R14" s="143">
        <v>250000</v>
      </c>
      <c r="S14" s="143">
        <v>250000</v>
      </c>
      <c r="T14" s="143">
        <v>250000</v>
      </c>
    </row>
    <row r="15" spans="1:21" ht="24" customHeight="1">
      <c r="A15" s="247" t="s">
        <v>31</v>
      </c>
      <c r="B15" s="183"/>
      <c r="C15" s="183"/>
      <c r="D15" s="247" t="s">
        <v>798</v>
      </c>
      <c r="E15" s="183"/>
      <c r="F15" s="183"/>
      <c r="G15" s="183"/>
      <c r="H15" s="183"/>
      <c r="I15" s="183"/>
      <c r="J15" s="183"/>
      <c r="K15" s="183"/>
      <c r="L15" s="192">
        <v>359947</v>
      </c>
      <c r="M15" s="192">
        <v>334595</v>
      </c>
      <c r="N15" s="144">
        <v>325000</v>
      </c>
      <c r="O15" s="144">
        <v>325000</v>
      </c>
      <c r="P15" s="143">
        <v>313625</v>
      </c>
      <c r="Q15" s="143">
        <v>302648</v>
      </c>
      <c r="R15" s="143">
        <v>292055</v>
      </c>
      <c r="S15" s="143">
        <v>281833</v>
      </c>
      <c r="T15" s="143">
        <v>271969</v>
      </c>
    </row>
    <row r="16" spans="1:21" ht="24" customHeight="1">
      <c r="A16" s="247" t="s">
        <v>563</v>
      </c>
      <c r="B16" s="183"/>
      <c r="C16" s="183"/>
      <c r="D16" s="247" t="s">
        <v>35</v>
      </c>
      <c r="E16" s="183"/>
      <c r="F16" s="183"/>
      <c r="G16" s="183"/>
      <c r="H16" s="183"/>
      <c r="I16" s="183"/>
      <c r="J16" s="183"/>
      <c r="K16" s="183"/>
      <c r="L16" s="192">
        <v>8340</v>
      </c>
      <c r="M16" s="192">
        <v>8340</v>
      </c>
      <c r="N16" s="144">
        <v>8340</v>
      </c>
      <c r="O16" s="144">
        <v>8340</v>
      </c>
      <c r="P16" s="143">
        <v>8340</v>
      </c>
      <c r="Q16" s="143">
        <v>8340</v>
      </c>
      <c r="R16" s="143">
        <v>8340</v>
      </c>
      <c r="S16" s="143">
        <v>8340</v>
      </c>
      <c r="T16" s="143">
        <v>8340</v>
      </c>
    </row>
    <row r="17" spans="1:21" ht="24" customHeight="1">
      <c r="A17" s="247" t="s">
        <v>30</v>
      </c>
      <c r="B17" s="183"/>
      <c r="C17" s="183"/>
      <c r="D17" s="247" t="s">
        <v>4</v>
      </c>
      <c r="E17" s="183"/>
      <c r="F17" s="183"/>
      <c r="G17" s="183"/>
      <c r="H17" s="183"/>
      <c r="I17" s="183"/>
      <c r="J17" s="183"/>
      <c r="K17" s="183"/>
      <c r="L17" s="192">
        <v>294275</v>
      </c>
      <c r="M17" s="192">
        <v>290669</v>
      </c>
      <c r="N17" s="144">
        <v>290000</v>
      </c>
      <c r="O17" s="144">
        <v>290000</v>
      </c>
      <c r="P17" s="143">
        <v>290000</v>
      </c>
      <c r="Q17" s="143">
        <v>290000</v>
      </c>
      <c r="R17" s="143">
        <v>290000</v>
      </c>
      <c r="S17" s="143">
        <v>290000</v>
      </c>
      <c r="T17" s="143">
        <v>290000</v>
      </c>
    </row>
    <row r="18" spans="1:21" ht="24" customHeight="1">
      <c r="A18" s="247" t="s">
        <v>29</v>
      </c>
      <c r="B18" s="183"/>
      <c r="C18" s="183"/>
      <c r="D18" s="247" t="s">
        <v>3</v>
      </c>
      <c r="E18" s="183"/>
      <c r="F18" s="183"/>
      <c r="G18" s="183"/>
      <c r="H18" s="183"/>
      <c r="I18" s="183"/>
      <c r="J18" s="183"/>
      <c r="K18" s="183"/>
      <c r="L18" s="192">
        <v>72407</v>
      </c>
      <c r="M18" s="192">
        <v>79602</v>
      </c>
      <c r="N18" s="144">
        <v>80000</v>
      </c>
      <c r="O18" s="144">
        <v>80000</v>
      </c>
      <c r="P18" s="143">
        <v>80000</v>
      </c>
      <c r="Q18" s="143">
        <v>80000</v>
      </c>
      <c r="R18" s="143">
        <v>80000</v>
      </c>
      <c r="S18" s="143">
        <v>80000</v>
      </c>
      <c r="T18" s="143">
        <v>80000</v>
      </c>
      <c r="U18" s="143"/>
    </row>
    <row r="19" spans="1:21" ht="24" customHeight="1">
      <c r="A19" s="247" t="s">
        <v>1086</v>
      </c>
      <c r="B19" s="183"/>
      <c r="C19" s="183"/>
      <c r="D19" s="125" t="s">
        <v>927</v>
      </c>
      <c r="E19" s="183"/>
      <c r="F19" s="183"/>
      <c r="G19" s="183"/>
      <c r="H19" s="183"/>
      <c r="I19" s="183"/>
      <c r="J19" s="183"/>
      <c r="K19" s="183"/>
      <c r="L19" s="192">
        <v>100457</v>
      </c>
      <c r="M19" s="192">
        <v>119733</v>
      </c>
      <c r="N19" s="144">
        <v>110000</v>
      </c>
      <c r="O19" s="144">
        <v>140000</v>
      </c>
      <c r="P19" s="143">
        <v>140000</v>
      </c>
      <c r="Q19" s="143">
        <v>140000</v>
      </c>
      <c r="R19" s="143">
        <v>140000</v>
      </c>
      <c r="S19" s="143">
        <v>140000</v>
      </c>
      <c r="T19" s="143">
        <v>140000</v>
      </c>
    </row>
    <row r="20" spans="1:21" ht="24" customHeight="1">
      <c r="A20" s="247" t="s">
        <v>28</v>
      </c>
      <c r="B20" s="183"/>
      <c r="C20" s="183"/>
      <c r="D20" s="125" t="s">
        <v>34</v>
      </c>
      <c r="E20" s="183"/>
      <c r="F20" s="183"/>
      <c r="G20" s="183"/>
      <c r="H20" s="183"/>
      <c r="I20" s="183"/>
      <c r="J20" s="183"/>
      <c r="K20" s="183"/>
      <c r="L20" s="192">
        <v>200284</v>
      </c>
      <c r="M20" s="192">
        <v>199974</v>
      </c>
      <c r="N20" s="144">
        <v>200000</v>
      </c>
      <c r="O20" s="144">
        <v>210000</v>
      </c>
      <c r="P20" s="143">
        <v>205000</v>
      </c>
      <c r="Q20" s="143">
        <v>205000</v>
      </c>
      <c r="R20" s="143">
        <v>205000</v>
      </c>
      <c r="S20" s="143">
        <v>205000</v>
      </c>
      <c r="T20" s="143">
        <v>205000</v>
      </c>
    </row>
    <row r="21" spans="1:21" ht="24" customHeight="1">
      <c r="A21" s="247" t="s">
        <v>27</v>
      </c>
      <c r="B21" s="183"/>
      <c r="C21" s="183"/>
      <c r="D21" s="125" t="s">
        <v>33</v>
      </c>
      <c r="E21" s="183"/>
      <c r="F21" s="183"/>
      <c r="G21" s="183"/>
      <c r="H21" s="183"/>
      <c r="I21" s="183"/>
      <c r="J21" s="183"/>
      <c r="K21" s="183"/>
      <c r="L21" s="192">
        <v>122007</v>
      </c>
      <c r="M21" s="192">
        <v>130766</v>
      </c>
      <c r="N21" s="144">
        <v>120000</v>
      </c>
      <c r="O21" s="144">
        <v>148133</v>
      </c>
      <c r="P21" s="143">
        <v>140000</v>
      </c>
      <c r="Q21" s="143">
        <v>140000</v>
      </c>
      <c r="R21" s="143">
        <v>140000</v>
      </c>
      <c r="S21" s="143">
        <v>0</v>
      </c>
      <c r="T21" s="143">
        <v>0</v>
      </c>
    </row>
    <row r="22" spans="1:21" ht="24" customHeight="1">
      <c r="A22" s="247" t="s">
        <v>26</v>
      </c>
      <c r="B22" s="183"/>
      <c r="C22" s="183"/>
      <c r="D22" s="249" t="s">
        <v>1050</v>
      </c>
      <c r="E22" s="183"/>
      <c r="F22" s="183"/>
      <c r="G22" s="183"/>
      <c r="H22" s="183"/>
      <c r="I22" s="183"/>
      <c r="J22" s="183"/>
      <c r="K22" s="183"/>
      <c r="L22" s="192">
        <v>359093</v>
      </c>
      <c r="M22" s="192">
        <v>374631</v>
      </c>
      <c r="N22" s="144">
        <v>408000</v>
      </c>
      <c r="O22" s="144">
        <v>375000</v>
      </c>
      <c r="P22" s="143">
        <v>382500</v>
      </c>
      <c r="Q22" s="143">
        <v>390150</v>
      </c>
      <c r="R22" s="143">
        <v>397953</v>
      </c>
      <c r="S22" s="143">
        <v>405912</v>
      </c>
      <c r="T22" s="143">
        <v>414030</v>
      </c>
    </row>
    <row r="23" spans="1:21" ht="24" customHeight="1">
      <c r="A23" s="247" t="s">
        <v>1051</v>
      </c>
      <c r="B23" s="183"/>
      <c r="C23" s="183"/>
      <c r="D23" s="249" t="s">
        <v>1053</v>
      </c>
      <c r="E23" s="183"/>
      <c r="F23" s="183"/>
      <c r="G23" s="183"/>
      <c r="H23" s="183"/>
      <c r="I23" s="183"/>
      <c r="J23" s="183"/>
      <c r="K23" s="183"/>
      <c r="L23" s="192">
        <v>15992</v>
      </c>
      <c r="M23" s="192">
        <v>24663</v>
      </c>
      <c r="N23" s="144">
        <v>15000</v>
      </c>
      <c r="O23" s="144">
        <v>35000</v>
      </c>
      <c r="P23" s="143">
        <v>35000</v>
      </c>
      <c r="Q23" s="143">
        <v>35000</v>
      </c>
      <c r="R23" s="143">
        <v>35000</v>
      </c>
      <c r="S23" s="143">
        <v>35000</v>
      </c>
      <c r="T23" s="143">
        <v>35000</v>
      </c>
    </row>
    <row r="24" spans="1:21" ht="24" customHeight="1">
      <c r="A24" s="247" t="s">
        <v>1052</v>
      </c>
      <c r="B24" s="183"/>
      <c r="C24" s="183"/>
      <c r="D24" s="249" t="s">
        <v>1054</v>
      </c>
      <c r="E24" s="183"/>
      <c r="F24" s="183"/>
      <c r="G24" s="183"/>
      <c r="H24" s="183"/>
      <c r="I24" s="183"/>
      <c r="J24" s="183"/>
      <c r="K24" s="183"/>
      <c r="L24" s="192">
        <v>12071</v>
      </c>
      <c r="M24" s="192">
        <v>9865</v>
      </c>
      <c r="N24" s="144">
        <v>11000</v>
      </c>
      <c r="O24" s="144">
        <v>10000</v>
      </c>
      <c r="P24" s="143">
        <v>10000</v>
      </c>
      <c r="Q24" s="143">
        <v>10000</v>
      </c>
      <c r="R24" s="143">
        <v>10000</v>
      </c>
      <c r="S24" s="143">
        <v>10000</v>
      </c>
      <c r="T24" s="143">
        <v>10000</v>
      </c>
    </row>
    <row r="25" spans="1:21" ht="24" customHeight="1">
      <c r="A25" s="247" t="s">
        <v>25</v>
      </c>
      <c r="B25" s="183"/>
      <c r="C25" s="183"/>
      <c r="D25" s="247" t="s">
        <v>32</v>
      </c>
      <c r="E25" s="183"/>
      <c r="F25" s="183"/>
      <c r="G25" s="183"/>
      <c r="H25" s="183"/>
      <c r="I25" s="183"/>
      <c r="J25" s="183"/>
      <c r="K25" s="183"/>
      <c r="L25" s="192">
        <v>13822</v>
      </c>
      <c r="M25" s="192">
        <v>14541</v>
      </c>
      <c r="N25" s="144">
        <v>13000</v>
      </c>
      <c r="O25" s="144">
        <v>14500</v>
      </c>
      <c r="P25" s="143">
        <v>14500</v>
      </c>
      <c r="Q25" s="143">
        <v>14500</v>
      </c>
      <c r="R25" s="143">
        <v>14500</v>
      </c>
      <c r="S25" s="143">
        <v>14500</v>
      </c>
      <c r="T25" s="143">
        <v>14500</v>
      </c>
    </row>
    <row r="26" spans="1:21" ht="24" customHeight="1">
      <c r="A26" s="247" t="s">
        <v>42</v>
      </c>
      <c r="B26" s="183"/>
      <c r="C26" s="183"/>
      <c r="D26" s="125" t="s">
        <v>45</v>
      </c>
      <c r="E26" s="183"/>
      <c r="F26" s="183"/>
      <c r="G26" s="183"/>
      <c r="H26" s="183"/>
      <c r="I26" s="183"/>
      <c r="J26" s="183"/>
      <c r="K26" s="183"/>
      <c r="L26" s="192">
        <v>1602410</v>
      </c>
      <c r="M26" s="192">
        <v>1640291</v>
      </c>
      <c r="N26" s="144">
        <v>1822308</v>
      </c>
      <c r="O26" s="144">
        <v>1870000</v>
      </c>
      <c r="P26" s="143">
        <v>1916366</v>
      </c>
      <c r="Q26" s="143">
        <v>1954693</v>
      </c>
      <c r="R26" s="143">
        <v>1993787</v>
      </c>
      <c r="S26" s="143">
        <v>2033663</v>
      </c>
      <c r="T26" s="143">
        <v>2074336</v>
      </c>
    </row>
    <row r="27" spans="1:21" ht="24" customHeight="1">
      <c r="A27" s="247" t="s">
        <v>41</v>
      </c>
      <c r="B27" s="183"/>
      <c r="C27" s="183"/>
      <c r="D27" s="125" t="s">
        <v>206</v>
      </c>
      <c r="E27" s="183"/>
      <c r="F27" s="183"/>
      <c r="G27" s="183"/>
      <c r="H27" s="183"/>
      <c r="I27" s="183"/>
      <c r="J27" s="183"/>
      <c r="K27" s="183"/>
      <c r="L27" s="192">
        <v>417212</v>
      </c>
      <c r="M27" s="192">
        <v>474797</v>
      </c>
      <c r="N27" s="144">
        <v>500279</v>
      </c>
      <c r="O27" s="144">
        <v>555000</v>
      </c>
      <c r="P27" s="143">
        <v>602966</v>
      </c>
      <c r="Q27" s="143">
        <v>615025</v>
      </c>
      <c r="R27" s="143">
        <v>627326</v>
      </c>
      <c r="S27" s="143">
        <v>639873</v>
      </c>
      <c r="T27" s="143">
        <v>652670</v>
      </c>
    </row>
    <row r="28" spans="1:21" ht="24" customHeight="1">
      <c r="A28" s="247" t="s">
        <v>40</v>
      </c>
      <c r="B28" s="183"/>
      <c r="C28" s="183"/>
      <c r="D28" s="125" t="s">
        <v>180</v>
      </c>
      <c r="E28" s="183"/>
      <c r="F28" s="183"/>
      <c r="G28" s="183"/>
      <c r="H28" s="183"/>
      <c r="I28" s="183"/>
      <c r="J28" s="183"/>
      <c r="K28" s="183"/>
      <c r="L28" s="192">
        <v>145522</v>
      </c>
      <c r="M28" s="192">
        <v>131612</v>
      </c>
      <c r="N28" s="144">
        <v>135000</v>
      </c>
      <c r="O28" s="144">
        <v>128668</v>
      </c>
      <c r="P28" s="143">
        <v>130000</v>
      </c>
      <c r="Q28" s="143">
        <v>130000</v>
      </c>
      <c r="R28" s="143">
        <v>135000</v>
      </c>
      <c r="S28" s="143">
        <v>135000</v>
      </c>
      <c r="T28" s="143">
        <v>140000</v>
      </c>
    </row>
    <row r="29" spans="1:21" ht="24" customHeight="1">
      <c r="A29" s="247" t="s">
        <v>39</v>
      </c>
      <c r="B29" s="183"/>
      <c r="C29" s="183"/>
      <c r="D29" s="247" t="s">
        <v>44</v>
      </c>
      <c r="E29" s="183"/>
      <c r="F29" s="183"/>
      <c r="G29" s="183"/>
      <c r="H29" s="183"/>
      <c r="I29" s="183"/>
      <c r="J29" s="183"/>
      <c r="K29" s="183"/>
      <c r="L29" s="192">
        <v>17845</v>
      </c>
      <c r="M29" s="192">
        <v>14932</v>
      </c>
      <c r="N29" s="144">
        <v>17000</v>
      </c>
      <c r="O29" s="144">
        <v>17000</v>
      </c>
      <c r="P29" s="143">
        <v>17000</v>
      </c>
      <c r="Q29" s="143">
        <v>17000</v>
      </c>
      <c r="R29" s="143">
        <v>17000</v>
      </c>
      <c r="S29" s="143">
        <v>17000</v>
      </c>
      <c r="T29" s="143">
        <v>17000</v>
      </c>
    </row>
    <row r="30" spans="1:21" ht="24" customHeight="1">
      <c r="A30" s="247" t="s">
        <v>38</v>
      </c>
      <c r="B30" s="183"/>
      <c r="C30" s="183"/>
      <c r="D30" s="125" t="s">
        <v>5</v>
      </c>
      <c r="E30" s="183"/>
      <c r="F30" s="183"/>
      <c r="G30" s="183"/>
      <c r="H30" s="183"/>
      <c r="I30" s="183"/>
      <c r="J30" s="183"/>
      <c r="K30" s="183"/>
      <c r="L30" s="192">
        <v>16810</v>
      </c>
      <c r="M30" s="192">
        <v>11716</v>
      </c>
      <c r="N30" s="144">
        <v>16000</v>
      </c>
      <c r="O30" s="144">
        <v>16000</v>
      </c>
      <c r="P30" s="143">
        <v>15000</v>
      </c>
      <c r="Q30" s="143">
        <v>15000</v>
      </c>
      <c r="R30" s="143">
        <v>15000</v>
      </c>
      <c r="S30" s="143">
        <v>15000</v>
      </c>
      <c r="T30" s="143">
        <v>15000</v>
      </c>
    </row>
    <row r="31" spans="1:21" ht="24" customHeight="1">
      <c r="A31" s="247" t="s">
        <v>961</v>
      </c>
      <c r="B31" s="183"/>
      <c r="C31" s="183"/>
      <c r="D31" s="494" t="s">
        <v>1014</v>
      </c>
      <c r="E31" s="494"/>
      <c r="F31" s="494"/>
      <c r="G31" s="494"/>
      <c r="H31" s="494"/>
      <c r="I31" s="494"/>
      <c r="J31" s="494"/>
      <c r="K31" s="494"/>
      <c r="L31" s="192">
        <v>31606</v>
      </c>
      <c r="M31" s="192">
        <v>22201</v>
      </c>
      <c r="N31" s="144">
        <v>21000</v>
      </c>
      <c r="O31" s="144">
        <v>18695</v>
      </c>
      <c r="P31" s="143">
        <v>21000</v>
      </c>
      <c r="Q31" s="143">
        <v>21000</v>
      </c>
      <c r="R31" s="143">
        <v>21000</v>
      </c>
      <c r="S31" s="143">
        <v>21000</v>
      </c>
      <c r="T31" s="143">
        <v>21000</v>
      </c>
    </row>
    <row r="32" spans="1:21" ht="24" customHeight="1">
      <c r="A32" s="247" t="s">
        <v>37</v>
      </c>
      <c r="B32" s="183"/>
      <c r="C32" s="183"/>
      <c r="D32" s="125" t="s">
        <v>43</v>
      </c>
      <c r="E32" s="183"/>
      <c r="F32" s="183"/>
      <c r="G32" s="183"/>
      <c r="H32" s="183"/>
      <c r="I32" s="183"/>
      <c r="J32" s="183"/>
      <c r="K32" s="183"/>
      <c r="L32" s="192">
        <v>3000</v>
      </c>
      <c r="M32" s="192">
        <v>0</v>
      </c>
      <c r="N32" s="144">
        <v>0</v>
      </c>
      <c r="O32" s="144">
        <v>2413</v>
      </c>
      <c r="P32" s="143">
        <v>0</v>
      </c>
      <c r="Q32" s="143">
        <v>0</v>
      </c>
      <c r="R32" s="143">
        <v>0</v>
      </c>
      <c r="S32" s="143">
        <v>0</v>
      </c>
      <c r="T32" s="143">
        <v>0</v>
      </c>
    </row>
    <row r="33" spans="1:21" ht="24" customHeight="1">
      <c r="A33" s="247" t="s">
        <v>208</v>
      </c>
      <c r="B33" s="183"/>
      <c r="C33" s="183"/>
      <c r="D33" s="125" t="s">
        <v>209</v>
      </c>
      <c r="E33" s="183"/>
      <c r="F33" s="183"/>
      <c r="G33" s="183"/>
      <c r="H33" s="183"/>
      <c r="I33" s="183"/>
      <c r="J33" s="183"/>
      <c r="K33" s="183"/>
      <c r="L33" s="194">
        <v>990</v>
      </c>
      <c r="M33" s="194">
        <v>886</v>
      </c>
      <c r="N33" s="147">
        <v>900</v>
      </c>
      <c r="O33" s="147">
        <v>883</v>
      </c>
      <c r="P33" s="146">
        <v>900</v>
      </c>
      <c r="Q33" s="146">
        <v>900</v>
      </c>
      <c r="R33" s="146">
        <v>900</v>
      </c>
      <c r="S33" s="146">
        <v>900</v>
      </c>
      <c r="T33" s="146">
        <v>900</v>
      </c>
    </row>
    <row r="34" spans="1:21" ht="24" customHeight="1">
      <c r="A34" s="247" t="s">
        <v>48</v>
      </c>
      <c r="B34" s="183"/>
      <c r="C34" s="183"/>
      <c r="D34" s="247" t="s">
        <v>1035</v>
      </c>
      <c r="E34" s="183"/>
      <c r="F34" s="183"/>
      <c r="G34" s="183"/>
      <c r="H34" s="183"/>
      <c r="I34" s="183"/>
      <c r="J34" s="183"/>
      <c r="K34" s="183"/>
      <c r="L34" s="192">
        <v>52852</v>
      </c>
      <c r="M34" s="192">
        <v>56465</v>
      </c>
      <c r="N34" s="144">
        <v>56000</v>
      </c>
      <c r="O34" s="144">
        <v>56000</v>
      </c>
      <c r="P34" s="143">
        <v>56000</v>
      </c>
      <c r="Q34" s="143">
        <v>56000</v>
      </c>
      <c r="R34" s="143">
        <v>56000</v>
      </c>
      <c r="S34" s="143">
        <v>56000</v>
      </c>
      <c r="T34" s="143">
        <v>56000</v>
      </c>
    </row>
    <row r="35" spans="1:21" ht="24" customHeight="1">
      <c r="A35" s="247" t="s">
        <v>47</v>
      </c>
      <c r="B35" s="183"/>
      <c r="C35" s="183"/>
      <c r="D35" s="247" t="s">
        <v>558</v>
      </c>
      <c r="E35" s="183"/>
      <c r="F35" s="183"/>
      <c r="G35" s="183"/>
      <c r="H35" s="183"/>
      <c r="I35" s="183"/>
      <c r="J35" s="183"/>
      <c r="K35" s="183"/>
      <c r="L35" s="192">
        <v>6795</v>
      </c>
      <c r="M35" s="192">
        <v>9472</v>
      </c>
      <c r="N35" s="144">
        <v>5000</v>
      </c>
      <c r="O35" s="144">
        <v>7500</v>
      </c>
      <c r="P35" s="143">
        <v>7500</v>
      </c>
      <c r="Q35" s="143">
        <v>7500</v>
      </c>
      <c r="R35" s="143">
        <v>7500</v>
      </c>
      <c r="S35" s="143">
        <v>7500</v>
      </c>
      <c r="T35" s="143">
        <v>7500</v>
      </c>
    </row>
    <row r="36" spans="1:21" ht="24" customHeight="1">
      <c r="A36" s="247" t="s">
        <v>46</v>
      </c>
      <c r="B36" s="183"/>
      <c r="C36" s="183"/>
      <c r="D36" s="247" t="s">
        <v>50</v>
      </c>
      <c r="E36" s="183"/>
      <c r="F36" s="183"/>
      <c r="G36" s="183"/>
      <c r="H36" s="183"/>
      <c r="I36" s="183"/>
      <c r="J36" s="183"/>
      <c r="K36" s="183"/>
      <c r="L36" s="192">
        <v>256215</v>
      </c>
      <c r="M36" s="192">
        <v>298562</v>
      </c>
      <c r="N36" s="144">
        <v>275000</v>
      </c>
      <c r="O36" s="144">
        <v>476000</v>
      </c>
      <c r="P36" s="143">
        <v>350000</v>
      </c>
      <c r="Q36" s="143">
        <v>325000</v>
      </c>
      <c r="R36" s="143">
        <v>325000</v>
      </c>
      <c r="S36" s="143">
        <v>325000</v>
      </c>
      <c r="T36" s="143">
        <v>325000</v>
      </c>
    </row>
    <row r="37" spans="1:21" ht="24" customHeight="1">
      <c r="A37" s="247" t="s">
        <v>53</v>
      </c>
      <c r="B37" s="248"/>
      <c r="C37" s="248"/>
      <c r="D37" s="247" t="s">
        <v>791</v>
      </c>
      <c r="E37" s="248"/>
      <c r="F37" s="248"/>
      <c r="G37" s="248"/>
      <c r="H37" s="248"/>
      <c r="I37" s="248"/>
      <c r="J37" s="248"/>
      <c r="K37" s="248"/>
      <c r="L37" s="192">
        <v>41512</v>
      </c>
      <c r="M37" s="192">
        <v>44597</v>
      </c>
      <c r="N37" s="144">
        <v>45000</v>
      </c>
      <c r="O37" s="144">
        <v>45000</v>
      </c>
      <c r="P37" s="143">
        <v>45000</v>
      </c>
      <c r="Q37" s="143">
        <v>45000</v>
      </c>
      <c r="R37" s="143">
        <v>45000</v>
      </c>
      <c r="S37" s="143">
        <v>45000</v>
      </c>
      <c r="T37" s="143">
        <v>45000</v>
      </c>
    </row>
    <row r="38" spans="1:21" ht="24" customHeight="1">
      <c r="A38" s="247" t="s">
        <v>52</v>
      </c>
      <c r="B38" s="183"/>
      <c r="C38" s="183"/>
      <c r="D38" s="247" t="s">
        <v>211</v>
      </c>
      <c r="E38" s="183"/>
      <c r="F38" s="183"/>
      <c r="G38" s="183"/>
      <c r="H38" s="183"/>
      <c r="I38" s="183"/>
      <c r="J38" s="183"/>
      <c r="K38" s="183"/>
      <c r="L38" s="192">
        <v>33512</v>
      </c>
      <c r="M38" s="192">
        <v>27250</v>
      </c>
      <c r="N38" s="144">
        <v>30000</v>
      </c>
      <c r="O38" s="144">
        <v>27000</v>
      </c>
      <c r="P38" s="143">
        <v>30000</v>
      </c>
      <c r="Q38" s="143">
        <v>30000</v>
      </c>
      <c r="R38" s="143">
        <v>30000</v>
      </c>
      <c r="S38" s="143">
        <v>30000</v>
      </c>
      <c r="T38" s="143">
        <v>30000</v>
      </c>
      <c r="U38" s="283"/>
    </row>
    <row r="39" spans="1:21" ht="24" customHeight="1">
      <c r="A39" s="247" t="s">
        <v>877</v>
      </c>
      <c r="B39" s="183"/>
      <c r="C39" s="183"/>
      <c r="D39" s="247" t="s">
        <v>623</v>
      </c>
      <c r="E39" s="183"/>
      <c r="F39" s="183"/>
      <c r="G39" s="183"/>
      <c r="H39" s="183"/>
      <c r="I39" s="183"/>
      <c r="J39" s="183"/>
      <c r="K39" s="183"/>
      <c r="L39" s="196">
        <v>420</v>
      </c>
      <c r="M39" s="196">
        <v>695</v>
      </c>
      <c r="N39" s="150">
        <v>400</v>
      </c>
      <c r="O39" s="150">
        <v>400</v>
      </c>
      <c r="P39" s="149">
        <v>400</v>
      </c>
      <c r="Q39" s="149">
        <v>400</v>
      </c>
      <c r="R39" s="149">
        <v>400</v>
      </c>
      <c r="S39" s="149">
        <v>400</v>
      </c>
      <c r="T39" s="149">
        <v>400</v>
      </c>
      <c r="U39" s="283"/>
    </row>
    <row r="40" spans="1:21" ht="24" customHeight="1">
      <c r="A40" s="247" t="s">
        <v>51</v>
      </c>
      <c r="B40" s="248"/>
      <c r="C40" s="248"/>
      <c r="D40" s="247" t="s">
        <v>54</v>
      </c>
      <c r="E40" s="248"/>
      <c r="F40" s="248"/>
      <c r="G40" s="248"/>
      <c r="H40" s="248"/>
      <c r="I40" s="248"/>
      <c r="J40" s="248"/>
      <c r="K40" s="248"/>
      <c r="L40" s="192">
        <v>64806</v>
      </c>
      <c r="M40" s="192">
        <v>51075</v>
      </c>
      <c r="N40" s="144">
        <v>55000</v>
      </c>
      <c r="O40" s="144">
        <v>45000</v>
      </c>
      <c r="P40" s="143">
        <v>50000</v>
      </c>
      <c r="Q40" s="143">
        <v>50000</v>
      </c>
      <c r="R40" s="143">
        <v>50000</v>
      </c>
      <c r="S40" s="143">
        <v>50000</v>
      </c>
      <c r="T40" s="143">
        <v>50000</v>
      </c>
      <c r="U40" s="283"/>
    </row>
    <row r="41" spans="1:21" ht="24" customHeight="1">
      <c r="A41" s="247" t="s">
        <v>56</v>
      </c>
      <c r="B41" s="248"/>
      <c r="C41" s="248"/>
      <c r="D41" s="419" t="s">
        <v>57</v>
      </c>
      <c r="E41" s="418"/>
      <c r="F41" s="418"/>
      <c r="G41" s="418"/>
      <c r="H41" s="418"/>
      <c r="I41" s="418"/>
      <c r="J41" s="418"/>
      <c r="K41" s="418"/>
      <c r="L41" s="192">
        <v>1284044</v>
      </c>
      <c r="M41" s="192">
        <v>1135035</v>
      </c>
      <c r="N41" s="144">
        <v>1157225</v>
      </c>
      <c r="O41" s="144">
        <v>1195000</v>
      </c>
      <c r="P41" s="143">
        <v>1224875</v>
      </c>
      <c r="Q41" s="143">
        <v>1255497</v>
      </c>
      <c r="R41" s="143">
        <v>1286884</v>
      </c>
      <c r="S41" s="143">
        <v>1325491</v>
      </c>
      <c r="T41" s="143">
        <v>1365256</v>
      </c>
      <c r="U41" s="283"/>
    </row>
    <row r="42" spans="1:21" ht="24" customHeight="1">
      <c r="A42" s="247" t="s">
        <v>55</v>
      </c>
      <c r="B42" s="183"/>
      <c r="C42" s="183"/>
      <c r="D42" s="247" t="s">
        <v>1199</v>
      </c>
      <c r="E42" s="183"/>
      <c r="F42" s="183"/>
      <c r="G42" s="183"/>
      <c r="H42" s="183"/>
      <c r="I42" s="183"/>
      <c r="J42" s="183"/>
      <c r="K42" s="183"/>
      <c r="L42" s="192">
        <v>158062</v>
      </c>
      <c r="M42" s="192">
        <v>163782</v>
      </c>
      <c r="N42" s="144">
        <v>160000</v>
      </c>
      <c r="O42" s="144">
        <v>175000</v>
      </c>
      <c r="P42" s="143">
        <v>165000</v>
      </c>
      <c r="Q42" s="143">
        <v>165000</v>
      </c>
      <c r="R42" s="143">
        <v>165000</v>
      </c>
      <c r="S42" s="143">
        <v>165000</v>
      </c>
      <c r="T42" s="143">
        <v>165000</v>
      </c>
      <c r="U42" s="283"/>
    </row>
    <row r="43" spans="1:21" ht="24" customHeight="1">
      <c r="A43" s="247" t="s">
        <v>875</v>
      </c>
      <c r="B43" s="248"/>
      <c r="C43" s="248"/>
      <c r="D43" s="247" t="s">
        <v>843</v>
      </c>
      <c r="E43" s="248"/>
      <c r="F43" s="248"/>
      <c r="G43" s="248"/>
      <c r="H43" s="248"/>
      <c r="I43" s="248"/>
      <c r="J43" s="248"/>
      <c r="K43" s="248"/>
      <c r="L43" s="192">
        <v>22772</v>
      </c>
      <c r="M43" s="192">
        <v>21213</v>
      </c>
      <c r="N43" s="144">
        <v>23000</v>
      </c>
      <c r="O43" s="144">
        <v>21000</v>
      </c>
      <c r="P43" s="143">
        <v>21000</v>
      </c>
      <c r="Q43" s="143">
        <v>21000</v>
      </c>
      <c r="R43" s="143">
        <v>21000</v>
      </c>
      <c r="S43" s="143">
        <v>21000</v>
      </c>
      <c r="T43" s="143">
        <v>21000</v>
      </c>
    </row>
    <row r="44" spans="1:21" ht="24" customHeight="1">
      <c r="A44" s="247" t="s">
        <v>1189</v>
      </c>
      <c r="B44" s="248"/>
      <c r="C44" s="248"/>
      <c r="D44" s="1" t="s">
        <v>1187</v>
      </c>
      <c r="E44" s="248"/>
      <c r="F44" s="248"/>
      <c r="G44" s="248"/>
      <c r="H44" s="248"/>
      <c r="I44" s="248"/>
      <c r="J44" s="248"/>
      <c r="K44" s="248"/>
      <c r="L44" s="193">
        <f>L553+L660+L955+L980</f>
        <v>0</v>
      </c>
      <c r="M44" s="193">
        <v>188064</v>
      </c>
      <c r="N44" s="195">
        <v>194387</v>
      </c>
      <c r="O44" s="195">
        <v>194387</v>
      </c>
      <c r="P44" s="193">
        <v>204836</v>
      </c>
      <c r="Q44" s="193">
        <v>210981</v>
      </c>
      <c r="R44" s="193">
        <v>217310</v>
      </c>
      <c r="S44" s="193">
        <v>223829</v>
      </c>
      <c r="T44" s="193">
        <v>230544</v>
      </c>
      <c r="U44" s="283"/>
    </row>
    <row r="45" spans="1:21" ht="24" customHeight="1">
      <c r="A45" s="247" t="s">
        <v>225</v>
      </c>
      <c r="B45" s="183"/>
      <c r="C45" s="183"/>
      <c r="D45" s="247" t="s">
        <v>226</v>
      </c>
      <c r="E45" s="183"/>
      <c r="F45" s="183"/>
      <c r="G45" s="183"/>
      <c r="H45" s="183"/>
      <c r="I45" s="183"/>
      <c r="J45" s="183"/>
      <c r="K45" s="183"/>
      <c r="L45" s="196">
        <v>800</v>
      </c>
      <c r="M45" s="196">
        <v>900</v>
      </c>
      <c r="N45" s="150">
        <v>500</v>
      </c>
      <c r="O45" s="150">
        <v>500</v>
      </c>
      <c r="P45" s="149">
        <v>500</v>
      </c>
      <c r="Q45" s="149">
        <v>500</v>
      </c>
      <c r="R45" s="149">
        <v>500</v>
      </c>
      <c r="S45" s="149">
        <v>500</v>
      </c>
      <c r="T45" s="149">
        <v>500</v>
      </c>
    </row>
    <row r="46" spans="1:21" ht="24" customHeight="1">
      <c r="A46" s="247" t="s">
        <v>58</v>
      </c>
      <c r="B46" s="248"/>
      <c r="C46" s="248"/>
      <c r="D46" s="489" t="s">
        <v>6</v>
      </c>
      <c r="E46" s="489"/>
      <c r="F46" s="489"/>
      <c r="G46" s="489"/>
      <c r="H46" s="489"/>
      <c r="I46" s="489"/>
      <c r="J46" s="489"/>
      <c r="K46" s="489"/>
      <c r="L46" s="192">
        <v>21197</v>
      </c>
      <c r="M46" s="192">
        <v>40479</v>
      </c>
      <c r="N46" s="144">
        <v>20000</v>
      </c>
      <c r="O46" s="144">
        <v>80000</v>
      </c>
      <c r="P46" s="143">
        <v>80000</v>
      </c>
      <c r="Q46" s="143">
        <v>76495</v>
      </c>
      <c r="R46" s="143">
        <v>64555</v>
      </c>
      <c r="S46" s="143">
        <v>51021</v>
      </c>
      <c r="T46" s="143">
        <v>29359</v>
      </c>
      <c r="U46" s="350"/>
    </row>
    <row r="47" spans="1:21" ht="24" customHeight="1">
      <c r="A47" s="247" t="s">
        <v>1307</v>
      </c>
      <c r="B47" s="248"/>
      <c r="C47" s="248"/>
      <c r="D47" s="248" t="s">
        <v>1308</v>
      </c>
      <c r="E47" s="248"/>
      <c r="F47" s="248"/>
      <c r="G47" s="248"/>
      <c r="H47" s="248"/>
      <c r="I47" s="248"/>
      <c r="J47" s="248"/>
      <c r="K47" s="248"/>
      <c r="L47" s="193">
        <v>0</v>
      </c>
      <c r="M47" s="193">
        <v>8539</v>
      </c>
      <c r="N47" s="148">
        <v>0</v>
      </c>
      <c r="O47" s="148">
        <v>0</v>
      </c>
      <c r="P47" s="145">
        <v>0</v>
      </c>
      <c r="Q47" s="145">
        <v>0</v>
      </c>
      <c r="R47" s="145">
        <v>0</v>
      </c>
      <c r="S47" s="145">
        <v>0</v>
      </c>
      <c r="T47" s="145">
        <v>0</v>
      </c>
    </row>
    <row r="48" spans="1:21" ht="24" customHeight="1">
      <c r="A48" s="247" t="s">
        <v>599</v>
      </c>
      <c r="B48" s="248"/>
      <c r="C48" s="248"/>
      <c r="D48" s="247" t="s">
        <v>600</v>
      </c>
      <c r="E48" s="248"/>
      <c r="F48" s="248"/>
      <c r="G48" s="248"/>
      <c r="H48" s="248"/>
      <c r="I48" s="248"/>
      <c r="J48" s="248"/>
      <c r="K48" s="248"/>
      <c r="L48" s="196">
        <v>6684</v>
      </c>
      <c r="M48" s="196">
        <v>1154</v>
      </c>
      <c r="N48" s="150">
        <v>25000</v>
      </c>
      <c r="O48" s="150">
        <v>1000</v>
      </c>
      <c r="P48" s="149">
        <v>25000</v>
      </c>
      <c r="Q48" s="149">
        <v>25000</v>
      </c>
      <c r="R48" s="149">
        <v>25000</v>
      </c>
      <c r="S48" s="149">
        <v>25000</v>
      </c>
      <c r="T48" s="149">
        <v>25000</v>
      </c>
    </row>
    <row r="49" spans="1:21" ht="24" customHeight="1">
      <c r="A49" s="247" t="s">
        <v>60</v>
      </c>
      <c r="B49" s="183"/>
      <c r="C49" s="183"/>
      <c r="D49" s="247" t="s">
        <v>212</v>
      </c>
      <c r="E49" s="183"/>
      <c r="F49" s="183"/>
      <c r="G49" s="183"/>
      <c r="H49" s="183"/>
      <c r="I49" s="183"/>
      <c r="J49" s="183"/>
      <c r="K49" s="183"/>
      <c r="L49" s="196">
        <v>9213</v>
      </c>
      <c r="M49" s="196">
        <v>11582</v>
      </c>
      <c r="N49" s="150">
        <v>5000</v>
      </c>
      <c r="O49" s="150">
        <v>3000</v>
      </c>
      <c r="P49" s="149">
        <v>10000</v>
      </c>
      <c r="Q49" s="149">
        <v>10000</v>
      </c>
      <c r="R49" s="149">
        <v>10000</v>
      </c>
      <c r="S49" s="149">
        <v>10000</v>
      </c>
      <c r="T49" s="149">
        <v>10000</v>
      </c>
    </row>
    <row r="50" spans="1:21" ht="24" customHeight="1">
      <c r="A50" s="247" t="s">
        <v>202</v>
      </c>
      <c r="B50" s="183"/>
      <c r="C50" s="183"/>
      <c r="D50" s="247" t="s">
        <v>203</v>
      </c>
      <c r="E50" s="183"/>
      <c r="F50" s="183"/>
      <c r="G50" s="183"/>
      <c r="H50" s="183"/>
      <c r="I50" s="183"/>
      <c r="J50" s="183"/>
      <c r="K50" s="183"/>
      <c r="L50" s="196">
        <v>33163</v>
      </c>
      <c r="M50" s="196">
        <v>35217</v>
      </c>
      <c r="N50" s="150">
        <v>20000</v>
      </c>
      <c r="O50" s="150">
        <v>35000</v>
      </c>
      <c r="P50" s="149">
        <v>35000</v>
      </c>
      <c r="Q50" s="149">
        <v>35000</v>
      </c>
      <c r="R50" s="149">
        <v>35000</v>
      </c>
      <c r="S50" s="149">
        <v>35000</v>
      </c>
      <c r="T50" s="149">
        <v>35000</v>
      </c>
    </row>
    <row r="51" spans="1:21" ht="24" customHeight="1">
      <c r="A51" s="247" t="s">
        <v>59</v>
      </c>
      <c r="B51" s="248"/>
      <c r="C51" s="248"/>
      <c r="D51" s="247" t="s">
        <v>61</v>
      </c>
      <c r="E51" s="248"/>
      <c r="F51" s="248"/>
      <c r="G51" s="248"/>
      <c r="H51" s="248"/>
      <c r="I51" s="248"/>
      <c r="J51" s="248"/>
      <c r="K51" s="248"/>
      <c r="L51" s="196">
        <v>17389</v>
      </c>
      <c r="M51" s="196">
        <v>37626</v>
      </c>
      <c r="N51" s="150">
        <v>5000</v>
      </c>
      <c r="O51" s="150">
        <v>15000</v>
      </c>
      <c r="P51" s="149">
        <v>5000</v>
      </c>
      <c r="Q51" s="149">
        <v>5000</v>
      </c>
      <c r="R51" s="149">
        <v>5000</v>
      </c>
      <c r="S51" s="149">
        <v>5000</v>
      </c>
      <c r="T51" s="149">
        <v>5000</v>
      </c>
    </row>
    <row r="52" spans="1:21" ht="24" customHeight="1">
      <c r="A52" s="247" t="s">
        <v>213</v>
      </c>
      <c r="B52" s="250"/>
      <c r="C52" s="250"/>
      <c r="D52" s="248" t="s">
        <v>214</v>
      </c>
      <c r="E52" s="250"/>
      <c r="F52" s="250"/>
      <c r="G52" s="250"/>
      <c r="H52" s="250"/>
      <c r="I52" s="250"/>
      <c r="J52" s="250"/>
      <c r="K52" s="250"/>
      <c r="L52" s="196">
        <v>7285</v>
      </c>
      <c r="M52" s="196">
        <v>7100</v>
      </c>
      <c r="N52" s="150">
        <v>6750</v>
      </c>
      <c r="O52" s="150">
        <v>7000</v>
      </c>
      <c r="P52" s="149">
        <v>7000</v>
      </c>
      <c r="Q52" s="149">
        <v>7000</v>
      </c>
      <c r="R52" s="149">
        <v>7000</v>
      </c>
      <c r="S52" s="149">
        <v>7000</v>
      </c>
      <c r="T52" s="149">
        <v>7000</v>
      </c>
    </row>
    <row r="53" spans="1:21" ht="24" customHeight="1">
      <c r="A53" s="247" t="s">
        <v>62</v>
      </c>
      <c r="B53" s="183"/>
      <c r="C53" s="183"/>
      <c r="D53" s="247" t="s">
        <v>7</v>
      </c>
      <c r="E53" s="183"/>
      <c r="F53" s="183"/>
      <c r="G53" s="183"/>
      <c r="H53" s="183"/>
      <c r="I53" s="183"/>
      <c r="J53" s="183"/>
      <c r="K53" s="183"/>
      <c r="L53" s="192">
        <v>12563</v>
      </c>
      <c r="M53" s="192">
        <v>12143</v>
      </c>
      <c r="N53" s="144">
        <v>15000</v>
      </c>
      <c r="O53" s="144">
        <v>18250</v>
      </c>
      <c r="P53" s="143">
        <v>13000</v>
      </c>
      <c r="Q53" s="143">
        <v>13000</v>
      </c>
      <c r="R53" s="143">
        <v>13000</v>
      </c>
      <c r="S53" s="143">
        <v>13000</v>
      </c>
      <c r="T53" s="143">
        <v>13000</v>
      </c>
    </row>
    <row r="54" spans="1:21" ht="24" customHeight="1">
      <c r="A54" s="247" t="s">
        <v>876</v>
      </c>
      <c r="B54" s="183"/>
      <c r="C54" s="183"/>
      <c r="D54" s="248" t="s">
        <v>988</v>
      </c>
      <c r="E54" s="183"/>
      <c r="F54" s="183"/>
      <c r="G54" s="183"/>
      <c r="H54" s="183"/>
      <c r="I54" s="183"/>
      <c r="J54" s="183"/>
      <c r="K54" s="183"/>
      <c r="L54" s="198">
        <v>9645</v>
      </c>
      <c r="M54" s="198">
        <v>92125</v>
      </c>
      <c r="N54" s="153">
        <v>18000</v>
      </c>
      <c r="O54" s="153">
        <v>30000</v>
      </c>
      <c r="P54" s="152">
        <v>47180</v>
      </c>
      <c r="Q54" s="152">
        <v>47180</v>
      </c>
      <c r="R54" s="152">
        <v>47180</v>
      </c>
      <c r="S54" s="152">
        <v>47180</v>
      </c>
      <c r="T54" s="152">
        <v>47180</v>
      </c>
    </row>
    <row r="55" spans="1:21" ht="15" customHeight="1">
      <c r="A55" s="183"/>
      <c r="B55" s="183"/>
      <c r="C55" s="183"/>
      <c r="D55" s="250"/>
      <c r="E55" s="250"/>
      <c r="F55" s="250"/>
      <c r="G55" s="250"/>
      <c r="H55" s="250"/>
      <c r="I55" s="250"/>
      <c r="J55" s="250"/>
      <c r="K55" s="250"/>
      <c r="L55" s="199"/>
      <c r="M55" s="199"/>
      <c r="N55" s="155"/>
      <c r="O55" s="155"/>
      <c r="P55" s="154"/>
      <c r="Q55" s="154"/>
      <c r="R55" s="154"/>
      <c r="S55" s="154"/>
      <c r="T55" s="154"/>
    </row>
    <row r="56" spans="1:21" s="183" customFormat="1" ht="24" customHeight="1">
      <c r="K56" s="251" t="s">
        <v>454</v>
      </c>
      <c r="L56" s="201">
        <f t="shared" ref="L56:S56" si="0">SUM(L9:L55)</f>
        <v>15010788</v>
      </c>
      <c r="M56" s="201">
        <f t="shared" si="0"/>
        <v>15502203</v>
      </c>
      <c r="N56" s="202">
        <f t="shared" si="0"/>
        <v>15642962</v>
      </c>
      <c r="O56" s="202">
        <f t="shared" si="0"/>
        <v>16281304</v>
      </c>
      <c r="P56" s="201">
        <f t="shared" si="0"/>
        <v>16469238</v>
      </c>
      <c r="Q56" s="201">
        <f t="shared" si="0"/>
        <v>16728635</v>
      </c>
      <c r="R56" s="201">
        <f t="shared" si="0"/>
        <v>17015174</v>
      </c>
      <c r="S56" s="201">
        <f t="shared" si="0"/>
        <v>17167228</v>
      </c>
      <c r="T56" s="201">
        <f>SUM(T9:T55)</f>
        <v>17462277</v>
      </c>
      <c r="U56" s="64"/>
    </row>
    <row r="57" spans="1:21" ht="15" customHeight="1">
      <c r="A57" s="183"/>
      <c r="B57" s="183"/>
      <c r="C57" s="183"/>
      <c r="D57" s="183"/>
      <c r="E57" s="183"/>
      <c r="F57" s="183"/>
      <c r="G57" s="183"/>
      <c r="H57" s="183"/>
      <c r="I57" s="183"/>
      <c r="J57" s="183"/>
      <c r="K57" s="183"/>
      <c r="L57" s="199"/>
      <c r="M57" s="199"/>
      <c r="N57" s="155"/>
      <c r="O57" s="155"/>
      <c r="P57" s="154"/>
      <c r="Q57" s="154"/>
      <c r="R57" s="154"/>
      <c r="S57" s="154"/>
      <c r="T57" s="154"/>
    </row>
    <row r="58" spans="1:21" ht="24" customHeight="1">
      <c r="A58" s="251" t="s">
        <v>464</v>
      </c>
      <c r="B58" s="183"/>
      <c r="C58" s="183"/>
      <c r="D58" s="183"/>
      <c r="E58" s="183"/>
      <c r="F58" s="183"/>
      <c r="G58" s="183"/>
      <c r="H58" s="183"/>
      <c r="I58" s="183"/>
      <c r="J58" s="183"/>
      <c r="K58" s="183"/>
      <c r="L58" s="199"/>
      <c r="M58" s="199"/>
      <c r="N58" s="155"/>
      <c r="O58" s="155"/>
      <c r="P58" s="154"/>
      <c r="Q58" s="154"/>
      <c r="R58" s="154"/>
      <c r="S58" s="154"/>
      <c r="T58" s="154"/>
    </row>
    <row r="59" spans="1:21" ht="24" customHeight="1">
      <c r="A59" s="247" t="s">
        <v>67</v>
      </c>
      <c r="B59" s="183"/>
      <c r="C59" s="183"/>
      <c r="D59" s="247" t="s">
        <v>74</v>
      </c>
      <c r="E59" s="183"/>
      <c r="F59" s="183"/>
      <c r="G59" s="183"/>
      <c r="H59" s="183"/>
      <c r="I59" s="183"/>
      <c r="J59" s="183"/>
      <c r="K59" s="183"/>
      <c r="L59" s="196">
        <v>10175</v>
      </c>
      <c r="M59" s="196">
        <v>9970</v>
      </c>
      <c r="N59" s="150">
        <v>11000</v>
      </c>
      <c r="O59" s="150">
        <v>10000</v>
      </c>
      <c r="P59" s="149">
        <v>11000</v>
      </c>
      <c r="Q59" s="149">
        <v>11000</v>
      </c>
      <c r="R59" s="149">
        <v>11000</v>
      </c>
      <c r="S59" s="149">
        <v>11000</v>
      </c>
      <c r="T59" s="149">
        <v>11000</v>
      </c>
    </row>
    <row r="60" spans="1:21" ht="24" customHeight="1">
      <c r="A60" s="247" t="s">
        <v>66</v>
      </c>
      <c r="B60" s="183"/>
      <c r="C60" s="183"/>
      <c r="D60" s="247" t="s">
        <v>73</v>
      </c>
      <c r="E60" s="183"/>
      <c r="F60" s="183"/>
      <c r="G60" s="183"/>
      <c r="H60" s="183"/>
      <c r="I60" s="183"/>
      <c r="J60" s="183"/>
      <c r="K60" s="183"/>
      <c r="L60" s="196">
        <v>1000</v>
      </c>
      <c r="M60" s="196">
        <v>1000</v>
      </c>
      <c r="N60" s="150">
        <v>1000</v>
      </c>
      <c r="O60" s="150">
        <v>1000</v>
      </c>
      <c r="P60" s="149">
        <v>1000</v>
      </c>
      <c r="Q60" s="149">
        <v>1000</v>
      </c>
      <c r="R60" s="149">
        <v>1000</v>
      </c>
      <c r="S60" s="149">
        <v>1000</v>
      </c>
      <c r="T60" s="149">
        <v>1000</v>
      </c>
    </row>
    <row r="61" spans="1:21" ht="24" customHeight="1">
      <c r="A61" s="247" t="s">
        <v>65</v>
      </c>
      <c r="B61" s="183"/>
      <c r="C61" s="183"/>
      <c r="D61" s="247" t="s">
        <v>72</v>
      </c>
      <c r="E61" s="183"/>
      <c r="F61" s="183"/>
      <c r="G61" s="183"/>
      <c r="H61" s="183"/>
      <c r="I61" s="183"/>
      <c r="J61" s="183"/>
      <c r="K61" s="183"/>
      <c r="L61" s="196">
        <v>7440</v>
      </c>
      <c r="M61" s="196">
        <v>7035</v>
      </c>
      <c r="N61" s="150">
        <v>8000</v>
      </c>
      <c r="O61" s="150">
        <v>7500</v>
      </c>
      <c r="P61" s="149">
        <v>0</v>
      </c>
      <c r="Q61" s="149">
        <v>0</v>
      </c>
      <c r="R61" s="149">
        <v>0</v>
      </c>
      <c r="S61" s="149">
        <v>0</v>
      </c>
      <c r="T61" s="149">
        <v>0</v>
      </c>
    </row>
    <row r="62" spans="1:21" ht="24" customHeight="1">
      <c r="A62" s="247" t="s">
        <v>64</v>
      </c>
      <c r="B62" s="183"/>
      <c r="C62" s="183"/>
      <c r="D62" s="247" t="s">
        <v>71</v>
      </c>
      <c r="E62" s="183"/>
      <c r="F62" s="183"/>
      <c r="G62" s="183"/>
      <c r="H62" s="183"/>
      <c r="I62" s="183"/>
      <c r="J62" s="183"/>
      <c r="K62" s="183"/>
      <c r="L62" s="196">
        <v>1000</v>
      </c>
      <c r="M62" s="196">
        <v>1000</v>
      </c>
      <c r="N62" s="150">
        <v>1000</v>
      </c>
      <c r="O62" s="150">
        <v>1000</v>
      </c>
      <c r="P62" s="149">
        <v>0</v>
      </c>
      <c r="Q62" s="149">
        <v>0</v>
      </c>
      <c r="R62" s="149">
        <v>0</v>
      </c>
      <c r="S62" s="149">
        <v>0</v>
      </c>
      <c r="T62" s="149">
        <v>0</v>
      </c>
    </row>
    <row r="63" spans="1:21" ht="24" customHeight="1">
      <c r="A63" s="247" t="s">
        <v>63</v>
      </c>
      <c r="B63" s="183"/>
      <c r="C63" s="183"/>
      <c r="D63" s="247" t="s">
        <v>70</v>
      </c>
      <c r="E63" s="183"/>
      <c r="F63" s="183"/>
      <c r="G63" s="183"/>
      <c r="H63" s="183"/>
      <c r="I63" s="183"/>
      <c r="J63" s="183"/>
      <c r="K63" s="183"/>
      <c r="L63" s="196">
        <v>46465</v>
      </c>
      <c r="M63" s="196">
        <v>48225</v>
      </c>
      <c r="N63" s="150">
        <v>52000</v>
      </c>
      <c r="O63" s="150">
        <v>50000</v>
      </c>
      <c r="P63" s="149">
        <v>50000</v>
      </c>
      <c r="Q63" s="149">
        <v>50000</v>
      </c>
      <c r="R63" s="149">
        <v>50000</v>
      </c>
      <c r="S63" s="149">
        <v>50000</v>
      </c>
      <c r="T63" s="149">
        <v>50000</v>
      </c>
    </row>
    <row r="64" spans="1:21" ht="24" customHeight="1">
      <c r="A64" s="247" t="s">
        <v>924</v>
      </c>
      <c r="B64" s="183"/>
      <c r="C64" s="183"/>
      <c r="D64" s="247" t="s">
        <v>69</v>
      </c>
      <c r="E64" s="183"/>
      <c r="F64" s="183"/>
      <c r="G64" s="183"/>
      <c r="H64" s="183"/>
      <c r="I64" s="183"/>
      <c r="J64" s="183"/>
      <c r="K64" s="183"/>
      <c r="L64" s="196">
        <f>389175+26+4984</f>
        <v>394185</v>
      </c>
      <c r="M64" s="196">
        <v>451388</v>
      </c>
      <c r="N64" s="150">
        <v>506552</v>
      </c>
      <c r="O64" s="150">
        <v>504000</v>
      </c>
      <c r="P64" s="149">
        <v>538095</v>
      </c>
      <c r="Q64" s="149">
        <v>554238</v>
      </c>
      <c r="R64" s="149">
        <v>570865</v>
      </c>
      <c r="S64" s="149">
        <v>587991</v>
      </c>
      <c r="T64" s="149">
        <v>605631</v>
      </c>
    </row>
    <row r="65" spans="1:20" ht="24" customHeight="1">
      <c r="A65" s="247" t="s">
        <v>76</v>
      </c>
      <c r="B65" s="183"/>
      <c r="C65" s="183"/>
      <c r="D65" s="247" t="s">
        <v>8</v>
      </c>
      <c r="E65" s="183"/>
      <c r="F65" s="183"/>
      <c r="G65" s="183"/>
      <c r="H65" s="183"/>
      <c r="I65" s="183"/>
      <c r="J65" s="183"/>
      <c r="K65" s="183"/>
      <c r="L65" s="192">
        <v>41833</v>
      </c>
      <c r="M65" s="192">
        <v>48542</v>
      </c>
      <c r="N65" s="150">
        <v>54119</v>
      </c>
      <c r="O65" s="150">
        <v>51500</v>
      </c>
      <c r="P65" s="143">
        <v>49367</v>
      </c>
      <c r="Q65" s="143">
        <v>52265</v>
      </c>
      <c r="R65" s="143">
        <v>55431</v>
      </c>
      <c r="S65" s="143">
        <v>58799</v>
      </c>
      <c r="T65" s="143">
        <v>62380</v>
      </c>
    </row>
    <row r="66" spans="1:20" ht="24" customHeight="1">
      <c r="A66" s="247" t="s">
        <v>75</v>
      </c>
      <c r="B66" s="183"/>
      <c r="C66" s="183"/>
      <c r="D66" s="247" t="s">
        <v>9</v>
      </c>
      <c r="E66" s="183"/>
      <c r="F66" s="183"/>
      <c r="G66" s="183"/>
      <c r="H66" s="183"/>
      <c r="I66" s="183"/>
      <c r="J66" s="183"/>
      <c r="K66" s="183"/>
      <c r="L66" s="192">
        <v>30324</v>
      </c>
      <c r="M66" s="192">
        <v>35304</v>
      </c>
      <c r="N66" s="150">
        <v>40339</v>
      </c>
      <c r="O66" s="150">
        <v>40339</v>
      </c>
      <c r="P66" s="149">
        <v>41686</v>
      </c>
      <c r="Q66" s="149">
        <v>42937</v>
      </c>
      <c r="R66" s="149">
        <v>44225</v>
      </c>
      <c r="S66" s="149">
        <v>45552</v>
      </c>
      <c r="T66" s="149">
        <v>46919</v>
      </c>
    </row>
    <row r="67" spans="1:20" ht="24" customHeight="1">
      <c r="A67" s="247" t="s">
        <v>479</v>
      </c>
      <c r="B67" s="183"/>
      <c r="C67" s="183"/>
      <c r="D67" s="247" t="s">
        <v>13</v>
      </c>
      <c r="E67" s="183"/>
      <c r="F67" s="183"/>
      <c r="G67" s="183"/>
      <c r="H67" s="183"/>
      <c r="I67" s="183"/>
      <c r="J67" s="183"/>
      <c r="K67" s="183"/>
      <c r="L67" s="194">
        <v>82328</v>
      </c>
      <c r="M67" s="194">
        <v>109134</v>
      </c>
      <c r="N67" s="150">
        <v>120465</v>
      </c>
      <c r="O67" s="150">
        <v>115298</v>
      </c>
      <c r="P67" s="146">
        <v>120064</v>
      </c>
      <c r="Q67" s="146">
        <v>129669</v>
      </c>
      <c r="R67" s="146">
        <v>140043</v>
      </c>
      <c r="S67" s="146">
        <v>151246</v>
      </c>
      <c r="T67" s="146">
        <v>163346</v>
      </c>
    </row>
    <row r="68" spans="1:20" ht="24" customHeight="1">
      <c r="A68" s="247" t="s">
        <v>480</v>
      </c>
      <c r="B68" s="183"/>
      <c r="C68" s="183"/>
      <c r="D68" s="247" t="s">
        <v>166</v>
      </c>
      <c r="E68" s="183"/>
      <c r="F68" s="183"/>
      <c r="G68" s="183"/>
      <c r="H68" s="183"/>
      <c r="I68" s="183"/>
      <c r="J68" s="183"/>
      <c r="K68" s="183"/>
      <c r="L68" s="194">
        <v>492</v>
      </c>
      <c r="M68" s="194">
        <v>543</v>
      </c>
      <c r="N68" s="150">
        <v>451</v>
      </c>
      <c r="O68" s="150">
        <v>480</v>
      </c>
      <c r="P68" s="146">
        <v>428</v>
      </c>
      <c r="Q68" s="146">
        <v>432</v>
      </c>
      <c r="R68" s="146">
        <v>436</v>
      </c>
      <c r="S68" s="146">
        <v>440</v>
      </c>
      <c r="T68" s="146">
        <v>444</v>
      </c>
    </row>
    <row r="69" spans="1:20" ht="24" customHeight="1">
      <c r="A69" s="247" t="s">
        <v>481</v>
      </c>
      <c r="B69" s="183"/>
      <c r="C69" s="183"/>
      <c r="D69" s="247" t="s">
        <v>503</v>
      </c>
      <c r="E69" s="183"/>
      <c r="F69" s="183"/>
      <c r="G69" s="183"/>
      <c r="H69" s="183"/>
      <c r="I69" s="183"/>
      <c r="J69" s="183"/>
      <c r="K69" s="183"/>
      <c r="L69" s="194">
        <v>5924</v>
      </c>
      <c r="M69" s="194">
        <v>7013</v>
      </c>
      <c r="N69" s="150">
        <v>7853</v>
      </c>
      <c r="O69" s="150">
        <v>7853</v>
      </c>
      <c r="P69" s="146">
        <v>7853</v>
      </c>
      <c r="Q69" s="146">
        <v>8246</v>
      </c>
      <c r="R69" s="146">
        <v>8658</v>
      </c>
      <c r="S69" s="146">
        <v>9091</v>
      </c>
      <c r="T69" s="146">
        <v>9546</v>
      </c>
    </row>
    <row r="70" spans="1:20" ht="24" customHeight="1">
      <c r="A70" s="247" t="s">
        <v>504</v>
      </c>
      <c r="B70" s="183"/>
      <c r="C70" s="183"/>
      <c r="D70" s="247" t="s">
        <v>505</v>
      </c>
      <c r="E70" s="183"/>
      <c r="F70" s="183"/>
      <c r="G70" s="183"/>
      <c r="H70" s="183"/>
      <c r="I70" s="183"/>
      <c r="J70" s="183"/>
      <c r="K70" s="183"/>
      <c r="L70" s="194">
        <v>759</v>
      </c>
      <c r="M70" s="194">
        <v>961</v>
      </c>
      <c r="N70" s="150">
        <v>1130</v>
      </c>
      <c r="O70" s="150">
        <v>1130</v>
      </c>
      <c r="P70" s="146">
        <v>1130</v>
      </c>
      <c r="Q70" s="146">
        <v>1130</v>
      </c>
      <c r="R70" s="146">
        <v>1164</v>
      </c>
      <c r="S70" s="146">
        <v>1199</v>
      </c>
      <c r="T70" s="146">
        <v>1235</v>
      </c>
    </row>
    <row r="71" spans="1:20" ht="24" customHeight="1">
      <c r="A71" s="247" t="s">
        <v>1106</v>
      </c>
      <c r="B71" s="183"/>
      <c r="C71" s="183"/>
      <c r="D71" s="247" t="s">
        <v>91</v>
      </c>
      <c r="E71" s="183"/>
      <c r="F71" s="183"/>
      <c r="G71" s="183"/>
      <c r="H71" s="183"/>
      <c r="I71" s="183"/>
      <c r="J71" s="183"/>
      <c r="K71" s="183"/>
      <c r="L71" s="193">
        <v>8040</v>
      </c>
      <c r="M71" s="193">
        <v>5110</v>
      </c>
      <c r="N71" s="148">
        <v>13000</v>
      </c>
      <c r="O71" s="148">
        <v>12864</v>
      </c>
      <c r="P71" s="145">
        <v>0</v>
      </c>
      <c r="Q71" s="145">
        <v>0</v>
      </c>
      <c r="R71" s="145">
        <v>0</v>
      </c>
      <c r="S71" s="145">
        <v>0</v>
      </c>
      <c r="T71" s="145">
        <v>0</v>
      </c>
    </row>
    <row r="72" spans="1:20" ht="24" customHeight="1">
      <c r="A72" s="247" t="s">
        <v>84</v>
      </c>
      <c r="B72" s="183"/>
      <c r="C72" s="183"/>
      <c r="D72" s="247" t="s">
        <v>90</v>
      </c>
      <c r="E72" s="183"/>
      <c r="F72" s="183"/>
      <c r="G72" s="183"/>
      <c r="H72" s="183"/>
      <c r="I72" s="183"/>
      <c r="J72" s="183"/>
      <c r="K72" s="183"/>
      <c r="L72" s="196">
        <v>11051</v>
      </c>
      <c r="M72" s="196">
        <v>16060</v>
      </c>
      <c r="N72" s="150">
        <v>17000</v>
      </c>
      <c r="O72" s="150">
        <v>17000</v>
      </c>
      <c r="P72" s="149">
        <v>17000</v>
      </c>
      <c r="Q72" s="149">
        <v>17000</v>
      </c>
      <c r="R72" s="149">
        <v>17000</v>
      </c>
      <c r="S72" s="149">
        <v>17000</v>
      </c>
      <c r="T72" s="149">
        <v>17000</v>
      </c>
    </row>
    <row r="73" spans="1:20" ht="24" customHeight="1">
      <c r="A73" s="247" t="s">
        <v>83</v>
      </c>
      <c r="B73" s="183"/>
      <c r="C73" s="183"/>
      <c r="D73" s="247" t="s">
        <v>910</v>
      </c>
      <c r="E73" s="183"/>
      <c r="F73" s="183"/>
      <c r="G73" s="183"/>
      <c r="H73" s="183"/>
      <c r="I73" s="183"/>
      <c r="J73" s="183"/>
      <c r="K73" s="183"/>
      <c r="L73" s="196">
        <v>12097</v>
      </c>
      <c r="M73" s="196">
        <v>11408</v>
      </c>
      <c r="N73" s="150">
        <v>9000</v>
      </c>
      <c r="O73" s="150">
        <v>9000</v>
      </c>
      <c r="P73" s="149">
        <v>10000</v>
      </c>
      <c r="Q73" s="149">
        <v>10000</v>
      </c>
      <c r="R73" s="149">
        <v>10000</v>
      </c>
      <c r="S73" s="149">
        <v>10000</v>
      </c>
      <c r="T73" s="149">
        <v>10000</v>
      </c>
    </row>
    <row r="74" spans="1:20" ht="24" customHeight="1">
      <c r="A74" s="247" t="s">
        <v>1244</v>
      </c>
      <c r="B74" s="183"/>
      <c r="C74" s="183"/>
      <c r="D74" s="1" t="s">
        <v>1245</v>
      </c>
      <c r="E74" s="183"/>
      <c r="F74" s="183"/>
      <c r="G74" s="183"/>
      <c r="H74" s="183"/>
      <c r="I74" s="183"/>
      <c r="J74" s="183"/>
      <c r="K74" s="183"/>
      <c r="L74" s="196">
        <v>0</v>
      </c>
      <c r="M74" s="196">
        <v>0</v>
      </c>
      <c r="N74" s="150">
        <v>4568</v>
      </c>
      <c r="O74" s="150">
        <v>4568</v>
      </c>
      <c r="P74" s="149">
        <v>1655</v>
      </c>
      <c r="Q74" s="149">
        <v>2778</v>
      </c>
      <c r="R74" s="149">
        <v>2917</v>
      </c>
      <c r="S74" s="149">
        <v>3831</v>
      </c>
      <c r="T74" s="149">
        <v>5830</v>
      </c>
    </row>
    <row r="75" spans="1:20" ht="24" customHeight="1">
      <c r="A75" s="247" t="s">
        <v>82</v>
      </c>
      <c r="B75" s="183"/>
      <c r="C75" s="183"/>
      <c r="D75" s="247" t="s">
        <v>89</v>
      </c>
      <c r="E75" s="183"/>
      <c r="F75" s="183"/>
      <c r="G75" s="183"/>
      <c r="H75" s="183"/>
      <c r="I75" s="183"/>
      <c r="J75" s="183"/>
      <c r="K75" s="183"/>
      <c r="L75" s="196">
        <v>6219</v>
      </c>
      <c r="M75" s="196">
        <v>2547</v>
      </c>
      <c r="N75" s="150">
        <v>5000</v>
      </c>
      <c r="O75" s="150">
        <v>5000</v>
      </c>
      <c r="P75" s="149">
        <v>5000</v>
      </c>
      <c r="Q75" s="149">
        <v>5000</v>
      </c>
      <c r="R75" s="149">
        <v>5000</v>
      </c>
      <c r="S75" s="149">
        <v>5000</v>
      </c>
      <c r="T75" s="149">
        <v>5000</v>
      </c>
    </row>
    <row r="76" spans="1:20" ht="24" customHeight="1">
      <c r="A76" s="247" t="s">
        <v>81</v>
      </c>
      <c r="B76" s="183"/>
      <c r="C76" s="183"/>
      <c r="D76" s="247" t="s">
        <v>911</v>
      </c>
      <c r="E76" s="183"/>
      <c r="F76" s="183"/>
      <c r="G76" s="183"/>
      <c r="H76" s="183"/>
      <c r="I76" s="183"/>
      <c r="J76" s="183"/>
      <c r="K76" s="183"/>
      <c r="L76" s="196">
        <v>2376</v>
      </c>
      <c r="M76" s="196">
        <v>4139</v>
      </c>
      <c r="N76" s="150">
        <v>3250</v>
      </c>
      <c r="O76" s="150">
        <v>3250</v>
      </c>
      <c r="P76" s="149">
        <v>3250</v>
      </c>
      <c r="Q76" s="149">
        <v>3250</v>
      </c>
      <c r="R76" s="149">
        <v>3250</v>
      </c>
      <c r="S76" s="149">
        <v>3250</v>
      </c>
      <c r="T76" s="149">
        <v>3250</v>
      </c>
    </row>
    <row r="77" spans="1:20" ht="24" customHeight="1">
      <c r="A77" s="247" t="s">
        <v>80</v>
      </c>
      <c r="B77" s="183"/>
      <c r="C77" s="183"/>
      <c r="D77" s="247" t="s">
        <v>215</v>
      </c>
      <c r="E77" s="183"/>
      <c r="F77" s="183"/>
      <c r="G77" s="183"/>
      <c r="H77" s="183"/>
      <c r="I77" s="183"/>
      <c r="J77" s="183"/>
      <c r="K77" s="183"/>
      <c r="L77" s="196">
        <v>15623</v>
      </c>
      <c r="M77" s="196">
        <v>17634</v>
      </c>
      <c r="N77" s="150">
        <v>19000</v>
      </c>
      <c r="O77" s="150">
        <v>19000</v>
      </c>
      <c r="P77" s="149">
        <v>19000</v>
      </c>
      <c r="Q77" s="149">
        <v>19000</v>
      </c>
      <c r="R77" s="149">
        <v>19000</v>
      </c>
      <c r="S77" s="149">
        <v>19000</v>
      </c>
      <c r="T77" s="149">
        <v>19000</v>
      </c>
    </row>
    <row r="78" spans="1:20" ht="24" customHeight="1">
      <c r="A78" s="247" t="s">
        <v>601</v>
      </c>
      <c r="B78" s="183"/>
      <c r="C78" s="183"/>
      <c r="D78" s="247" t="s">
        <v>49</v>
      </c>
      <c r="E78" s="183"/>
      <c r="F78" s="183"/>
      <c r="G78" s="183"/>
      <c r="H78" s="183"/>
      <c r="I78" s="183"/>
      <c r="J78" s="183"/>
      <c r="K78" s="183"/>
      <c r="L78" s="196">
        <v>212</v>
      </c>
      <c r="M78" s="196">
        <v>51</v>
      </c>
      <c r="N78" s="150">
        <v>500</v>
      </c>
      <c r="O78" s="150">
        <v>500</v>
      </c>
      <c r="P78" s="149">
        <v>500</v>
      </c>
      <c r="Q78" s="149">
        <v>500</v>
      </c>
      <c r="R78" s="149">
        <v>500</v>
      </c>
      <c r="S78" s="149">
        <v>500</v>
      </c>
      <c r="T78" s="149">
        <v>500</v>
      </c>
    </row>
    <row r="79" spans="1:20" ht="24" customHeight="1">
      <c r="A79" s="247" t="s">
        <v>187</v>
      </c>
      <c r="B79" s="183"/>
      <c r="C79" s="183"/>
      <c r="D79" s="247" t="s">
        <v>87</v>
      </c>
      <c r="E79" s="183"/>
      <c r="F79" s="183"/>
      <c r="G79" s="183"/>
      <c r="H79" s="183"/>
      <c r="I79" s="183"/>
      <c r="J79" s="183"/>
      <c r="K79" s="183"/>
      <c r="L79" s="196">
        <v>1579</v>
      </c>
      <c r="M79" s="196">
        <v>2864</v>
      </c>
      <c r="N79" s="150">
        <v>5000</v>
      </c>
      <c r="O79" s="150">
        <v>5000</v>
      </c>
      <c r="P79" s="149">
        <v>5000</v>
      </c>
      <c r="Q79" s="149">
        <v>5000</v>
      </c>
      <c r="R79" s="149">
        <v>5000</v>
      </c>
      <c r="S79" s="149">
        <v>5000</v>
      </c>
      <c r="T79" s="149">
        <v>5000</v>
      </c>
    </row>
    <row r="80" spans="1:20" ht="24" customHeight="1">
      <c r="A80" s="247" t="s">
        <v>79</v>
      </c>
      <c r="B80" s="183"/>
      <c r="C80" s="183"/>
      <c r="D80" s="247" t="s">
        <v>88</v>
      </c>
      <c r="E80" s="183"/>
      <c r="F80" s="183"/>
      <c r="G80" s="183"/>
      <c r="H80" s="183"/>
      <c r="I80" s="183"/>
      <c r="J80" s="183"/>
      <c r="K80" s="183"/>
      <c r="L80" s="196">
        <v>1297</v>
      </c>
      <c r="M80" s="196">
        <v>1802</v>
      </c>
      <c r="N80" s="150">
        <v>3000</v>
      </c>
      <c r="O80" s="150">
        <v>3000</v>
      </c>
      <c r="P80" s="149">
        <v>3000</v>
      </c>
      <c r="Q80" s="149">
        <v>3000</v>
      </c>
      <c r="R80" s="149">
        <v>3000</v>
      </c>
      <c r="S80" s="149">
        <v>3000</v>
      </c>
      <c r="T80" s="149">
        <v>3000</v>
      </c>
    </row>
    <row r="81" spans="1:21" ht="24" customHeight="1">
      <c r="A81" s="247" t="s">
        <v>835</v>
      </c>
      <c r="B81" s="248"/>
      <c r="C81" s="248"/>
      <c r="D81" s="247" t="s">
        <v>912</v>
      </c>
      <c r="E81" s="248"/>
      <c r="F81" s="248"/>
      <c r="G81" s="248"/>
      <c r="H81" s="248"/>
      <c r="I81" s="248"/>
      <c r="J81" s="248"/>
      <c r="K81" s="248"/>
      <c r="L81" s="192">
        <v>16251</v>
      </c>
      <c r="M81" s="192">
        <v>19620</v>
      </c>
      <c r="N81" s="144">
        <v>17000</v>
      </c>
      <c r="O81" s="144">
        <v>17000</v>
      </c>
      <c r="P81" s="143">
        <v>20000</v>
      </c>
      <c r="Q81" s="143">
        <v>20000</v>
      </c>
      <c r="R81" s="143">
        <v>20000</v>
      </c>
      <c r="S81" s="143">
        <v>20000</v>
      </c>
      <c r="T81" s="143">
        <v>20000</v>
      </c>
    </row>
    <row r="82" spans="1:21" ht="24" customHeight="1">
      <c r="A82" s="247" t="s">
        <v>78</v>
      </c>
      <c r="B82" s="183"/>
      <c r="C82" s="183"/>
      <c r="D82" s="247" t="s">
        <v>10</v>
      </c>
      <c r="E82" s="183"/>
      <c r="F82" s="183"/>
      <c r="G82" s="183"/>
      <c r="H82" s="183"/>
      <c r="I82" s="183"/>
      <c r="J82" s="183"/>
      <c r="K82" s="183"/>
      <c r="L82" s="196">
        <v>28261</v>
      </c>
      <c r="M82" s="196">
        <v>10451</v>
      </c>
      <c r="N82" s="150">
        <v>12000</v>
      </c>
      <c r="O82" s="150">
        <v>12000</v>
      </c>
      <c r="P82" s="149">
        <v>12000</v>
      </c>
      <c r="Q82" s="149">
        <v>12000</v>
      </c>
      <c r="R82" s="149">
        <v>12000</v>
      </c>
      <c r="S82" s="149">
        <v>12000</v>
      </c>
      <c r="T82" s="149">
        <v>12000</v>
      </c>
    </row>
    <row r="83" spans="1:21" ht="24" customHeight="1">
      <c r="A83" s="247" t="s">
        <v>77</v>
      </c>
      <c r="B83" s="183"/>
      <c r="C83" s="183"/>
      <c r="D83" s="247" t="s">
        <v>17</v>
      </c>
      <c r="E83" s="183"/>
      <c r="F83" s="183"/>
      <c r="G83" s="183"/>
      <c r="H83" s="183"/>
      <c r="I83" s="183"/>
      <c r="J83" s="183"/>
      <c r="K83" s="183"/>
      <c r="L83" s="196">
        <v>16959</v>
      </c>
      <c r="M83" s="196">
        <v>26800</v>
      </c>
      <c r="N83" s="150">
        <v>19610</v>
      </c>
      <c r="O83" s="150">
        <v>19610</v>
      </c>
      <c r="P83" s="149">
        <v>20787</v>
      </c>
      <c r="Q83" s="149">
        <v>22034</v>
      </c>
      <c r="R83" s="149">
        <v>23356</v>
      </c>
      <c r="S83" s="149">
        <v>24757</v>
      </c>
      <c r="T83" s="149">
        <v>26242</v>
      </c>
    </row>
    <row r="84" spans="1:21" ht="24" customHeight="1">
      <c r="A84" s="247" t="s">
        <v>559</v>
      </c>
      <c r="B84" s="183"/>
      <c r="C84" s="183"/>
      <c r="D84" s="247" t="s">
        <v>85</v>
      </c>
      <c r="E84" s="183"/>
      <c r="F84" s="183"/>
      <c r="G84" s="183"/>
      <c r="H84" s="183"/>
      <c r="I84" s="183"/>
      <c r="J84" s="183"/>
      <c r="K84" s="183"/>
      <c r="L84" s="196">
        <v>2102</v>
      </c>
      <c r="M84" s="196">
        <v>2102</v>
      </c>
      <c r="N84" s="150">
        <v>2400</v>
      </c>
      <c r="O84" s="150">
        <v>2400</v>
      </c>
      <c r="P84" s="149">
        <v>3000</v>
      </c>
      <c r="Q84" s="149">
        <v>3000</v>
      </c>
      <c r="R84" s="149">
        <v>3000</v>
      </c>
      <c r="S84" s="149">
        <v>3000</v>
      </c>
      <c r="T84" s="149">
        <v>3000</v>
      </c>
    </row>
    <row r="85" spans="1:21" ht="24" customHeight="1">
      <c r="A85" s="247" t="s">
        <v>188</v>
      </c>
      <c r="B85" s="183"/>
      <c r="C85" s="183"/>
      <c r="D85" s="247" t="s">
        <v>86</v>
      </c>
      <c r="E85" s="183"/>
      <c r="F85" s="183"/>
      <c r="G85" s="183"/>
      <c r="H85" s="183"/>
      <c r="I85" s="183"/>
      <c r="J85" s="183"/>
      <c r="K85" s="183"/>
      <c r="L85" s="196">
        <v>18625</v>
      </c>
      <c r="M85" s="196">
        <v>11322</v>
      </c>
      <c r="N85" s="150">
        <v>11662</v>
      </c>
      <c r="O85" s="150">
        <v>11415</v>
      </c>
      <c r="P85" s="149">
        <v>11757</v>
      </c>
      <c r="Q85" s="149">
        <v>12110</v>
      </c>
      <c r="R85" s="149">
        <v>12473</v>
      </c>
      <c r="S85" s="149">
        <v>12847</v>
      </c>
      <c r="T85" s="149">
        <v>13232</v>
      </c>
    </row>
    <row r="86" spans="1:21" ht="24" customHeight="1">
      <c r="A86" s="247" t="s">
        <v>92</v>
      </c>
      <c r="B86" s="183"/>
      <c r="C86" s="183"/>
      <c r="D86" s="247" t="s">
        <v>11</v>
      </c>
      <c r="E86" s="183"/>
      <c r="F86" s="183"/>
      <c r="G86" s="183"/>
      <c r="H86" s="183"/>
      <c r="I86" s="183"/>
      <c r="J86" s="183"/>
      <c r="K86" s="183"/>
      <c r="L86" s="342">
        <v>7563</v>
      </c>
      <c r="M86" s="342">
        <v>8832</v>
      </c>
      <c r="N86" s="343">
        <v>10000</v>
      </c>
      <c r="O86" s="343">
        <v>10000</v>
      </c>
      <c r="P86" s="378">
        <v>10000</v>
      </c>
      <c r="Q86" s="378">
        <v>10000</v>
      </c>
      <c r="R86" s="378">
        <v>10000</v>
      </c>
      <c r="S86" s="378">
        <v>10000</v>
      </c>
      <c r="T86" s="378">
        <v>10000</v>
      </c>
    </row>
    <row r="87" spans="1:21" s="183" customFormat="1" ht="24" customHeight="1">
      <c r="A87" s="247"/>
      <c r="D87" s="247"/>
      <c r="L87" s="203">
        <f t="shared" ref="L87:T87" si="1">SUM(L59:L86)</f>
        <v>770180</v>
      </c>
      <c r="M87" s="203">
        <f t="shared" si="1"/>
        <v>860857</v>
      </c>
      <c r="N87" s="204">
        <f t="shared" si="1"/>
        <v>955899</v>
      </c>
      <c r="O87" s="204">
        <f t="shared" si="1"/>
        <v>941707</v>
      </c>
      <c r="P87" s="272">
        <f t="shared" si="1"/>
        <v>962572</v>
      </c>
      <c r="Q87" s="272">
        <f t="shared" si="1"/>
        <v>995589</v>
      </c>
      <c r="R87" s="272">
        <f t="shared" si="1"/>
        <v>1029318</v>
      </c>
      <c r="S87" s="272">
        <f t="shared" si="1"/>
        <v>1065503</v>
      </c>
      <c r="T87" s="272">
        <f t="shared" si="1"/>
        <v>1104555</v>
      </c>
      <c r="U87" s="64"/>
    </row>
    <row r="88" spans="1:21" ht="15" customHeight="1">
      <c r="A88" s="247"/>
      <c r="B88" s="183"/>
      <c r="C88" s="183"/>
      <c r="D88" s="247"/>
      <c r="E88" s="183"/>
      <c r="F88" s="183"/>
      <c r="G88" s="183"/>
      <c r="H88" s="183"/>
      <c r="I88" s="183"/>
      <c r="J88" s="183"/>
      <c r="K88" s="183"/>
      <c r="L88" s="196"/>
      <c r="M88" s="196"/>
      <c r="N88" s="150"/>
      <c r="O88" s="150"/>
      <c r="P88" s="149"/>
      <c r="Q88" s="149"/>
      <c r="R88" s="149"/>
      <c r="S88" s="149"/>
      <c r="T88" s="149"/>
    </row>
    <row r="89" spans="1:21" ht="24" customHeight="1">
      <c r="A89" s="251" t="s">
        <v>455</v>
      </c>
      <c r="B89" s="183"/>
      <c r="C89" s="183"/>
      <c r="D89" s="183"/>
      <c r="E89" s="183"/>
      <c r="F89" s="183"/>
      <c r="G89" s="183"/>
      <c r="H89" s="183"/>
      <c r="I89" s="183"/>
      <c r="J89" s="183"/>
      <c r="K89" s="183"/>
      <c r="L89" s="199"/>
      <c r="M89" s="199"/>
      <c r="N89" s="155"/>
      <c r="O89" s="155"/>
      <c r="P89" s="154"/>
      <c r="Q89" s="154"/>
      <c r="R89" s="154"/>
      <c r="S89" s="154"/>
      <c r="T89" s="154"/>
    </row>
    <row r="90" spans="1:21" ht="24" customHeight="1">
      <c r="A90" s="247" t="s">
        <v>94</v>
      </c>
      <c r="B90" s="250"/>
      <c r="C90" s="250"/>
      <c r="D90" s="247" t="s">
        <v>797</v>
      </c>
      <c r="E90" s="250"/>
      <c r="F90" s="250"/>
      <c r="G90" s="250"/>
      <c r="H90" s="250"/>
      <c r="I90" s="250"/>
      <c r="J90" s="250"/>
      <c r="K90" s="250"/>
      <c r="L90" s="192">
        <v>234874</v>
      </c>
      <c r="M90" s="192">
        <v>251587</v>
      </c>
      <c r="N90" s="150">
        <v>272370</v>
      </c>
      <c r="O90" s="150">
        <v>272370</v>
      </c>
      <c r="P90" s="149">
        <v>301372</v>
      </c>
      <c r="Q90" s="149">
        <v>310413</v>
      </c>
      <c r="R90" s="149">
        <v>319725</v>
      </c>
      <c r="S90" s="149">
        <v>329317</v>
      </c>
      <c r="T90" s="149">
        <v>339197</v>
      </c>
    </row>
    <row r="91" spans="1:21" ht="24" customHeight="1">
      <c r="A91" s="247" t="s">
        <v>96</v>
      </c>
      <c r="B91" s="248"/>
      <c r="C91" s="248"/>
      <c r="D91" s="247" t="s">
        <v>8</v>
      </c>
      <c r="E91" s="248"/>
      <c r="F91" s="248"/>
      <c r="G91" s="248"/>
      <c r="H91" s="248"/>
      <c r="I91" s="248"/>
      <c r="J91" s="248"/>
      <c r="K91" s="248"/>
      <c r="L91" s="192">
        <v>25473</v>
      </c>
      <c r="M91" s="192">
        <v>27110</v>
      </c>
      <c r="N91" s="150">
        <v>29100</v>
      </c>
      <c r="O91" s="150">
        <v>29100</v>
      </c>
      <c r="P91" s="143">
        <v>27649</v>
      </c>
      <c r="Q91" s="143">
        <v>29272</v>
      </c>
      <c r="R91" s="143">
        <v>31045</v>
      </c>
      <c r="S91" s="143">
        <v>32932</v>
      </c>
      <c r="T91" s="143">
        <v>34937</v>
      </c>
    </row>
    <row r="92" spans="1:21" ht="24" customHeight="1">
      <c r="A92" s="247" t="s">
        <v>95</v>
      </c>
      <c r="B92" s="183"/>
      <c r="C92" s="183"/>
      <c r="D92" s="247" t="s">
        <v>9</v>
      </c>
      <c r="E92" s="183"/>
      <c r="F92" s="183"/>
      <c r="G92" s="183"/>
      <c r="H92" s="183"/>
      <c r="I92" s="183"/>
      <c r="J92" s="183"/>
      <c r="K92" s="183"/>
      <c r="L92" s="192">
        <v>17647</v>
      </c>
      <c r="M92" s="192">
        <v>18776</v>
      </c>
      <c r="N92" s="150">
        <v>19988</v>
      </c>
      <c r="O92" s="150">
        <v>19988</v>
      </c>
      <c r="P92" s="149">
        <v>21574</v>
      </c>
      <c r="Q92" s="149">
        <v>22221</v>
      </c>
      <c r="R92" s="149">
        <v>22888</v>
      </c>
      <c r="S92" s="149">
        <v>23575</v>
      </c>
      <c r="T92" s="149">
        <v>24282</v>
      </c>
    </row>
    <row r="93" spans="1:21" ht="24" customHeight="1">
      <c r="A93" s="247" t="s">
        <v>482</v>
      </c>
      <c r="B93" s="183"/>
      <c r="C93" s="183"/>
      <c r="D93" s="247" t="s">
        <v>13</v>
      </c>
      <c r="E93" s="183"/>
      <c r="F93" s="183"/>
      <c r="G93" s="183"/>
      <c r="H93" s="183"/>
      <c r="I93" s="183"/>
      <c r="J93" s="183"/>
      <c r="K93" s="183"/>
      <c r="L93" s="192">
        <v>28337</v>
      </c>
      <c r="M93" s="192">
        <v>54102</v>
      </c>
      <c r="N93" s="150">
        <v>64390</v>
      </c>
      <c r="O93" s="150">
        <v>54676</v>
      </c>
      <c r="P93" s="146">
        <v>64351</v>
      </c>
      <c r="Q93" s="146">
        <v>69499</v>
      </c>
      <c r="R93" s="146">
        <v>75059</v>
      </c>
      <c r="S93" s="146">
        <v>81064</v>
      </c>
      <c r="T93" s="146">
        <v>87549</v>
      </c>
    </row>
    <row r="94" spans="1:21" ht="24" customHeight="1">
      <c r="A94" s="247" t="s">
        <v>483</v>
      </c>
      <c r="B94" s="183"/>
      <c r="C94" s="183"/>
      <c r="D94" s="247" t="s">
        <v>166</v>
      </c>
      <c r="E94" s="183"/>
      <c r="F94" s="183"/>
      <c r="G94" s="183"/>
      <c r="H94" s="183"/>
      <c r="I94" s="183"/>
      <c r="J94" s="183"/>
      <c r="K94" s="183"/>
      <c r="L94" s="192">
        <v>334</v>
      </c>
      <c r="M94" s="192">
        <v>334</v>
      </c>
      <c r="N94" s="150">
        <v>246</v>
      </c>
      <c r="O94" s="150">
        <v>246</v>
      </c>
      <c r="P94" s="146">
        <v>246</v>
      </c>
      <c r="Q94" s="146">
        <v>248</v>
      </c>
      <c r="R94" s="146">
        <v>250</v>
      </c>
      <c r="S94" s="146">
        <v>253</v>
      </c>
      <c r="T94" s="146">
        <v>256</v>
      </c>
    </row>
    <row r="95" spans="1:21" ht="24" customHeight="1">
      <c r="A95" s="247" t="s">
        <v>484</v>
      </c>
      <c r="B95" s="183"/>
      <c r="C95" s="183"/>
      <c r="D95" s="247" t="s">
        <v>503</v>
      </c>
      <c r="E95" s="183"/>
      <c r="F95" s="183"/>
      <c r="G95" s="183"/>
      <c r="H95" s="183"/>
      <c r="I95" s="183"/>
      <c r="J95" s="183"/>
      <c r="K95" s="183"/>
      <c r="L95" s="192">
        <v>5655</v>
      </c>
      <c r="M95" s="192">
        <v>5319</v>
      </c>
      <c r="N95" s="150">
        <v>5192</v>
      </c>
      <c r="O95" s="150">
        <v>5192</v>
      </c>
      <c r="P95" s="146">
        <v>5192</v>
      </c>
      <c r="Q95" s="146">
        <v>5452</v>
      </c>
      <c r="R95" s="146">
        <v>5725</v>
      </c>
      <c r="S95" s="146">
        <v>6011</v>
      </c>
      <c r="T95" s="146">
        <v>6312</v>
      </c>
    </row>
    <row r="96" spans="1:21" ht="24" customHeight="1">
      <c r="A96" s="247" t="s">
        <v>506</v>
      </c>
      <c r="B96" s="183"/>
      <c r="C96" s="183"/>
      <c r="D96" s="247" t="s">
        <v>505</v>
      </c>
      <c r="E96" s="183"/>
      <c r="F96" s="183"/>
      <c r="G96" s="183"/>
      <c r="H96" s="183"/>
      <c r="I96" s="183"/>
      <c r="J96" s="183"/>
      <c r="K96" s="183"/>
      <c r="L96" s="192">
        <v>657</v>
      </c>
      <c r="M96" s="192">
        <v>707</v>
      </c>
      <c r="N96" s="150">
        <v>707</v>
      </c>
      <c r="O96" s="150">
        <v>707</v>
      </c>
      <c r="P96" s="146">
        <v>707</v>
      </c>
      <c r="Q96" s="146">
        <v>707</v>
      </c>
      <c r="R96" s="146">
        <v>728</v>
      </c>
      <c r="S96" s="146">
        <v>750</v>
      </c>
      <c r="T96" s="146">
        <v>773</v>
      </c>
    </row>
    <row r="97" spans="1:21" ht="24" customHeight="1">
      <c r="A97" s="247" t="s">
        <v>103</v>
      </c>
      <c r="B97" s="248"/>
      <c r="C97" s="248"/>
      <c r="D97" s="247" t="s">
        <v>90</v>
      </c>
      <c r="E97" s="248"/>
      <c r="F97" s="248"/>
      <c r="G97" s="248"/>
      <c r="H97" s="248"/>
      <c r="I97" s="248"/>
      <c r="J97" s="248"/>
      <c r="K97" s="248"/>
      <c r="L97" s="192">
        <v>2911</v>
      </c>
      <c r="M97" s="192">
        <v>3515</v>
      </c>
      <c r="N97" s="144">
        <v>3500</v>
      </c>
      <c r="O97" s="144">
        <v>3500</v>
      </c>
      <c r="P97" s="143">
        <v>3500</v>
      </c>
      <c r="Q97" s="143">
        <v>3500</v>
      </c>
      <c r="R97" s="143">
        <v>3500</v>
      </c>
      <c r="S97" s="143">
        <v>3500</v>
      </c>
      <c r="T97" s="143">
        <v>3500</v>
      </c>
    </row>
    <row r="98" spans="1:21" ht="24" customHeight="1">
      <c r="A98" s="247" t="s">
        <v>189</v>
      </c>
      <c r="B98" s="183"/>
      <c r="C98" s="183"/>
      <c r="D98" s="247" t="s">
        <v>104</v>
      </c>
      <c r="E98" s="183"/>
      <c r="F98" s="183"/>
      <c r="G98" s="183"/>
      <c r="H98" s="183"/>
      <c r="I98" s="183"/>
      <c r="J98" s="183"/>
      <c r="K98" s="183"/>
      <c r="L98" s="192">
        <v>34000</v>
      </c>
      <c r="M98" s="192">
        <v>29000</v>
      </c>
      <c r="N98" s="144">
        <v>33200</v>
      </c>
      <c r="O98" s="144">
        <v>29800</v>
      </c>
      <c r="P98" s="143">
        <v>34100</v>
      </c>
      <c r="Q98" s="143">
        <v>35000</v>
      </c>
      <c r="R98" s="143">
        <v>35900</v>
      </c>
      <c r="S98" s="143">
        <v>40000</v>
      </c>
      <c r="T98" s="143">
        <v>40000</v>
      </c>
    </row>
    <row r="99" spans="1:21" ht="24" customHeight="1">
      <c r="A99" s="247" t="s">
        <v>102</v>
      </c>
      <c r="B99" s="183"/>
      <c r="C99" s="183"/>
      <c r="D99" s="247" t="s">
        <v>910</v>
      </c>
      <c r="E99" s="183"/>
      <c r="F99" s="183"/>
      <c r="G99" s="183"/>
      <c r="H99" s="183"/>
      <c r="I99" s="183"/>
      <c r="J99" s="183"/>
      <c r="K99" s="183"/>
      <c r="L99" s="190">
        <v>261</v>
      </c>
      <c r="M99" s="190">
        <v>446</v>
      </c>
      <c r="N99" s="141">
        <v>1000</v>
      </c>
      <c r="O99" s="141">
        <v>500</v>
      </c>
      <c r="P99" s="140">
        <v>1000</v>
      </c>
      <c r="Q99" s="140">
        <v>1000</v>
      </c>
      <c r="R99" s="140">
        <v>1000</v>
      </c>
      <c r="S99" s="140">
        <v>1000</v>
      </c>
      <c r="T99" s="140">
        <v>1000</v>
      </c>
    </row>
    <row r="100" spans="1:21" ht="24" customHeight="1">
      <c r="A100" s="247" t="s">
        <v>1246</v>
      </c>
      <c r="B100" s="183"/>
      <c r="C100" s="183"/>
      <c r="D100" s="1" t="s">
        <v>1245</v>
      </c>
      <c r="E100" s="183"/>
      <c r="F100" s="183"/>
      <c r="G100" s="183"/>
      <c r="H100" s="183"/>
      <c r="I100" s="183"/>
      <c r="J100" s="183"/>
      <c r="K100" s="183"/>
      <c r="L100" s="196">
        <v>0</v>
      </c>
      <c r="M100" s="196">
        <v>0</v>
      </c>
      <c r="N100" s="150">
        <v>2836</v>
      </c>
      <c r="O100" s="150">
        <v>2836</v>
      </c>
      <c r="P100" s="149">
        <v>0</v>
      </c>
      <c r="Q100" s="149">
        <v>0</v>
      </c>
      <c r="R100" s="149">
        <v>1459</v>
      </c>
      <c r="S100" s="149">
        <v>1916</v>
      </c>
      <c r="T100" s="149">
        <v>3620</v>
      </c>
    </row>
    <row r="101" spans="1:21" ht="24" customHeight="1">
      <c r="A101" s="247" t="s">
        <v>101</v>
      </c>
      <c r="B101" s="248"/>
      <c r="C101" s="248"/>
      <c r="D101" s="247" t="s">
        <v>911</v>
      </c>
      <c r="E101" s="248"/>
      <c r="F101" s="248"/>
      <c r="G101" s="183"/>
      <c r="H101" s="183"/>
      <c r="I101" s="183"/>
      <c r="J101" s="183"/>
      <c r="K101" s="183"/>
      <c r="L101" s="190">
        <v>2572</v>
      </c>
      <c r="M101" s="190">
        <v>2989</v>
      </c>
      <c r="N101" s="141">
        <v>3500</v>
      </c>
      <c r="O101" s="141">
        <v>3500</v>
      </c>
      <c r="P101" s="140">
        <v>3500</v>
      </c>
      <c r="Q101" s="140">
        <v>3500</v>
      </c>
      <c r="R101" s="140">
        <v>3500</v>
      </c>
      <c r="S101" s="140">
        <v>3500</v>
      </c>
      <c r="T101" s="140">
        <v>3500</v>
      </c>
    </row>
    <row r="102" spans="1:21" ht="24" customHeight="1">
      <c r="A102" s="247" t="s">
        <v>100</v>
      </c>
      <c r="B102" s="183"/>
      <c r="C102" s="183"/>
      <c r="D102" s="247" t="s">
        <v>215</v>
      </c>
      <c r="E102" s="183"/>
      <c r="F102" s="183"/>
      <c r="G102" s="183"/>
      <c r="H102" s="183"/>
      <c r="I102" s="183"/>
      <c r="J102" s="183"/>
      <c r="K102" s="183"/>
      <c r="L102" s="190">
        <v>1150</v>
      </c>
      <c r="M102" s="190">
        <v>1104</v>
      </c>
      <c r="N102" s="141">
        <v>1250</v>
      </c>
      <c r="O102" s="141">
        <v>1250</v>
      </c>
      <c r="P102" s="140">
        <v>1250</v>
      </c>
      <c r="Q102" s="140">
        <v>1250</v>
      </c>
      <c r="R102" s="140">
        <v>1250</v>
      </c>
      <c r="S102" s="140">
        <v>1250</v>
      </c>
      <c r="T102" s="140">
        <v>1250</v>
      </c>
    </row>
    <row r="103" spans="1:21" ht="24" customHeight="1">
      <c r="A103" s="247" t="s">
        <v>99</v>
      </c>
      <c r="B103" s="183"/>
      <c r="C103" s="183"/>
      <c r="D103" s="247" t="s">
        <v>88</v>
      </c>
      <c r="E103" s="183"/>
      <c r="F103" s="183"/>
      <c r="G103" s="248"/>
      <c r="H103" s="248"/>
      <c r="I103" s="248"/>
      <c r="J103" s="248"/>
      <c r="K103" s="248"/>
      <c r="L103" s="190">
        <v>1033</v>
      </c>
      <c r="M103" s="190">
        <v>897</v>
      </c>
      <c r="N103" s="141">
        <v>1200</v>
      </c>
      <c r="O103" s="141">
        <v>1200</v>
      </c>
      <c r="P103" s="140">
        <v>1200</v>
      </c>
      <c r="Q103" s="140">
        <v>1200</v>
      </c>
      <c r="R103" s="140">
        <v>1200</v>
      </c>
      <c r="S103" s="140">
        <v>1200</v>
      </c>
      <c r="T103" s="140">
        <v>1200</v>
      </c>
    </row>
    <row r="104" spans="1:21" ht="24" customHeight="1">
      <c r="A104" s="247" t="s">
        <v>190</v>
      </c>
      <c r="B104" s="248"/>
      <c r="C104" s="248"/>
      <c r="D104" s="247" t="s">
        <v>912</v>
      </c>
      <c r="E104" s="248"/>
      <c r="F104" s="248"/>
      <c r="G104" s="248"/>
      <c r="H104" s="248"/>
      <c r="I104" s="248"/>
      <c r="J104" s="183"/>
      <c r="K104" s="183"/>
      <c r="L104" s="192">
        <v>1010</v>
      </c>
      <c r="M104" s="192">
        <v>985</v>
      </c>
      <c r="N104" s="144">
        <v>1250</v>
      </c>
      <c r="O104" s="144">
        <v>1250</v>
      </c>
      <c r="P104" s="143">
        <v>1500</v>
      </c>
      <c r="Q104" s="143">
        <v>1500</v>
      </c>
      <c r="R104" s="143">
        <v>1500</v>
      </c>
      <c r="S104" s="143">
        <v>1500</v>
      </c>
      <c r="T104" s="143">
        <v>1500</v>
      </c>
    </row>
    <row r="105" spans="1:21" ht="24" customHeight="1">
      <c r="A105" s="247" t="s">
        <v>98</v>
      </c>
      <c r="B105" s="248"/>
      <c r="C105" s="248"/>
      <c r="D105" s="247" t="s">
        <v>10</v>
      </c>
      <c r="E105" s="248"/>
      <c r="F105" s="248"/>
      <c r="G105" s="183"/>
      <c r="H105" s="183"/>
      <c r="I105" s="183"/>
      <c r="J105" s="183"/>
      <c r="K105" s="183"/>
      <c r="L105" s="205">
        <v>39002</v>
      </c>
      <c r="M105" s="205">
        <v>43325</v>
      </c>
      <c r="N105" s="160">
        <v>46000</v>
      </c>
      <c r="O105" s="160">
        <v>50000</v>
      </c>
      <c r="P105" s="159">
        <v>60000</v>
      </c>
      <c r="Q105" s="159">
        <v>55000</v>
      </c>
      <c r="R105" s="159">
        <v>55000</v>
      </c>
      <c r="S105" s="159">
        <v>55000</v>
      </c>
      <c r="T105" s="159">
        <v>55000</v>
      </c>
    </row>
    <row r="106" spans="1:21" ht="24" customHeight="1">
      <c r="A106" s="247" t="s">
        <v>97</v>
      </c>
      <c r="B106" s="183"/>
      <c r="C106" s="183"/>
      <c r="D106" s="247" t="s">
        <v>85</v>
      </c>
      <c r="E106" s="183"/>
      <c r="F106" s="183"/>
      <c r="G106" s="183"/>
      <c r="H106" s="183"/>
      <c r="I106" s="183"/>
      <c r="J106" s="248"/>
      <c r="K106" s="248"/>
      <c r="L106" s="205">
        <v>1995</v>
      </c>
      <c r="M106" s="205">
        <v>1941</v>
      </c>
      <c r="N106" s="141">
        <v>2200</v>
      </c>
      <c r="O106" s="141">
        <v>2200</v>
      </c>
      <c r="P106" s="149">
        <v>2200</v>
      </c>
      <c r="Q106" s="140">
        <v>2200</v>
      </c>
      <c r="R106" s="140">
        <v>2200</v>
      </c>
      <c r="S106" s="140">
        <v>2200</v>
      </c>
      <c r="T106" s="140">
        <v>2200</v>
      </c>
    </row>
    <row r="107" spans="1:21" ht="24" customHeight="1">
      <c r="A107" s="247" t="s">
        <v>105</v>
      </c>
      <c r="B107" s="183"/>
      <c r="C107" s="183"/>
      <c r="D107" s="247" t="s">
        <v>11</v>
      </c>
      <c r="E107" s="183"/>
      <c r="F107" s="183"/>
      <c r="G107" s="183"/>
      <c r="H107" s="183"/>
      <c r="I107" s="183"/>
      <c r="J107" s="183"/>
      <c r="K107" s="183"/>
      <c r="L107" s="197">
        <f>2493+35</f>
        <v>2528</v>
      </c>
      <c r="M107" s="197">
        <v>1898</v>
      </c>
      <c r="N107" s="161">
        <v>2700</v>
      </c>
      <c r="O107" s="161">
        <v>2000</v>
      </c>
      <c r="P107" s="151">
        <v>2500</v>
      </c>
      <c r="Q107" s="151">
        <v>2500</v>
      </c>
      <c r="R107" s="151">
        <v>2500</v>
      </c>
      <c r="S107" s="151">
        <v>2500</v>
      </c>
      <c r="T107" s="151">
        <v>2500</v>
      </c>
    </row>
    <row r="108" spans="1:21" s="183" customFormat="1" ht="24" customHeight="1">
      <c r="A108" s="247"/>
      <c r="D108" s="247"/>
      <c r="L108" s="203">
        <f t="shared" ref="L108:T108" si="2">SUM(L90:L107)</f>
        <v>399439</v>
      </c>
      <c r="M108" s="203">
        <f t="shared" si="2"/>
        <v>444035</v>
      </c>
      <c r="N108" s="206">
        <f t="shared" si="2"/>
        <v>490629</v>
      </c>
      <c r="O108" s="206">
        <f>SUM(O90:O107)</f>
        <v>480315</v>
      </c>
      <c r="P108" s="215">
        <f t="shared" si="2"/>
        <v>531841</v>
      </c>
      <c r="Q108" s="215">
        <f t="shared" si="2"/>
        <v>544462</v>
      </c>
      <c r="R108" s="215">
        <f t="shared" si="2"/>
        <v>564429</v>
      </c>
      <c r="S108" s="215">
        <f t="shared" si="2"/>
        <v>587468</v>
      </c>
      <c r="T108" s="215">
        <f t="shared" si="2"/>
        <v>608576</v>
      </c>
      <c r="U108" s="64"/>
    </row>
    <row r="109" spans="1:21" ht="15" customHeight="1">
      <c r="A109" s="247"/>
      <c r="B109" s="183"/>
      <c r="C109" s="183"/>
      <c r="D109" s="247"/>
      <c r="E109" s="183"/>
      <c r="F109" s="183"/>
      <c r="G109" s="183"/>
      <c r="H109" s="183"/>
      <c r="I109" s="183"/>
      <c r="J109" s="183"/>
      <c r="K109" s="183"/>
      <c r="L109" s="190"/>
      <c r="M109" s="190"/>
      <c r="N109" s="141"/>
      <c r="O109" s="141"/>
      <c r="P109" s="140"/>
      <c r="Q109" s="140"/>
      <c r="R109" s="140"/>
      <c r="S109" s="140"/>
      <c r="T109" s="140"/>
    </row>
    <row r="110" spans="1:21" ht="24" customHeight="1">
      <c r="A110" s="251" t="s">
        <v>456</v>
      </c>
      <c r="B110" s="183"/>
      <c r="C110" s="183"/>
      <c r="D110" s="183"/>
      <c r="E110" s="183"/>
      <c r="F110" s="183"/>
      <c r="G110" s="183"/>
      <c r="H110" s="183"/>
      <c r="I110" s="183"/>
      <c r="J110" s="183"/>
      <c r="K110" s="183"/>
      <c r="L110" s="199"/>
      <c r="M110" s="199"/>
      <c r="N110" s="155"/>
      <c r="O110" s="155"/>
      <c r="P110" s="154"/>
      <c r="Q110" s="154"/>
      <c r="R110" s="154"/>
      <c r="S110" s="154"/>
      <c r="T110" s="154"/>
    </row>
    <row r="111" spans="1:21" ht="24" customHeight="1">
      <c r="A111" s="247" t="s">
        <v>902</v>
      </c>
      <c r="B111" s="250"/>
      <c r="C111" s="250"/>
      <c r="D111" s="247" t="s">
        <v>113</v>
      </c>
      <c r="E111" s="250"/>
      <c r="F111" s="250"/>
      <c r="G111" s="250"/>
      <c r="H111" s="250"/>
      <c r="I111" s="250"/>
      <c r="J111" s="250"/>
      <c r="K111" s="250"/>
      <c r="L111" s="193">
        <v>1542800</v>
      </c>
      <c r="M111" s="193">
        <v>1652672</v>
      </c>
      <c r="N111" s="150">
        <v>1775116</v>
      </c>
      <c r="O111" s="150">
        <v>1695000</v>
      </c>
      <c r="P111" s="149">
        <v>1924224</v>
      </c>
      <c r="Q111" s="149">
        <v>2110507</v>
      </c>
      <c r="R111" s="149">
        <v>2237631</v>
      </c>
      <c r="S111" s="149">
        <v>2370484</v>
      </c>
      <c r="T111" s="149">
        <v>2509295</v>
      </c>
    </row>
    <row r="112" spans="1:21" ht="24" customHeight="1">
      <c r="A112" s="247" t="s">
        <v>616</v>
      </c>
      <c r="B112" s="250"/>
      <c r="C112" s="250"/>
      <c r="D112" s="249" t="s">
        <v>617</v>
      </c>
      <c r="E112" s="250"/>
      <c r="F112" s="250"/>
      <c r="G112" s="250"/>
      <c r="H112" s="250"/>
      <c r="I112" s="250"/>
      <c r="J112" s="250"/>
      <c r="K112" s="250"/>
      <c r="L112" s="193">
        <v>351000</v>
      </c>
      <c r="M112" s="193">
        <v>365716</v>
      </c>
      <c r="N112" s="150">
        <v>385551</v>
      </c>
      <c r="O112" s="150">
        <v>447500</v>
      </c>
      <c r="P112" s="149">
        <v>396159</v>
      </c>
      <c r="Q112" s="149">
        <v>408044</v>
      </c>
      <c r="R112" s="149">
        <v>420285</v>
      </c>
      <c r="S112" s="149">
        <v>432894</v>
      </c>
      <c r="T112" s="149">
        <v>445881</v>
      </c>
    </row>
    <row r="113" spans="1:20" ht="24" customHeight="1">
      <c r="A113" s="247" t="s">
        <v>110</v>
      </c>
      <c r="B113" s="250"/>
      <c r="C113" s="250"/>
      <c r="D113" s="247" t="s">
        <v>618</v>
      </c>
      <c r="E113" s="250"/>
      <c r="F113" s="250"/>
      <c r="G113" s="250"/>
      <c r="H113" s="250"/>
      <c r="I113" s="250"/>
      <c r="J113" s="250"/>
      <c r="K113" s="250"/>
      <c r="L113" s="190">
        <v>577455</v>
      </c>
      <c r="M113" s="190">
        <v>588265</v>
      </c>
      <c r="N113" s="150">
        <v>616592</v>
      </c>
      <c r="O113" s="150">
        <v>578000</v>
      </c>
      <c r="P113" s="149">
        <v>644811</v>
      </c>
      <c r="Q113" s="149">
        <v>664155</v>
      </c>
      <c r="R113" s="149">
        <v>684080</v>
      </c>
      <c r="S113" s="149">
        <v>704602</v>
      </c>
      <c r="T113" s="149">
        <v>725740</v>
      </c>
    </row>
    <row r="114" spans="1:20" ht="24" customHeight="1">
      <c r="A114" s="247" t="s">
        <v>109</v>
      </c>
      <c r="B114" s="250"/>
      <c r="C114" s="250"/>
      <c r="D114" s="247" t="s">
        <v>112</v>
      </c>
      <c r="E114" s="250"/>
      <c r="F114" s="250"/>
      <c r="G114" s="250"/>
      <c r="H114" s="250"/>
      <c r="I114" s="250"/>
      <c r="J114" s="250"/>
      <c r="K114" s="250"/>
      <c r="L114" s="192">
        <v>136050</v>
      </c>
      <c r="M114" s="192">
        <v>141996</v>
      </c>
      <c r="N114" s="150">
        <v>169464</v>
      </c>
      <c r="O114" s="150">
        <v>162500</v>
      </c>
      <c r="P114" s="149">
        <v>175554</v>
      </c>
      <c r="Q114" s="149">
        <v>180821</v>
      </c>
      <c r="R114" s="149">
        <v>186246</v>
      </c>
      <c r="S114" s="149">
        <v>191833</v>
      </c>
      <c r="T114" s="149">
        <v>197588</v>
      </c>
    </row>
    <row r="115" spans="1:20" ht="24" customHeight="1">
      <c r="A115" s="247" t="s">
        <v>108</v>
      </c>
      <c r="B115" s="250"/>
      <c r="C115" s="250"/>
      <c r="D115" s="247" t="s">
        <v>111</v>
      </c>
      <c r="E115" s="250"/>
      <c r="F115" s="250"/>
      <c r="G115" s="250"/>
      <c r="H115" s="250"/>
      <c r="I115" s="250"/>
      <c r="J115" s="250"/>
      <c r="K115" s="250"/>
      <c r="L115" s="192">
        <v>23437</v>
      </c>
      <c r="M115" s="192">
        <v>24855</v>
      </c>
      <c r="N115" s="144">
        <v>24000</v>
      </c>
      <c r="O115" s="144">
        <v>27500</v>
      </c>
      <c r="P115" s="143">
        <v>27500</v>
      </c>
      <c r="Q115" s="143">
        <v>27500</v>
      </c>
      <c r="R115" s="143">
        <v>27500</v>
      </c>
      <c r="S115" s="143">
        <v>27500</v>
      </c>
      <c r="T115" s="143">
        <v>27500</v>
      </c>
    </row>
    <row r="116" spans="1:20" ht="24" customHeight="1">
      <c r="A116" s="247" t="s">
        <v>107</v>
      </c>
      <c r="B116" s="250"/>
      <c r="C116" s="250"/>
      <c r="D116" s="247" t="s">
        <v>68</v>
      </c>
      <c r="E116" s="250"/>
      <c r="F116" s="250"/>
      <c r="G116" s="250"/>
      <c r="H116" s="250"/>
      <c r="I116" s="250"/>
      <c r="J116" s="250"/>
      <c r="K116" s="250"/>
      <c r="L116" s="190">
        <v>50180</v>
      </c>
      <c r="M116" s="190">
        <v>39961</v>
      </c>
      <c r="N116" s="141">
        <v>70000</v>
      </c>
      <c r="O116" s="141">
        <v>40000</v>
      </c>
      <c r="P116" s="140">
        <v>70000</v>
      </c>
      <c r="Q116" s="140">
        <v>70000</v>
      </c>
      <c r="R116" s="140">
        <v>70000</v>
      </c>
      <c r="S116" s="140">
        <v>70000</v>
      </c>
      <c r="T116" s="140">
        <v>70000</v>
      </c>
    </row>
    <row r="117" spans="1:20" ht="24" customHeight="1">
      <c r="A117" s="247" t="s">
        <v>106</v>
      </c>
      <c r="B117" s="248"/>
      <c r="C117" s="248"/>
      <c r="D117" s="247" t="s">
        <v>14</v>
      </c>
      <c r="E117" s="248"/>
      <c r="F117" s="248"/>
      <c r="G117" s="248"/>
      <c r="H117" s="248"/>
      <c r="I117" s="248"/>
      <c r="J117" s="248"/>
      <c r="K117" s="248"/>
      <c r="L117" s="193">
        <v>99841</v>
      </c>
      <c r="M117" s="193">
        <v>97618</v>
      </c>
      <c r="N117" s="141">
        <v>111000</v>
      </c>
      <c r="O117" s="141">
        <v>100000</v>
      </c>
      <c r="P117" s="140">
        <v>111000</v>
      </c>
      <c r="Q117" s="140">
        <v>111000</v>
      </c>
      <c r="R117" s="140">
        <v>111000</v>
      </c>
      <c r="S117" s="140">
        <v>111000</v>
      </c>
      <c r="T117" s="140">
        <v>111000</v>
      </c>
    </row>
    <row r="118" spans="1:20" ht="24" customHeight="1">
      <c r="A118" s="247" t="s">
        <v>116</v>
      </c>
      <c r="B118" s="248"/>
      <c r="C118" s="248"/>
      <c r="D118" s="247" t="s">
        <v>8</v>
      </c>
      <c r="E118" s="248"/>
      <c r="F118" s="248"/>
      <c r="G118" s="248"/>
      <c r="H118" s="248"/>
      <c r="I118" s="248"/>
      <c r="J118" s="248"/>
      <c r="K118" s="248"/>
      <c r="L118" s="192">
        <v>14661</v>
      </c>
      <c r="M118" s="192">
        <v>15192</v>
      </c>
      <c r="N118" s="150">
        <v>18105</v>
      </c>
      <c r="O118" s="150">
        <v>18105</v>
      </c>
      <c r="P118" s="143">
        <v>16106</v>
      </c>
      <c r="Q118" s="143">
        <v>17051</v>
      </c>
      <c r="R118" s="143">
        <v>18084</v>
      </c>
      <c r="S118" s="143">
        <v>19183</v>
      </c>
      <c r="T118" s="143">
        <v>20352</v>
      </c>
    </row>
    <row r="119" spans="1:20" ht="24" customHeight="1">
      <c r="A119" s="247" t="s">
        <v>115</v>
      </c>
      <c r="B119" s="183"/>
      <c r="C119" s="183"/>
      <c r="D119" s="494" t="s">
        <v>977</v>
      </c>
      <c r="E119" s="494"/>
      <c r="F119" s="494"/>
      <c r="G119" s="494"/>
      <c r="H119" s="494"/>
      <c r="I119" s="494"/>
      <c r="J119" s="494"/>
      <c r="K119" s="494"/>
      <c r="L119" s="192">
        <v>825413</v>
      </c>
      <c r="M119" s="192">
        <v>966211</v>
      </c>
      <c r="N119" s="351">
        <v>963361</v>
      </c>
      <c r="O119" s="351">
        <v>963361</v>
      </c>
      <c r="P119" s="192">
        <v>1111484</v>
      </c>
      <c r="Q119" s="192">
        <v>1161484</v>
      </c>
      <c r="R119" s="192">
        <v>1211484</v>
      </c>
      <c r="S119" s="192">
        <v>1261484</v>
      </c>
      <c r="T119" s="192">
        <v>1311484</v>
      </c>
    </row>
    <row r="120" spans="1:20" ht="24" customHeight="1">
      <c r="A120" s="247" t="s">
        <v>114</v>
      </c>
      <c r="B120" s="248"/>
      <c r="C120" s="248"/>
      <c r="D120" s="247" t="s">
        <v>9</v>
      </c>
      <c r="E120" s="248"/>
      <c r="F120" s="248"/>
      <c r="G120" s="248"/>
      <c r="H120" s="248"/>
      <c r="I120" s="248"/>
      <c r="J120" s="248"/>
      <c r="K120" s="248"/>
      <c r="L120" s="192">
        <v>204346</v>
      </c>
      <c r="M120" s="192">
        <v>215493</v>
      </c>
      <c r="N120" s="150">
        <v>234853</v>
      </c>
      <c r="O120" s="150">
        <v>222000</v>
      </c>
      <c r="P120" s="149">
        <v>245951</v>
      </c>
      <c r="Q120" s="149">
        <v>262579</v>
      </c>
      <c r="R120" s="149">
        <v>275338</v>
      </c>
      <c r="S120" s="149">
        <v>288626</v>
      </c>
      <c r="T120" s="149">
        <v>302464</v>
      </c>
    </row>
    <row r="121" spans="1:20" ht="24" customHeight="1">
      <c r="A121" s="247" t="s">
        <v>485</v>
      </c>
      <c r="B121" s="248"/>
      <c r="C121" s="248"/>
      <c r="D121" s="247" t="s">
        <v>13</v>
      </c>
      <c r="E121" s="248"/>
      <c r="F121" s="248"/>
      <c r="G121" s="248"/>
      <c r="H121" s="248"/>
      <c r="I121" s="248"/>
      <c r="J121" s="248"/>
      <c r="K121" s="248"/>
      <c r="L121" s="193">
        <v>626179</v>
      </c>
      <c r="M121" s="193">
        <v>659332</v>
      </c>
      <c r="N121" s="150">
        <v>686289</v>
      </c>
      <c r="O121" s="150">
        <v>626752</v>
      </c>
      <c r="P121" s="146">
        <v>741025</v>
      </c>
      <c r="Q121" s="146">
        <v>856732</v>
      </c>
      <c r="R121" s="146">
        <v>956270</v>
      </c>
      <c r="S121" s="146">
        <v>1066251</v>
      </c>
      <c r="T121" s="146">
        <v>1187709</v>
      </c>
    </row>
    <row r="122" spans="1:20" ht="24" customHeight="1">
      <c r="A122" s="247" t="s">
        <v>486</v>
      </c>
      <c r="B122" s="248"/>
      <c r="C122" s="248"/>
      <c r="D122" s="247" t="s">
        <v>166</v>
      </c>
      <c r="E122" s="248"/>
      <c r="F122" s="248"/>
      <c r="G122" s="248"/>
      <c r="H122" s="248"/>
      <c r="I122" s="248"/>
      <c r="J122" s="248"/>
      <c r="K122" s="248"/>
      <c r="L122" s="193">
        <v>3416</v>
      </c>
      <c r="M122" s="193">
        <v>3620</v>
      </c>
      <c r="N122" s="150">
        <v>2619</v>
      </c>
      <c r="O122" s="150">
        <v>2321</v>
      </c>
      <c r="P122" s="146">
        <v>2748</v>
      </c>
      <c r="Q122" s="146">
        <v>2941</v>
      </c>
      <c r="R122" s="146">
        <v>3054</v>
      </c>
      <c r="S122" s="146">
        <v>3170</v>
      </c>
      <c r="T122" s="146">
        <v>3288</v>
      </c>
    </row>
    <row r="123" spans="1:20" ht="24" customHeight="1">
      <c r="A123" s="247" t="s">
        <v>487</v>
      </c>
      <c r="B123" s="248"/>
      <c r="C123" s="248"/>
      <c r="D123" s="247" t="s">
        <v>503</v>
      </c>
      <c r="E123" s="248"/>
      <c r="F123" s="248"/>
      <c r="G123" s="248"/>
      <c r="H123" s="248"/>
      <c r="I123" s="248"/>
      <c r="J123" s="248"/>
      <c r="K123" s="248"/>
      <c r="L123" s="193">
        <v>48646</v>
      </c>
      <c r="M123" s="193">
        <v>48896</v>
      </c>
      <c r="N123" s="150">
        <v>48434</v>
      </c>
      <c r="O123" s="150">
        <v>46452</v>
      </c>
      <c r="P123" s="146">
        <v>50770</v>
      </c>
      <c r="Q123" s="146">
        <v>57033</v>
      </c>
      <c r="R123" s="146">
        <v>61889</v>
      </c>
      <c r="S123" s="146">
        <v>67088</v>
      </c>
      <c r="T123" s="146">
        <v>72653</v>
      </c>
    </row>
    <row r="124" spans="1:20" ht="24" customHeight="1">
      <c r="A124" s="247" t="s">
        <v>507</v>
      </c>
      <c r="B124" s="248"/>
      <c r="C124" s="248"/>
      <c r="D124" s="247" t="s">
        <v>505</v>
      </c>
      <c r="E124" s="248"/>
      <c r="F124" s="248"/>
      <c r="G124" s="248"/>
      <c r="H124" s="248"/>
      <c r="I124" s="248"/>
      <c r="J124" s="248"/>
      <c r="K124" s="248"/>
      <c r="L124" s="193">
        <v>5928</v>
      </c>
      <c r="M124" s="193">
        <v>6594</v>
      </c>
      <c r="N124" s="150">
        <v>6761</v>
      </c>
      <c r="O124" s="150">
        <v>6468</v>
      </c>
      <c r="P124" s="146">
        <v>7080</v>
      </c>
      <c r="Q124" s="146">
        <v>7552</v>
      </c>
      <c r="R124" s="146">
        <v>8022</v>
      </c>
      <c r="S124" s="146">
        <v>8514</v>
      </c>
      <c r="T124" s="146">
        <v>9028</v>
      </c>
    </row>
    <row r="125" spans="1:20" ht="24" customHeight="1">
      <c r="A125" s="247" t="s">
        <v>191</v>
      </c>
      <c r="B125" s="183"/>
      <c r="C125" s="183"/>
      <c r="D125" s="247" t="s">
        <v>91</v>
      </c>
      <c r="E125" s="183"/>
      <c r="F125" s="183"/>
      <c r="G125" s="183"/>
      <c r="H125" s="183"/>
      <c r="I125" s="183"/>
      <c r="J125" s="183"/>
      <c r="K125" s="183"/>
      <c r="L125" s="190">
        <v>9832</v>
      </c>
      <c r="M125" s="190">
        <v>8442</v>
      </c>
      <c r="N125" s="141">
        <v>15000</v>
      </c>
      <c r="O125" s="141">
        <v>15000</v>
      </c>
      <c r="P125" s="140">
        <v>17272</v>
      </c>
      <c r="Q125" s="140">
        <v>17272</v>
      </c>
      <c r="R125" s="140">
        <v>4006</v>
      </c>
      <c r="S125" s="140">
        <v>2800</v>
      </c>
      <c r="T125" s="140">
        <v>2800</v>
      </c>
    </row>
    <row r="126" spans="1:20" ht="24" customHeight="1">
      <c r="A126" s="247" t="s">
        <v>222</v>
      </c>
      <c r="B126" s="183"/>
      <c r="C126" s="183"/>
      <c r="D126" s="247" t="s">
        <v>221</v>
      </c>
      <c r="E126" s="183"/>
      <c r="F126" s="183"/>
      <c r="G126" s="183"/>
      <c r="H126" s="183"/>
      <c r="I126" s="183"/>
      <c r="J126" s="183"/>
      <c r="K126" s="183"/>
      <c r="L126" s="190">
        <v>3198</v>
      </c>
      <c r="M126" s="190">
        <v>13844</v>
      </c>
      <c r="N126" s="141">
        <v>4000</v>
      </c>
      <c r="O126" s="141">
        <v>4000</v>
      </c>
      <c r="P126" s="140">
        <v>4000</v>
      </c>
      <c r="Q126" s="140">
        <v>15000</v>
      </c>
      <c r="R126" s="169">
        <v>4000</v>
      </c>
      <c r="S126" s="140">
        <v>4000</v>
      </c>
      <c r="T126" s="140">
        <v>15000</v>
      </c>
    </row>
    <row r="127" spans="1:20" ht="24" customHeight="1">
      <c r="A127" s="247" t="s">
        <v>192</v>
      </c>
      <c r="B127" s="183"/>
      <c r="C127" s="183"/>
      <c r="D127" s="247" t="s">
        <v>125</v>
      </c>
      <c r="E127" s="183"/>
      <c r="F127" s="183"/>
      <c r="G127" s="183"/>
      <c r="H127" s="183"/>
      <c r="I127" s="183"/>
      <c r="J127" s="183"/>
      <c r="K127" s="183"/>
      <c r="L127" s="193">
        <v>12433</v>
      </c>
      <c r="M127" s="193">
        <v>16862</v>
      </c>
      <c r="N127" s="141">
        <v>21000</v>
      </c>
      <c r="O127" s="141">
        <v>21000</v>
      </c>
      <c r="P127" s="140">
        <v>21000</v>
      </c>
      <c r="Q127" s="140">
        <v>21000</v>
      </c>
      <c r="R127" s="140">
        <v>21000</v>
      </c>
      <c r="S127" s="140">
        <v>21000</v>
      </c>
      <c r="T127" s="140">
        <v>21000</v>
      </c>
    </row>
    <row r="128" spans="1:20" ht="24" customHeight="1">
      <c r="A128" s="247" t="s">
        <v>123</v>
      </c>
      <c r="B128" s="183"/>
      <c r="C128" s="183"/>
      <c r="D128" s="247" t="s">
        <v>910</v>
      </c>
      <c r="E128" s="183"/>
      <c r="F128" s="183"/>
      <c r="G128" s="183"/>
      <c r="H128" s="183"/>
      <c r="I128" s="183"/>
      <c r="J128" s="183"/>
      <c r="K128" s="183"/>
      <c r="L128" s="192">
        <v>1253</v>
      </c>
      <c r="M128" s="192">
        <v>7541</v>
      </c>
      <c r="N128" s="144">
        <v>10000</v>
      </c>
      <c r="O128" s="144">
        <v>10000</v>
      </c>
      <c r="P128" s="143">
        <v>10000</v>
      </c>
      <c r="Q128" s="143">
        <v>10000</v>
      </c>
      <c r="R128" s="143">
        <v>10000</v>
      </c>
      <c r="S128" s="143">
        <v>10000</v>
      </c>
      <c r="T128" s="143">
        <v>10000</v>
      </c>
    </row>
    <row r="129" spans="1:20" ht="24" customHeight="1">
      <c r="A129" s="247" t="s">
        <v>865</v>
      </c>
      <c r="B129" s="183"/>
      <c r="C129" s="183"/>
      <c r="D129" s="247" t="s">
        <v>866</v>
      </c>
      <c r="E129" s="183"/>
      <c r="F129" s="183"/>
      <c r="G129" s="183"/>
      <c r="H129" s="183"/>
      <c r="I129" s="183"/>
      <c r="J129" s="183"/>
      <c r="K129" s="183"/>
      <c r="L129" s="190">
        <v>97459</v>
      </c>
      <c r="M129" s="190">
        <v>130208</v>
      </c>
      <c r="N129" s="141">
        <v>140241</v>
      </c>
      <c r="O129" s="141">
        <v>94687</v>
      </c>
      <c r="P129" s="140">
        <v>24032</v>
      </c>
      <c r="Q129" s="140">
        <v>25100</v>
      </c>
      <c r="R129" s="140">
        <v>25100</v>
      </c>
      <c r="S129" s="140">
        <v>25100</v>
      </c>
      <c r="T129" s="140">
        <v>25100</v>
      </c>
    </row>
    <row r="130" spans="1:20" ht="24" customHeight="1">
      <c r="A130" s="247" t="s">
        <v>1247</v>
      </c>
      <c r="B130" s="183"/>
      <c r="C130" s="183"/>
      <c r="D130" s="1" t="s">
        <v>1245</v>
      </c>
      <c r="E130" s="183"/>
      <c r="F130" s="183"/>
      <c r="G130" s="183"/>
      <c r="H130" s="183"/>
      <c r="I130" s="183"/>
      <c r="J130" s="183"/>
      <c r="K130" s="183"/>
      <c r="L130" s="196">
        <v>0</v>
      </c>
      <c r="M130" s="196">
        <v>0</v>
      </c>
      <c r="N130" s="150">
        <v>9358</v>
      </c>
      <c r="O130" s="150">
        <v>9358</v>
      </c>
      <c r="P130" s="149">
        <v>4301</v>
      </c>
      <c r="Q130" s="149">
        <v>2606</v>
      </c>
      <c r="R130" s="149">
        <v>5834</v>
      </c>
      <c r="S130" s="149">
        <v>9768</v>
      </c>
      <c r="T130" s="149">
        <v>11943</v>
      </c>
    </row>
    <row r="131" spans="1:20" ht="24" customHeight="1">
      <c r="A131" s="247" t="s">
        <v>122</v>
      </c>
      <c r="B131" s="183"/>
      <c r="C131" s="183"/>
      <c r="D131" s="247" t="s">
        <v>911</v>
      </c>
      <c r="E131" s="183"/>
      <c r="F131" s="183"/>
      <c r="G131" s="183"/>
      <c r="H131" s="183"/>
      <c r="I131" s="183"/>
      <c r="J131" s="183"/>
      <c r="K131" s="183"/>
      <c r="L131" s="190">
        <v>7931</v>
      </c>
      <c r="M131" s="190">
        <v>5713</v>
      </c>
      <c r="N131" s="141">
        <v>4500</v>
      </c>
      <c r="O131" s="141">
        <v>4500</v>
      </c>
      <c r="P131" s="140">
        <v>4500</v>
      </c>
      <c r="Q131" s="140">
        <v>4500</v>
      </c>
      <c r="R131" s="140">
        <v>4500</v>
      </c>
      <c r="S131" s="140">
        <v>4500</v>
      </c>
      <c r="T131" s="140">
        <v>4500</v>
      </c>
    </row>
    <row r="132" spans="1:20" ht="24" customHeight="1">
      <c r="A132" s="247" t="s">
        <v>121</v>
      </c>
      <c r="B132" s="183"/>
      <c r="C132" s="183"/>
      <c r="D132" s="247" t="s">
        <v>215</v>
      </c>
      <c r="E132" s="183"/>
      <c r="F132" s="183"/>
      <c r="G132" s="183"/>
      <c r="H132" s="183"/>
      <c r="I132" s="183"/>
      <c r="J132" s="183"/>
      <c r="K132" s="183"/>
      <c r="L132" s="192">
        <v>35130</v>
      </c>
      <c r="M132" s="192">
        <v>34985</v>
      </c>
      <c r="N132" s="144">
        <v>36500</v>
      </c>
      <c r="O132" s="144">
        <v>38500</v>
      </c>
      <c r="P132" s="143">
        <v>40000</v>
      </c>
      <c r="Q132" s="143">
        <v>40000</v>
      </c>
      <c r="R132" s="143">
        <v>40000</v>
      </c>
      <c r="S132" s="143">
        <v>40000</v>
      </c>
      <c r="T132" s="143">
        <v>40000</v>
      </c>
    </row>
    <row r="133" spans="1:20" ht="24" customHeight="1">
      <c r="A133" s="247" t="s">
        <v>120</v>
      </c>
      <c r="B133" s="183"/>
      <c r="C133" s="183"/>
      <c r="D133" s="247" t="s">
        <v>88</v>
      </c>
      <c r="E133" s="183"/>
      <c r="F133" s="183"/>
      <c r="G133" s="183"/>
      <c r="H133" s="183"/>
      <c r="I133" s="183"/>
      <c r="J133" s="183"/>
      <c r="K133" s="183"/>
      <c r="L133" s="190">
        <v>1129</v>
      </c>
      <c r="M133" s="190">
        <v>944</v>
      </c>
      <c r="N133" s="141">
        <v>1600</v>
      </c>
      <c r="O133" s="141">
        <v>1600</v>
      </c>
      <c r="P133" s="140">
        <v>1600</v>
      </c>
      <c r="Q133" s="140">
        <v>1600</v>
      </c>
      <c r="R133" s="140">
        <v>1600</v>
      </c>
      <c r="S133" s="140">
        <v>1600</v>
      </c>
      <c r="T133" s="140">
        <v>1600</v>
      </c>
    </row>
    <row r="134" spans="1:20" ht="24" customHeight="1">
      <c r="A134" s="247" t="s">
        <v>194</v>
      </c>
      <c r="B134" s="183"/>
      <c r="C134" s="183"/>
      <c r="D134" s="247" t="s">
        <v>912</v>
      </c>
      <c r="E134" s="183"/>
      <c r="F134" s="183"/>
      <c r="G134" s="183"/>
      <c r="H134" s="183"/>
      <c r="I134" s="183"/>
      <c r="J134" s="183"/>
      <c r="K134" s="183"/>
      <c r="L134" s="192">
        <v>9100</v>
      </c>
      <c r="M134" s="192">
        <v>5985</v>
      </c>
      <c r="N134" s="144">
        <v>5300</v>
      </c>
      <c r="O134" s="144">
        <v>8775</v>
      </c>
      <c r="P134" s="143">
        <v>9000</v>
      </c>
      <c r="Q134" s="143">
        <v>9000</v>
      </c>
      <c r="R134" s="143">
        <v>9000</v>
      </c>
      <c r="S134" s="143">
        <v>9000</v>
      </c>
      <c r="T134" s="143">
        <v>9000</v>
      </c>
    </row>
    <row r="135" spans="1:20" ht="24" customHeight="1">
      <c r="A135" s="247" t="s">
        <v>119</v>
      </c>
      <c r="B135" s="183"/>
      <c r="C135" s="183"/>
      <c r="D135" s="247" t="s">
        <v>10</v>
      </c>
      <c r="E135" s="183"/>
      <c r="F135" s="183"/>
      <c r="G135" s="183"/>
      <c r="H135" s="183"/>
      <c r="I135" s="183"/>
      <c r="J135" s="183"/>
      <c r="K135" s="183"/>
      <c r="L135" s="192">
        <f>21923+395</f>
        <v>22318</v>
      </c>
      <c r="M135" s="192">
        <v>28576</v>
      </c>
      <c r="N135" s="144">
        <v>30000</v>
      </c>
      <c r="O135" s="144">
        <v>30000</v>
      </c>
      <c r="P135" s="143">
        <v>30000</v>
      </c>
      <c r="Q135" s="143">
        <v>30000</v>
      </c>
      <c r="R135" s="143">
        <v>30000</v>
      </c>
      <c r="S135" s="143">
        <v>30000</v>
      </c>
      <c r="T135" s="143">
        <v>30000</v>
      </c>
    </row>
    <row r="136" spans="1:20" ht="24" customHeight="1">
      <c r="A136" s="247" t="s">
        <v>118</v>
      </c>
      <c r="B136" s="183"/>
      <c r="C136" s="183"/>
      <c r="D136" s="247" t="s">
        <v>858</v>
      </c>
      <c r="E136" s="183"/>
      <c r="F136" s="183"/>
      <c r="G136" s="183"/>
      <c r="H136" s="183"/>
      <c r="I136" s="183"/>
      <c r="J136" s="183"/>
      <c r="K136" s="183"/>
      <c r="L136" s="190">
        <v>18560</v>
      </c>
      <c r="M136" s="190">
        <v>12871</v>
      </c>
      <c r="N136" s="141">
        <v>20000</v>
      </c>
      <c r="O136" s="141">
        <v>20000</v>
      </c>
      <c r="P136" s="140">
        <v>20000</v>
      </c>
      <c r="Q136" s="140">
        <v>20000</v>
      </c>
      <c r="R136" s="140">
        <v>20000</v>
      </c>
      <c r="S136" s="140">
        <v>20000</v>
      </c>
      <c r="T136" s="140">
        <v>20000</v>
      </c>
    </row>
    <row r="137" spans="1:20" ht="24" customHeight="1">
      <c r="A137" s="247" t="s">
        <v>117</v>
      </c>
      <c r="B137" s="183"/>
      <c r="C137" s="183"/>
      <c r="D137" s="451" t="s">
        <v>1116</v>
      </c>
      <c r="E137" s="452"/>
      <c r="F137" s="450"/>
      <c r="G137" s="450"/>
      <c r="H137" s="450"/>
      <c r="I137" s="450"/>
      <c r="J137" s="450"/>
      <c r="K137" s="450"/>
      <c r="L137" s="190">
        <v>12489</v>
      </c>
      <c r="M137" s="190">
        <v>1995</v>
      </c>
      <c r="N137" s="141">
        <v>19500</v>
      </c>
      <c r="O137" s="141">
        <v>1995</v>
      </c>
      <c r="P137" s="140">
        <v>2000</v>
      </c>
      <c r="Q137" s="140">
        <v>2000</v>
      </c>
      <c r="R137" s="140">
        <v>2000</v>
      </c>
      <c r="S137" s="140">
        <v>2000</v>
      </c>
      <c r="T137" s="140">
        <v>2000</v>
      </c>
    </row>
    <row r="138" spans="1:20" ht="24" customHeight="1">
      <c r="A138" s="247" t="s">
        <v>233</v>
      </c>
      <c r="B138" s="183"/>
      <c r="C138" s="183"/>
      <c r="D138" s="247" t="s">
        <v>1097</v>
      </c>
      <c r="E138" s="183"/>
      <c r="F138" s="183"/>
      <c r="G138" s="183"/>
      <c r="H138" s="183"/>
      <c r="I138" s="183"/>
      <c r="J138" s="183"/>
      <c r="K138" s="183"/>
      <c r="L138" s="190">
        <v>3239</v>
      </c>
      <c r="M138" s="190">
        <v>3584</v>
      </c>
      <c r="N138" s="141">
        <v>4000</v>
      </c>
      <c r="O138" s="141">
        <v>4000</v>
      </c>
      <c r="P138" s="140">
        <v>4000</v>
      </c>
      <c r="Q138" s="140">
        <v>4000</v>
      </c>
      <c r="R138" s="140">
        <v>4000</v>
      </c>
      <c r="S138" s="140">
        <v>4000</v>
      </c>
      <c r="T138" s="140">
        <v>4000</v>
      </c>
    </row>
    <row r="139" spans="1:20" ht="24" customHeight="1">
      <c r="A139" s="247" t="s">
        <v>193</v>
      </c>
      <c r="B139" s="248"/>
      <c r="C139" s="248"/>
      <c r="D139" s="125" t="s">
        <v>620</v>
      </c>
      <c r="E139" s="248"/>
      <c r="F139" s="183"/>
      <c r="G139" s="183"/>
      <c r="H139" s="183"/>
      <c r="I139" s="183"/>
      <c r="J139" s="183"/>
      <c r="K139" s="183"/>
      <c r="L139" s="192">
        <v>6660</v>
      </c>
      <c r="M139" s="192">
        <v>6660</v>
      </c>
      <c r="N139" s="144">
        <v>7000</v>
      </c>
      <c r="O139" s="144">
        <v>0</v>
      </c>
      <c r="P139" s="143">
        <v>0</v>
      </c>
      <c r="Q139" s="143">
        <v>0</v>
      </c>
      <c r="R139" s="143">
        <v>0</v>
      </c>
      <c r="S139" s="143">
        <v>0</v>
      </c>
      <c r="T139" s="143">
        <v>0</v>
      </c>
    </row>
    <row r="140" spans="1:20" ht="24" customHeight="1">
      <c r="A140" s="247" t="s">
        <v>560</v>
      </c>
      <c r="B140" s="248"/>
      <c r="C140" s="248"/>
      <c r="D140" s="247" t="s">
        <v>85</v>
      </c>
      <c r="E140" s="248"/>
      <c r="F140" s="183"/>
      <c r="G140" s="183"/>
      <c r="H140" s="183"/>
      <c r="I140" s="183"/>
      <c r="J140" s="183"/>
      <c r="K140" s="183"/>
      <c r="L140" s="194">
        <v>6010</v>
      </c>
      <c r="M140" s="194">
        <v>5362</v>
      </c>
      <c r="N140" s="147">
        <v>5750</v>
      </c>
      <c r="O140" s="147">
        <v>5750</v>
      </c>
      <c r="P140" s="149">
        <v>7150</v>
      </c>
      <c r="Q140" s="149">
        <v>7150</v>
      </c>
      <c r="R140" s="149">
        <v>7150</v>
      </c>
      <c r="S140" s="149">
        <v>7150</v>
      </c>
      <c r="T140" s="149">
        <v>7150</v>
      </c>
    </row>
    <row r="141" spans="1:20" ht="24" customHeight="1">
      <c r="A141" s="247" t="s">
        <v>1139</v>
      </c>
      <c r="B141" s="183"/>
      <c r="C141" s="183"/>
      <c r="D141" s="247" t="s">
        <v>86</v>
      </c>
      <c r="E141" s="183"/>
      <c r="F141" s="183"/>
      <c r="G141" s="183"/>
      <c r="H141" s="183"/>
      <c r="I141" s="183"/>
      <c r="J141" s="183"/>
      <c r="K141" s="183"/>
      <c r="L141" s="196">
        <v>0</v>
      </c>
      <c r="M141" s="196">
        <v>11323</v>
      </c>
      <c r="N141" s="150">
        <v>11662</v>
      </c>
      <c r="O141" s="150">
        <v>11416</v>
      </c>
      <c r="P141" s="149">
        <v>11758</v>
      </c>
      <c r="Q141" s="149">
        <v>12111</v>
      </c>
      <c r="R141" s="149">
        <v>12474</v>
      </c>
      <c r="S141" s="149">
        <v>12848</v>
      </c>
      <c r="T141" s="149">
        <v>13233</v>
      </c>
    </row>
    <row r="142" spans="1:20" ht="24" customHeight="1">
      <c r="A142" s="247" t="s">
        <v>204</v>
      </c>
      <c r="B142" s="183"/>
      <c r="C142" s="183"/>
      <c r="D142" s="247" t="s">
        <v>914</v>
      </c>
      <c r="E142" s="183"/>
      <c r="F142" s="183"/>
      <c r="G142" s="183"/>
      <c r="H142" s="183"/>
      <c r="I142" s="183"/>
      <c r="J142" s="183"/>
      <c r="K142" s="183"/>
      <c r="L142" s="194">
        <v>51117</v>
      </c>
      <c r="M142" s="194">
        <v>46358</v>
      </c>
      <c r="N142" s="147">
        <v>60000</v>
      </c>
      <c r="O142" s="147">
        <v>60000</v>
      </c>
      <c r="P142" s="146">
        <v>60000</v>
      </c>
      <c r="Q142" s="146">
        <v>60000</v>
      </c>
      <c r="R142" s="146">
        <v>60000</v>
      </c>
      <c r="S142" s="146">
        <v>60000</v>
      </c>
      <c r="T142" s="146">
        <v>60000</v>
      </c>
    </row>
    <row r="143" spans="1:20" ht="24" customHeight="1">
      <c r="A143" s="247" t="s">
        <v>131</v>
      </c>
      <c r="B143" s="183"/>
      <c r="C143" s="183"/>
      <c r="D143" s="247" t="s">
        <v>93</v>
      </c>
      <c r="E143" s="183"/>
      <c r="F143" s="183"/>
      <c r="G143" s="183"/>
      <c r="H143" s="183"/>
      <c r="I143" s="183"/>
      <c r="J143" s="183"/>
      <c r="K143" s="183"/>
      <c r="L143" s="190">
        <v>10641</v>
      </c>
      <c r="M143" s="190">
        <v>12312</v>
      </c>
      <c r="N143" s="147">
        <v>15000</v>
      </c>
      <c r="O143" s="147">
        <v>15000</v>
      </c>
      <c r="P143" s="146">
        <v>15000</v>
      </c>
      <c r="Q143" s="146">
        <v>15000</v>
      </c>
      <c r="R143" s="146">
        <v>15000</v>
      </c>
      <c r="S143" s="146">
        <v>15000</v>
      </c>
      <c r="T143" s="146">
        <v>15000</v>
      </c>
    </row>
    <row r="144" spans="1:20" ht="24" customHeight="1">
      <c r="A144" s="247" t="s">
        <v>130</v>
      </c>
      <c r="B144" s="183"/>
      <c r="C144" s="183"/>
      <c r="D144" s="247" t="s">
        <v>11</v>
      </c>
      <c r="E144" s="183"/>
      <c r="F144" s="183"/>
      <c r="G144" s="183"/>
      <c r="H144" s="183"/>
      <c r="I144" s="183"/>
      <c r="J144" s="183"/>
      <c r="K144" s="183"/>
      <c r="L144" s="190">
        <v>1883</v>
      </c>
      <c r="M144" s="190">
        <v>2669</v>
      </c>
      <c r="N144" s="141">
        <v>4500</v>
      </c>
      <c r="O144" s="141">
        <v>4500</v>
      </c>
      <c r="P144" s="140">
        <v>4500</v>
      </c>
      <c r="Q144" s="140">
        <v>4500</v>
      </c>
      <c r="R144" s="140">
        <v>4500</v>
      </c>
      <c r="S144" s="140">
        <v>4500</v>
      </c>
      <c r="T144" s="140">
        <v>4500</v>
      </c>
    </row>
    <row r="145" spans="1:21" ht="24" customHeight="1">
      <c r="A145" s="247" t="s">
        <v>129</v>
      </c>
      <c r="B145" s="183"/>
      <c r="C145" s="183"/>
      <c r="D145" s="247" t="s">
        <v>12</v>
      </c>
      <c r="E145" s="183"/>
      <c r="F145" s="183"/>
      <c r="G145" s="183"/>
      <c r="H145" s="183"/>
      <c r="I145" s="183"/>
      <c r="J145" s="183"/>
      <c r="K145" s="183"/>
      <c r="L145" s="190">
        <f>9123+604</f>
        <v>9727</v>
      </c>
      <c r="M145" s="190">
        <v>13029</v>
      </c>
      <c r="N145" s="141">
        <v>16000</v>
      </c>
      <c r="O145" s="141">
        <v>16000</v>
      </c>
      <c r="P145" s="140">
        <v>16000</v>
      </c>
      <c r="Q145" s="140">
        <v>16000</v>
      </c>
      <c r="R145" s="140">
        <v>16000</v>
      </c>
      <c r="S145" s="140">
        <v>16000</v>
      </c>
      <c r="T145" s="140">
        <v>16000</v>
      </c>
    </row>
    <row r="146" spans="1:21" ht="24" customHeight="1">
      <c r="A146" s="247" t="s">
        <v>128</v>
      </c>
      <c r="B146" s="183"/>
      <c r="C146" s="183"/>
      <c r="D146" s="429" t="s">
        <v>224</v>
      </c>
      <c r="E146" s="430"/>
      <c r="F146" s="430"/>
      <c r="G146" s="430"/>
      <c r="H146" s="430"/>
      <c r="I146" s="430"/>
      <c r="J146" s="430"/>
      <c r="K146" s="430"/>
      <c r="L146" s="190">
        <v>5961</v>
      </c>
      <c r="M146" s="190">
        <v>13103</v>
      </c>
      <c r="N146" s="141">
        <v>12500</v>
      </c>
      <c r="O146" s="141">
        <v>12500</v>
      </c>
      <c r="P146" s="140">
        <v>12500</v>
      </c>
      <c r="Q146" s="140">
        <v>12500</v>
      </c>
      <c r="R146" s="140">
        <v>12500</v>
      </c>
      <c r="S146" s="140">
        <v>12500</v>
      </c>
      <c r="T146" s="140">
        <v>12500</v>
      </c>
    </row>
    <row r="147" spans="1:21" ht="24" customHeight="1">
      <c r="A147" s="247" t="s">
        <v>621</v>
      </c>
      <c r="B147" s="183"/>
      <c r="C147" s="183"/>
      <c r="D147" s="247" t="s">
        <v>622</v>
      </c>
      <c r="E147" s="183"/>
      <c r="F147" s="183"/>
      <c r="G147" s="183"/>
      <c r="H147" s="183"/>
      <c r="I147" s="183"/>
      <c r="J147" s="183"/>
      <c r="K147" s="183"/>
      <c r="L147" s="192">
        <v>1012</v>
      </c>
      <c r="M147" s="192">
        <v>1883</v>
      </c>
      <c r="N147" s="144">
        <v>1500</v>
      </c>
      <c r="O147" s="144">
        <v>1500</v>
      </c>
      <c r="P147" s="143">
        <v>1500</v>
      </c>
      <c r="Q147" s="143">
        <v>1500</v>
      </c>
      <c r="R147" s="143">
        <v>1500</v>
      </c>
      <c r="S147" s="143">
        <v>1500</v>
      </c>
      <c r="T147" s="143">
        <v>1500</v>
      </c>
    </row>
    <row r="148" spans="1:21" ht="24" customHeight="1">
      <c r="A148" s="247" t="s">
        <v>210</v>
      </c>
      <c r="B148" s="183"/>
      <c r="C148" s="183"/>
      <c r="D148" s="247" t="s">
        <v>1046</v>
      </c>
      <c r="E148" s="183"/>
      <c r="F148" s="183"/>
      <c r="G148" s="183"/>
      <c r="H148" s="183"/>
      <c r="I148" s="183"/>
      <c r="J148" s="183"/>
      <c r="K148" s="183"/>
      <c r="L148" s="190">
        <v>4636</v>
      </c>
      <c r="M148" s="190">
        <v>4149</v>
      </c>
      <c r="N148" s="141">
        <v>6000</v>
      </c>
      <c r="O148" s="141">
        <v>6000</v>
      </c>
      <c r="P148" s="140">
        <v>6000</v>
      </c>
      <c r="Q148" s="140">
        <v>6000</v>
      </c>
      <c r="R148" s="140">
        <v>6000</v>
      </c>
      <c r="S148" s="140">
        <v>6000</v>
      </c>
      <c r="T148" s="140">
        <v>6000</v>
      </c>
    </row>
    <row r="149" spans="1:21" ht="24" customHeight="1">
      <c r="A149" s="247" t="s">
        <v>127</v>
      </c>
      <c r="B149" s="183"/>
      <c r="C149" s="183"/>
      <c r="D149" s="247" t="s">
        <v>133</v>
      </c>
      <c r="E149" s="183"/>
      <c r="F149" s="183"/>
      <c r="G149" s="183"/>
      <c r="H149" s="183"/>
      <c r="I149" s="183"/>
      <c r="J149" s="183"/>
      <c r="K149" s="183"/>
      <c r="L149" s="192">
        <v>54933</v>
      </c>
      <c r="M149" s="192">
        <v>58739</v>
      </c>
      <c r="N149" s="144">
        <v>62060</v>
      </c>
      <c r="O149" s="144">
        <v>60000</v>
      </c>
      <c r="P149" s="143">
        <v>63000</v>
      </c>
      <c r="Q149" s="143">
        <v>66150</v>
      </c>
      <c r="R149" s="143">
        <v>69458</v>
      </c>
      <c r="S149" s="143">
        <v>72931</v>
      </c>
      <c r="T149" s="143">
        <v>76578</v>
      </c>
    </row>
    <row r="150" spans="1:21" ht="24" customHeight="1">
      <c r="A150" s="247" t="s">
        <v>126</v>
      </c>
      <c r="B150" s="183"/>
      <c r="C150" s="183"/>
      <c r="D150" s="247" t="s">
        <v>132</v>
      </c>
      <c r="E150" s="183"/>
      <c r="F150" s="183"/>
      <c r="G150" s="183"/>
      <c r="H150" s="183"/>
      <c r="I150" s="183"/>
      <c r="J150" s="183"/>
      <c r="K150" s="183"/>
      <c r="L150" s="197">
        <v>7922</v>
      </c>
      <c r="M150" s="197">
        <v>9995</v>
      </c>
      <c r="N150" s="161">
        <v>10000</v>
      </c>
      <c r="O150" s="161">
        <v>10000</v>
      </c>
      <c r="P150" s="151">
        <v>10000</v>
      </c>
      <c r="Q150" s="151">
        <v>10000</v>
      </c>
      <c r="R150" s="151">
        <v>10000</v>
      </c>
      <c r="S150" s="151">
        <v>10000</v>
      </c>
      <c r="T150" s="151">
        <v>10000</v>
      </c>
    </row>
    <row r="151" spans="1:21" s="183" customFormat="1" ht="24" customHeight="1">
      <c r="A151" s="247"/>
      <c r="D151" s="247"/>
      <c r="L151" s="212">
        <f>SUM(L111:L150)</f>
        <v>4903925</v>
      </c>
      <c r="M151" s="212">
        <f t="shared" ref="M151:T151" si="3">SUM(M111:M150)</f>
        <v>5283553</v>
      </c>
      <c r="N151" s="211">
        <f>SUM(N111:N150)</f>
        <v>5645116</v>
      </c>
      <c r="O151" s="211">
        <f t="shared" si="3"/>
        <v>5402040</v>
      </c>
      <c r="P151" s="212">
        <f t="shared" si="3"/>
        <v>5923525</v>
      </c>
      <c r="Q151" s="212">
        <f t="shared" si="3"/>
        <v>6350388</v>
      </c>
      <c r="R151" s="212">
        <f t="shared" si="3"/>
        <v>6666505</v>
      </c>
      <c r="S151" s="212">
        <f>SUM(S111:S150)</f>
        <v>7024826</v>
      </c>
      <c r="T151" s="212">
        <f t="shared" si="3"/>
        <v>7413386</v>
      </c>
      <c r="U151" s="64"/>
    </row>
    <row r="152" spans="1:21" ht="15" customHeight="1">
      <c r="A152" s="247"/>
      <c r="B152" s="183"/>
      <c r="C152" s="183"/>
      <c r="D152" s="247"/>
      <c r="E152" s="183"/>
      <c r="F152" s="183"/>
      <c r="G152" s="183"/>
      <c r="H152" s="183"/>
      <c r="I152" s="183"/>
      <c r="J152" s="183"/>
      <c r="K152" s="183"/>
      <c r="L152" s="190"/>
      <c r="M152" s="190"/>
      <c r="N152" s="141"/>
      <c r="O152" s="141"/>
      <c r="P152" s="140"/>
      <c r="Q152" s="140"/>
      <c r="R152" s="140"/>
      <c r="S152" s="140"/>
      <c r="T152" s="140"/>
    </row>
    <row r="153" spans="1:21" ht="24" customHeight="1">
      <c r="A153" s="251" t="s">
        <v>518</v>
      </c>
      <c r="B153" s="183"/>
      <c r="C153" s="183"/>
      <c r="D153" s="183"/>
      <c r="E153" s="183"/>
      <c r="F153" s="183"/>
      <c r="G153" s="183"/>
      <c r="H153" s="183"/>
      <c r="I153" s="183"/>
      <c r="J153" s="183"/>
      <c r="K153" s="183"/>
      <c r="L153" s="199"/>
      <c r="M153" s="199"/>
      <c r="N153" s="155"/>
      <c r="O153" s="155"/>
      <c r="P153" s="154"/>
      <c r="Q153" s="154"/>
      <c r="R153" s="154"/>
      <c r="S153" s="154"/>
      <c r="T153" s="154"/>
    </row>
    <row r="154" spans="1:21" ht="24" customHeight="1">
      <c r="A154" s="247" t="s">
        <v>134</v>
      </c>
      <c r="B154" s="248"/>
      <c r="C154" s="248"/>
      <c r="D154" s="247" t="s">
        <v>797</v>
      </c>
      <c r="E154" s="248"/>
      <c r="F154" s="248"/>
      <c r="G154" s="248"/>
      <c r="H154" s="248"/>
      <c r="I154" s="248"/>
      <c r="J154" s="248"/>
      <c r="K154" s="248"/>
      <c r="L154" s="192">
        <v>331861</v>
      </c>
      <c r="M154" s="192">
        <v>408213</v>
      </c>
      <c r="N154" s="150">
        <v>440585</v>
      </c>
      <c r="O154" s="150">
        <v>464500</v>
      </c>
      <c r="P154" s="149">
        <v>520619</v>
      </c>
      <c r="Q154" s="149">
        <v>536238</v>
      </c>
      <c r="R154" s="149">
        <v>552325</v>
      </c>
      <c r="S154" s="149">
        <v>568895</v>
      </c>
      <c r="T154" s="149">
        <v>585962</v>
      </c>
    </row>
    <row r="155" spans="1:21" ht="24" customHeight="1">
      <c r="A155" s="247" t="s">
        <v>527</v>
      </c>
      <c r="B155" s="250"/>
      <c r="C155" s="250"/>
      <c r="D155" s="247" t="s">
        <v>68</v>
      </c>
      <c r="E155" s="250"/>
      <c r="F155" s="250"/>
      <c r="G155" s="248"/>
      <c r="H155" s="248"/>
      <c r="I155" s="248"/>
      <c r="J155" s="248"/>
      <c r="K155" s="248"/>
      <c r="L155" s="192">
        <v>42347</v>
      </c>
      <c r="M155" s="192">
        <v>19564</v>
      </c>
      <c r="N155" s="144">
        <v>48000</v>
      </c>
      <c r="O155" s="144">
        <v>2855</v>
      </c>
      <c r="P155" s="143">
        <v>0</v>
      </c>
      <c r="Q155" s="143">
        <v>0</v>
      </c>
      <c r="R155" s="143">
        <v>0</v>
      </c>
      <c r="S155" s="143">
        <v>0</v>
      </c>
      <c r="T155" s="143">
        <v>0</v>
      </c>
    </row>
    <row r="156" spans="1:21" ht="24" customHeight="1">
      <c r="A156" s="247" t="s">
        <v>136</v>
      </c>
      <c r="B156" s="248"/>
      <c r="C156" s="248"/>
      <c r="D156" s="247" t="s">
        <v>8</v>
      </c>
      <c r="E156" s="248"/>
      <c r="F156" s="248"/>
      <c r="G156" s="248"/>
      <c r="H156" s="248"/>
      <c r="I156" s="248"/>
      <c r="J156" s="248"/>
      <c r="K156" s="248"/>
      <c r="L156" s="192">
        <v>35454</v>
      </c>
      <c r="M156" s="192">
        <v>43851</v>
      </c>
      <c r="N156" s="150">
        <v>47071</v>
      </c>
      <c r="O156" s="150">
        <v>47071</v>
      </c>
      <c r="P156" s="143">
        <v>47763</v>
      </c>
      <c r="Q156" s="143">
        <v>50567</v>
      </c>
      <c r="R156" s="143">
        <v>53631</v>
      </c>
      <c r="S156" s="143">
        <v>56890</v>
      </c>
      <c r="T156" s="143">
        <v>60354</v>
      </c>
    </row>
    <row r="157" spans="1:21" ht="24" customHeight="1">
      <c r="A157" s="247" t="s">
        <v>135</v>
      </c>
      <c r="B157" s="183"/>
      <c r="C157" s="183"/>
      <c r="D157" s="247" t="s">
        <v>9</v>
      </c>
      <c r="E157" s="183"/>
      <c r="F157" s="183"/>
      <c r="G157" s="183"/>
      <c r="H157" s="183"/>
      <c r="I157" s="183"/>
      <c r="J157" s="183"/>
      <c r="K157" s="183"/>
      <c r="L157" s="192">
        <v>27585</v>
      </c>
      <c r="M157" s="192">
        <v>31813</v>
      </c>
      <c r="N157" s="150">
        <v>36504</v>
      </c>
      <c r="O157" s="150">
        <v>36504</v>
      </c>
      <c r="P157" s="149">
        <v>38317</v>
      </c>
      <c r="Q157" s="149">
        <v>39467</v>
      </c>
      <c r="R157" s="149">
        <v>40651</v>
      </c>
      <c r="S157" s="149">
        <v>41871</v>
      </c>
      <c r="T157" s="149">
        <v>43127</v>
      </c>
    </row>
    <row r="158" spans="1:21" ht="24" customHeight="1">
      <c r="A158" s="247" t="s">
        <v>488</v>
      </c>
      <c r="B158" s="183"/>
      <c r="C158" s="183"/>
      <c r="D158" s="247" t="s">
        <v>13</v>
      </c>
      <c r="E158" s="183"/>
      <c r="F158" s="183"/>
      <c r="G158" s="183"/>
      <c r="H158" s="183"/>
      <c r="I158" s="183"/>
      <c r="J158" s="183"/>
      <c r="K158" s="183"/>
      <c r="L158" s="193">
        <v>69889</v>
      </c>
      <c r="M158" s="193">
        <v>69021</v>
      </c>
      <c r="N158" s="147">
        <v>88827</v>
      </c>
      <c r="O158" s="150">
        <v>77022</v>
      </c>
      <c r="P158" s="146">
        <v>90471</v>
      </c>
      <c r="Q158" s="146">
        <v>97709</v>
      </c>
      <c r="R158" s="146">
        <v>105526</v>
      </c>
      <c r="S158" s="146">
        <v>113968</v>
      </c>
      <c r="T158" s="146">
        <v>123085</v>
      </c>
    </row>
    <row r="159" spans="1:21" ht="24" customHeight="1">
      <c r="A159" s="247" t="s">
        <v>489</v>
      </c>
      <c r="B159" s="183"/>
      <c r="C159" s="183"/>
      <c r="D159" s="247" t="s">
        <v>166</v>
      </c>
      <c r="E159" s="183"/>
      <c r="F159" s="183"/>
      <c r="G159" s="183"/>
      <c r="H159" s="183"/>
      <c r="I159" s="183"/>
      <c r="J159" s="183"/>
      <c r="K159" s="183"/>
      <c r="L159" s="193">
        <v>401</v>
      </c>
      <c r="M159" s="193">
        <v>491</v>
      </c>
      <c r="N159" s="147">
        <v>393</v>
      </c>
      <c r="O159" s="147">
        <v>393</v>
      </c>
      <c r="P159" s="146">
        <v>429</v>
      </c>
      <c r="Q159" s="146">
        <v>433</v>
      </c>
      <c r="R159" s="146">
        <v>437</v>
      </c>
      <c r="S159" s="146">
        <v>441</v>
      </c>
      <c r="T159" s="146">
        <v>445</v>
      </c>
    </row>
    <row r="160" spans="1:21" ht="24" customHeight="1">
      <c r="A160" s="247" t="s">
        <v>490</v>
      </c>
      <c r="B160" s="183"/>
      <c r="C160" s="183"/>
      <c r="D160" s="247" t="s">
        <v>503</v>
      </c>
      <c r="E160" s="183"/>
      <c r="F160" s="183"/>
      <c r="G160" s="183"/>
      <c r="H160" s="183"/>
      <c r="I160" s="183"/>
      <c r="J160" s="183"/>
      <c r="K160" s="183"/>
      <c r="L160" s="193">
        <v>4669</v>
      </c>
      <c r="M160" s="193">
        <v>5590</v>
      </c>
      <c r="N160" s="147">
        <v>5706</v>
      </c>
      <c r="O160" s="150">
        <v>5893</v>
      </c>
      <c r="P160" s="146">
        <v>6603</v>
      </c>
      <c r="Q160" s="146">
        <v>6933</v>
      </c>
      <c r="R160" s="146">
        <v>7280</v>
      </c>
      <c r="S160" s="146">
        <v>7644</v>
      </c>
      <c r="T160" s="146">
        <v>8026</v>
      </c>
    </row>
    <row r="161" spans="1:21" ht="24" customHeight="1">
      <c r="A161" s="247" t="s">
        <v>508</v>
      </c>
      <c r="B161" s="183"/>
      <c r="C161" s="183"/>
      <c r="D161" s="247" t="s">
        <v>505</v>
      </c>
      <c r="E161" s="183"/>
      <c r="F161" s="183"/>
      <c r="G161" s="183"/>
      <c r="H161" s="183"/>
      <c r="I161" s="183"/>
      <c r="J161" s="183"/>
      <c r="K161" s="183"/>
      <c r="L161" s="193">
        <v>587</v>
      </c>
      <c r="M161" s="193">
        <v>772</v>
      </c>
      <c r="N161" s="147">
        <v>846</v>
      </c>
      <c r="O161" s="150">
        <v>890</v>
      </c>
      <c r="P161" s="146">
        <v>1009</v>
      </c>
      <c r="Q161" s="146">
        <v>1009</v>
      </c>
      <c r="R161" s="146">
        <v>1039</v>
      </c>
      <c r="S161" s="146">
        <v>1070</v>
      </c>
      <c r="T161" s="146">
        <v>1102</v>
      </c>
    </row>
    <row r="162" spans="1:21" ht="24" customHeight="1">
      <c r="A162" s="247" t="s">
        <v>143</v>
      </c>
      <c r="B162" s="248"/>
      <c r="C162" s="248"/>
      <c r="D162" s="247" t="s">
        <v>90</v>
      </c>
      <c r="E162" s="248"/>
      <c r="F162" s="248"/>
      <c r="G162" s="248"/>
      <c r="H162" s="248"/>
      <c r="I162" s="248"/>
      <c r="J162" s="248"/>
      <c r="K162" s="248"/>
      <c r="L162" s="190">
        <v>1537</v>
      </c>
      <c r="M162" s="190">
        <v>4876</v>
      </c>
      <c r="N162" s="141">
        <v>7300</v>
      </c>
      <c r="O162" s="141">
        <v>7300</v>
      </c>
      <c r="P162" s="140">
        <v>7300</v>
      </c>
      <c r="Q162" s="140">
        <v>7300</v>
      </c>
      <c r="R162" s="140">
        <v>7300</v>
      </c>
      <c r="S162" s="140">
        <v>7300</v>
      </c>
      <c r="T162" s="140">
        <v>7300</v>
      </c>
    </row>
    <row r="163" spans="1:21" ht="24" customHeight="1">
      <c r="A163" s="247" t="s">
        <v>142</v>
      </c>
      <c r="B163" s="183"/>
      <c r="C163" s="183"/>
      <c r="D163" s="247" t="s">
        <v>910</v>
      </c>
      <c r="E163" s="183"/>
      <c r="F163" s="183"/>
      <c r="G163" s="183"/>
      <c r="H163" s="183"/>
      <c r="I163" s="183"/>
      <c r="J163" s="183"/>
      <c r="K163" s="183"/>
      <c r="L163" s="190">
        <v>219</v>
      </c>
      <c r="M163" s="190">
        <v>7677</v>
      </c>
      <c r="N163" s="141">
        <v>6500</v>
      </c>
      <c r="O163" s="141">
        <v>6500</v>
      </c>
      <c r="P163" s="140">
        <v>6500</v>
      </c>
      <c r="Q163" s="140">
        <v>6500</v>
      </c>
      <c r="R163" s="140">
        <v>6500</v>
      </c>
      <c r="S163" s="140">
        <v>6500</v>
      </c>
      <c r="T163" s="140">
        <v>6500</v>
      </c>
    </row>
    <row r="164" spans="1:21" ht="24" customHeight="1">
      <c r="A164" s="247" t="s">
        <v>1227</v>
      </c>
      <c r="B164" s="183"/>
      <c r="C164" s="183"/>
      <c r="D164" s="247" t="s">
        <v>866</v>
      </c>
      <c r="E164" s="183"/>
      <c r="F164" s="183"/>
      <c r="G164" s="183"/>
      <c r="H164" s="183"/>
      <c r="I164" s="183"/>
      <c r="J164" s="183"/>
      <c r="K164" s="183"/>
      <c r="L164" s="190">
        <v>0</v>
      </c>
      <c r="M164" s="190">
        <v>0</v>
      </c>
      <c r="N164" s="141">
        <v>40000</v>
      </c>
      <c r="O164" s="141">
        <v>44985</v>
      </c>
      <c r="P164" s="140">
        <v>0</v>
      </c>
      <c r="Q164" s="140">
        <v>0</v>
      </c>
      <c r="R164" s="140">
        <v>0</v>
      </c>
      <c r="S164" s="140">
        <v>0</v>
      </c>
      <c r="T164" s="140">
        <v>0</v>
      </c>
    </row>
    <row r="165" spans="1:21" ht="24" customHeight="1">
      <c r="A165" s="247" t="s">
        <v>1248</v>
      </c>
      <c r="B165" s="183"/>
      <c r="C165" s="183"/>
      <c r="D165" s="1" t="s">
        <v>1245</v>
      </c>
      <c r="E165" s="183"/>
      <c r="F165" s="183"/>
      <c r="G165" s="183"/>
      <c r="H165" s="183"/>
      <c r="I165" s="183"/>
      <c r="J165" s="183"/>
      <c r="K165" s="183"/>
      <c r="L165" s="196">
        <v>0</v>
      </c>
      <c r="M165" s="196">
        <v>0</v>
      </c>
      <c r="N165" s="150">
        <v>3624</v>
      </c>
      <c r="O165" s="150">
        <v>3624</v>
      </c>
      <c r="P165" s="149">
        <v>1323</v>
      </c>
      <c r="Q165" s="149">
        <v>3127</v>
      </c>
      <c r="R165" s="149">
        <v>1459</v>
      </c>
      <c r="S165" s="149">
        <v>4405</v>
      </c>
      <c r="T165" s="149">
        <v>4408</v>
      </c>
    </row>
    <row r="166" spans="1:21" ht="24" customHeight="1">
      <c r="A166" s="247" t="s">
        <v>141</v>
      </c>
      <c r="B166" s="248"/>
      <c r="C166" s="248"/>
      <c r="D166" s="247" t="s">
        <v>89</v>
      </c>
      <c r="E166" s="248"/>
      <c r="F166" s="248"/>
      <c r="G166" s="248"/>
      <c r="H166" s="248"/>
      <c r="I166" s="248"/>
      <c r="J166" s="248"/>
      <c r="K166" s="248"/>
      <c r="L166" s="190">
        <v>3659</v>
      </c>
      <c r="M166" s="190">
        <v>2169</v>
      </c>
      <c r="N166" s="141">
        <v>2500</v>
      </c>
      <c r="O166" s="141">
        <v>2500</v>
      </c>
      <c r="P166" s="140">
        <v>2500</v>
      </c>
      <c r="Q166" s="140">
        <v>2500</v>
      </c>
      <c r="R166" s="140">
        <v>2500</v>
      </c>
      <c r="S166" s="140">
        <v>2500</v>
      </c>
      <c r="T166" s="140">
        <v>2500</v>
      </c>
    </row>
    <row r="167" spans="1:21" ht="24" customHeight="1">
      <c r="A167" s="247" t="s">
        <v>140</v>
      </c>
      <c r="B167" s="183"/>
      <c r="C167" s="183"/>
      <c r="D167" s="247" t="s">
        <v>911</v>
      </c>
      <c r="E167" s="183"/>
      <c r="F167" s="183"/>
      <c r="G167" s="183"/>
      <c r="H167" s="183"/>
      <c r="I167" s="183"/>
      <c r="J167" s="183"/>
      <c r="K167" s="183"/>
      <c r="L167" s="192">
        <v>883</v>
      </c>
      <c r="M167" s="192">
        <v>1367</v>
      </c>
      <c r="N167" s="144">
        <v>1500</v>
      </c>
      <c r="O167" s="144">
        <v>1500</v>
      </c>
      <c r="P167" s="143">
        <v>1500</v>
      </c>
      <c r="Q167" s="143">
        <v>1500</v>
      </c>
      <c r="R167" s="143">
        <v>1500</v>
      </c>
      <c r="S167" s="143">
        <v>1500</v>
      </c>
      <c r="T167" s="143">
        <v>1500</v>
      </c>
    </row>
    <row r="168" spans="1:21" ht="24" customHeight="1">
      <c r="A168" s="247" t="s">
        <v>139</v>
      </c>
      <c r="B168" s="248"/>
      <c r="C168" s="248"/>
      <c r="D168" s="247" t="s">
        <v>215</v>
      </c>
      <c r="E168" s="248"/>
      <c r="F168" s="248"/>
      <c r="G168" s="248"/>
      <c r="H168" s="248"/>
      <c r="I168" s="248"/>
      <c r="J168" s="248"/>
      <c r="K168" s="248"/>
      <c r="L168" s="190">
        <v>4008</v>
      </c>
      <c r="M168" s="190">
        <v>4098</v>
      </c>
      <c r="N168" s="141">
        <v>4000</v>
      </c>
      <c r="O168" s="141">
        <v>4000</v>
      </c>
      <c r="P168" s="140">
        <v>4000</v>
      </c>
      <c r="Q168" s="140">
        <v>4000</v>
      </c>
      <c r="R168" s="140">
        <v>4000</v>
      </c>
      <c r="S168" s="140">
        <v>4000</v>
      </c>
      <c r="T168" s="140">
        <v>4000</v>
      </c>
    </row>
    <row r="169" spans="1:21" ht="24" customHeight="1">
      <c r="A169" s="247" t="s">
        <v>138</v>
      </c>
      <c r="B169" s="183"/>
      <c r="C169" s="183"/>
      <c r="D169" s="247" t="s">
        <v>88</v>
      </c>
      <c r="E169" s="183"/>
      <c r="F169" s="183"/>
      <c r="G169" s="183"/>
      <c r="H169" s="183"/>
      <c r="I169" s="183"/>
      <c r="J169" s="183"/>
      <c r="K169" s="183"/>
      <c r="L169" s="192">
        <v>535</v>
      </c>
      <c r="M169" s="192">
        <v>591</v>
      </c>
      <c r="N169" s="144">
        <v>1000</v>
      </c>
      <c r="O169" s="144">
        <v>1000</v>
      </c>
      <c r="P169" s="143">
        <v>1000</v>
      </c>
      <c r="Q169" s="143">
        <v>1000</v>
      </c>
      <c r="R169" s="143">
        <v>1000</v>
      </c>
      <c r="S169" s="143">
        <v>1000</v>
      </c>
      <c r="T169" s="143">
        <v>1000</v>
      </c>
    </row>
    <row r="170" spans="1:21" ht="24" customHeight="1">
      <c r="A170" s="247" t="s">
        <v>217</v>
      </c>
      <c r="B170" s="183"/>
      <c r="C170" s="183"/>
      <c r="D170" s="247" t="s">
        <v>218</v>
      </c>
      <c r="E170" s="183"/>
      <c r="F170" s="183"/>
      <c r="G170" s="183"/>
      <c r="H170" s="183"/>
      <c r="I170" s="183"/>
      <c r="J170" s="183"/>
      <c r="K170" s="183"/>
      <c r="L170" s="190">
        <v>595</v>
      </c>
      <c r="M170" s="190">
        <v>1785</v>
      </c>
      <c r="N170" s="141">
        <v>5000</v>
      </c>
      <c r="O170" s="141">
        <v>150000</v>
      </c>
      <c r="P170" s="140">
        <v>125000</v>
      </c>
      <c r="Q170" s="140">
        <v>125000</v>
      </c>
      <c r="R170" s="140">
        <v>125000</v>
      </c>
      <c r="S170" s="140">
        <v>125000</v>
      </c>
      <c r="T170" s="140">
        <v>125000</v>
      </c>
      <c r="U170" s="460"/>
    </row>
    <row r="171" spans="1:21" ht="24" customHeight="1">
      <c r="A171" s="247" t="s">
        <v>195</v>
      </c>
      <c r="B171" s="248"/>
      <c r="C171" s="248"/>
      <c r="D171" s="247" t="s">
        <v>912</v>
      </c>
      <c r="E171" s="248"/>
      <c r="F171" s="248"/>
      <c r="G171" s="183"/>
      <c r="H171" s="183"/>
      <c r="I171" s="183"/>
      <c r="J171" s="183"/>
      <c r="K171" s="183"/>
      <c r="L171" s="190">
        <v>2222</v>
      </c>
      <c r="M171" s="190">
        <v>2141</v>
      </c>
      <c r="N171" s="141">
        <v>2100</v>
      </c>
      <c r="O171" s="141">
        <v>2100</v>
      </c>
      <c r="P171" s="140">
        <v>2750</v>
      </c>
      <c r="Q171" s="140">
        <v>2750</v>
      </c>
      <c r="R171" s="140">
        <v>2750</v>
      </c>
      <c r="S171" s="140">
        <v>2750</v>
      </c>
      <c r="T171" s="140">
        <v>2750</v>
      </c>
    </row>
    <row r="172" spans="1:21" ht="24" customHeight="1">
      <c r="A172" s="247" t="s">
        <v>137</v>
      </c>
      <c r="B172" s="183"/>
      <c r="C172" s="183"/>
      <c r="D172" s="247" t="s">
        <v>10</v>
      </c>
      <c r="E172" s="183"/>
      <c r="F172" s="183"/>
      <c r="G172" s="183"/>
      <c r="H172" s="183"/>
      <c r="I172" s="183"/>
      <c r="J172" s="183"/>
      <c r="K172" s="183"/>
      <c r="L172" s="190">
        <f>33139+2985</f>
        <v>36124</v>
      </c>
      <c r="M172" s="190">
        <f>14713+1598</f>
        <v>16311</v>
      </c>
      <c r="N172" s="141">
        <v>77500</v>
      </c>
      <c r="O172" s="141">
        <v>47500</v>
      </c>
      <c r="P172" s="140">
        <v>62500</v>
      </c>
      <c r="Q172" s="140">
        <v>92500</v>
      </c>
      <c r="R172" s="140">
        <v>4000</v>
      </c>
      <c r="S172" s="140">
        <v>6000</v>
      </c>
      <c r="T172" s="140">
        <v>6000</v>
      </c>
    </row>
    <row r="173" spans="1:21" ht="24" customHeight="1">
      <c r="A173" s="247" t="s">
        <v>561</v>
      </c>
      <c r="B173" s="248"/>
      <c r="C173" s="248"/>
      <c r="D173" s="247" t="s">
        <v>85</v>
      </c>
      <c r="E173" s="248"/>
      <c r="F173" s="248"/>
      <c r="G173" s="248"/>
      <c r="H173" s="248"/>
      <c r="I173" s="248"/>
      <c r="J173" s="248"/>
      <c r="K173" s="248"/>
      <c r="L173" s="190">
        <v>3132</v>
      </c>
      <c r="M173" s="190">
        <v>3132</v>
      </c>
      <c r="N173" s="141">
        <v>3150</v>
      </c>
      <c r="O173" s="141">
        <v>3150</v>
      </c>
      <c r="P173" s="140">
        <v>3150</v>
      </c>
      <c r="Q173" s="140">
        <v>3150</v>
      </c>
      <c r="R173" s="140">
        <v>3150</v>
      </c>
      <c r="S173" s="140">
        <v>3150</v>
      </c>
      <c r="T173" s="140">
        <v>3150</v>
      </c>
    </row>
    <row r="174" spans="1:21" ht="24" customHeight="1">
      <c r="A174" s="247" t="s">
        <v>145</v>
      </c>
      <c r="B174" s="248"/>
      <c r="C174" s="248"/>
      <c r="D174" s="247" t="s">
        <v>11</v>
      </c>
      <c r="E174" s="248"/>
      <c r="F174" s="248"/>
      <c r="G174" s="248"/>
      <c r="H174" s="248"/>
      <c r="I174" s="248"/>
      <c r="J174" s="248"/>
      <c r="K174" s="248"/>
      <c r="L174" s="190">
        <v>1742</v>
      </c>
      <c r="M174" s="190">
        <v>1707</v>
      </c>
      <c r="N174" s="141">
        <v>1500</v>
      </c>
      <c r="O174" s="141">
        <v>1500</v>
      </c>
      <c r="P174" s="140">
        <v>1500</v>
      </c>
      <c r="Q174" s="140">
        <v>1500</v>
      </c>
      <c r="R174" s="140">
        <v>1500</v>
      </c>
      <c r="S174" s="140">
        <v>1500</v>
      </c>
      <c r="T174" s="140">
        <v>1500</v>
      </c>
    </row>
    <row r="175" spans="1:21" ht="24" customHeight="1">
      <c r="A175" s="247" t="s">
        <v>144</v>
      </c>
      <c r="B175" s="183"/>
      <c r="C175" s="183"/>
      <c r="D175" s="423" t="s">
        <v>12</v>
      </c>
      <c r="E175" s="424"/>
      <c r="F175" s="424"/>
      <c r="G175" s="424"/>
      <c r="H175" s="424"/>
      <c r="I175" s="424"/>
      <c r="J175" s="424"/>
      <c r="K175" s="424"/>
      <c r="L175" s="190">
        <f>4575+254</f>
        <v>4829</v>
      </c>
      <c r="M175" s="190">
        <f>2651+48</f>
        <v>2699</v>
      </c>
      <c r="N175" s="141">
        <v>3750</v>
      </c>
      <c r="O175" s="141">
        <v>3750</v>
      </c>
      <c r="P175" s="140">
        <v>3750</v>
      </c>
      <c r="Q175" s="140">
        <v>3750</v>
      </c>
      <c r="R175" s="140">
        <v>3750</v>
      </c>
      <c r="S175" s="140">
        <v>3750</v>
      </c>
      <c r="T175" s="140">
        <v>3750</v>
      </c>
    </row>
    <row r="176" spans="1:21" ht="24" customHeight="1">
      <c r="A176" s="247" t="s">
        <v>583</v>
      </c>
      <c r="B176" s="248"/>
      <c r="C176" s="248"/>
      <c r="D176" s="247" t="s">
        <v>133</v>
      </c>
      <c r="E176" s="248"/>
      <c r="F176" s="248"/>
      <c r="G176" s="248"/>
      <c r="H176" s="248"/>
      <c r="I176" s="248"/>
      <c r="J176" s="248"/>
      <c r="K176" s="248"/>
      <c r="L176" s="197">
        <v>1680</v>
      </c>
      <c r="M176" s="197">
        <v>2025</v>
      </c>
      <c r="N176" s="161">
        <v>2290</v>
      </c>
      <c r="O176" s="161">
        <v>2290</v>
      </c>
      <c r="P176" s="162">
        <v>2405</v>
      </c>
      <c r="Q176" s="162">
        <v>2525</v>
      </c>
      <c r="R176" s="162">
        <v>2651</v>
      </c>
      <c r="S176" s="162">
        <v>2784</v>
      </c>
      <c r="T176" s="162">
        <v>2923</v>
      </c>
    </row>
    <row r="177" spans="1:21" s="183" customFormat="1" ht="24" customHeight="1">
      <c r="A177" s="247"/>
      <c r="B177" s="248"/>
      <c r="C177" s="248"/>
      <c r="D177" s="247"/>
      <c r="E177" s="248"/>
      <c r="F177" s="248"/>
      <c r="G177" s="248"/>
      <c r="H177" s="248"/>
      <c r="I177" s="248"/>
      <c r="J177" s="248"/>
      <c r="K177" s="248"/>
      <c r="L177" s="212">
        <f t="shared" ref="L177:T177" si="4">SUM(L154:L176)</f>
        <v>573958</v>
      </c>
      <c r="M177" s="212">
        <f t="shared" si="4"/>
        <v>629893</v>
      </c>
      <c r="N177" s="211">
        <f t="shared" si="4"/>
        <v>829646</v>
      </c>
      <c r="O177" s="211">
        <f t="shared" si="4"/>
        <v>916827</v>
      </c>
      <c r="P177" s="212">
        <f t="shared" si="4"/>
        <v>930389</v>
      </c>
      <c r="Q177" s="212">
        <f t="shared" si="4"/>
        <v>989458</v>
      </c>
      <c r="R177" s="212">
        <f t="shared" si="4"/>
        <v>927949</v>
      </c>
      <c r="S177" s="212">
        <f t="shared" si="4"/>
        <v>962918</v>
      </c>
      <c r="T177" s="212">
        <f t="shared" si="4"/>
        <v>994382</v>
      </c>
      <c r="U177" s="64"/>
    </row>
    <row r="178" spans="1:21" ht="15" customHeight="1">
      <c r="A178" s="247"/>
      <c r="B178" s="248"/>
      <c r="C178" s="248"/>
      <c r="D178" s="247"/>
      <c r="E178" s="248"/>
      <c r="F178" s="248"/>
      <c r="G178" s="248"/>
      <c r="H178" s="248"/>
      <c r="I178" s="248"/>
      <c r="J178" s="248"/>
      <c r="K178" s="248"/>
      <c r="L178" s="190"/>
      <c r="M178" s="190"/>
      <c r="N178" s="141"/>
      <c r="O178" s="141"/>
      <c r="P178" s="140"/>
      <c r="Q178" s="140"/>
      <c r="R178" s="140"/>
      <c r="S178" s="140"/>
      <c r="T178" s="140"/>
    </row>
    <row r="179" spans="1:21" ht="24" customHeight="1">
      <c r="A179" s="251" t="s">
        <v>992</v>
      </c>
      <c r="B179" s="183"/>
      <c r="C179" s="183"/>
      <c r="D179" s="183"/>
      <c r="E179" s="183"/>
      <c r="F179" s="183"/>
      <c r="G179" s="183"/>
      <c r="H179" s="183"/>
      <c r="I179" s="183"/>
      <c r="J179" s="183"/>
      <c r="K179" s="183"/>
      <c r="L179" s="199"/>
      <c r="M179" s="199"/>
      <c r="N179" s="155"/>
      <c r="O179" s="155"/>
      <c r="P179" s="154"/>
      <c r="Q179" s="154"/>
      <c r="R179" s="154"/>
      <c r="S179" s="154"/>
      <c r="T179" s="154"/>
    </row>
    <row r="180" spans="1:21" ht="24" customHeight="1">
      <c r="A180" s="247" t="s">
        <v>147</v>
      </c>
      <c r="B180" s="248"/>
      <c r="C180" s="248"/>
      <c r="D180" s="247" t="s">
        <v>797</v>
      </c>
      <c r="E180" s="248"/>
      <c r="F180" s="248"/>
      <c r="G180" s="248"/>
      <c r="H180" s="248"/>
      <c r="I180" s="248"/>
      <c r="J180" s="248"/>
      <c r="K180" s="248"/>
      <c r="L180" s="190">
        <v>339927</v>
      </c>
      <c r="M180" s="190">
        <v>360757</v>
      </c>
      <c r="N180" s="150">
        <v>382309</v>
      </c>
      <c r="O180" s="150">
        <v>380000</v>
      </c>
      <c r="P180" s="149">
        <v>402421</v>
      </c>
      <c r="Q180" s="149">
        <v>414494</v>
      </c>
      <c r="R180" s="149">
        <v>426929</v>
      </c>
      <c r="S180" s="149">
        <v>439737</v>
      </c>
      <c r="T180" s="149">
        <v>452929</v>
      </c>
    </row>
    <row r="181" spans="1:21" ht="24" customHeight="1">
      <c r="A181" s="247" t="s">
        <v>996</v>
      </c>
      <c r="B181" s="248"/>
      <c r="C181" s="248"/>
      <c r="D181" s="247" t="s">
        <v>68</v>
      </c>
      <c r="E181" s="248"/>
      <c r="F181" s="248"/>
      <c r="G181" s="248"/>
      <c r="H181" s="248"/>
      <c r="I181" s="248"/>
      <c r="J181" s="248"/>
      <c r="K181" s="248"/>
      <c r="L181" s="190">
        <v>8455</v>
      </c>
      <c r="M181" s="190">
        <v>8550</v>
      </c>
      <c r="N181" s="150">
        <v>11600</v>
      </c>
      <c r="O181" s="150">
        <v>13430</v>
      </c>
      <c r="P181" s="149">
        <v>12500</v>
      </c>
      <c r="Q181" s="149">
        <v>12500</v>
      </c>
      <c r="R181" s="149">
        <v>12500</v>
      </c>
      <c r="S181" s="149">
        <v>12500</v>
      </c>
      <c r="T181" s="149">
        <v>12500</v>
      </c>
    </row>
    <row r="182" spans="1:21" ht="24" customHeight="1">
      <c r="A182" s="247" t="s">
        <v>146</v>
      </c>
      <c r="B182" s="248"/>
      <c r="C182" s="248"/>
      <c r="D182" s="247" t="s">
        <v>14</v>
      </c>
      <c r="E182" s="248"/>
      <c r="F182" s="248"/>
      <c r="G182" s="248"/>
      <c r="H182" s="248"/>
      <c r="I182" s="248"/>
      <c r="J182" s="248"/>
      <c r="K182" s="248"/>
      <c r="L182" s="192">
        <v>13672</v>
      </c>
      <c r="M182" s="192">
        <v>26152</v>
      </c>
      <c r="N182" s="144">
        <v>15000</v>
      </c>
      <c r="O182" s="144">
        <v>25000</v>
      </c>
      <c r="P182" s="143">
        <v>20000</v>
      </c>
      <c r="Q182" s="143">
        <v>20000</v>
      </c>
      <c r="R182" s="143">
        <v>20000</v>
      </c>
      <c r="S182" s="143">
        <v>20000</v>
      </c>
      <c r="T182" s="143">
        <v>20000</v>
      </c>
    </row>
    <row r="183" spans="1:21" ht="24" customHeight="1">
      <c r="A183" s="247" t="s">
        <v>149</v>
      </c>
      <c r="B183" s="248"/>
      <c r="C183" s="248"/>
      <c r="D183" s="247" t="s">
        <v>8</v>
      </c>
      <c r="E183" s="248"/>
      <c r="F183" s="248"/>
      <c r="G183" s="248"/>
      <c r="H183" s="248"/>
      <c r="I183" s="248"/>
      <c r="J183" s="248"/>
      <c r="K183" s="248"/>
      <c r="L183" s="192">
        <v>37768</v>
      </c>
      <c r="M183" s="192">
        <v>41337</v>
      </c>
      <c r="N183" s="150">
        <v>42448</v>
      </c>
      <c r="O183" s="150">
        <v>42448</v>
      </c>
      <c r="P183" s="143">
        <v>38754</v>
      </c>
      <c r="Q183" s="143">
        <v>40973</v>
      </c>
      <c r="R183" s="143">
        <v>43397</v>
      </c>
      <c r="S183" s="143">
        <v>45974</v>
      </c>
      <c r="T183" s="143">
        <v>48712</v>
      </c>
    </row>
    <row r="184" spans="1:21" ht="24" customHeight="1">
      <c r="A184" s="247" t="s">
        <v>148</v>
      </c>
      <c r="B184" s="183"/>
      <c r="C184" s="183"/>
      <c r="D184" s="247" t="s">
        <v>9</v>
      </c>
      <c r="E184" s="183"/>
      <c r="F184" s="183"/>
      <c r="G184" s="183"/>
      <c r="H184" s="183"/>
      <c r="I184" s="183"/>
      <c r="J184" s="183"/>
      <c r="K184" s="183"/>
      <c r="L184" s="192">
        <v>26608</v>
      </c>
      <c r="M184" s="192">
        <v>29271</v>
      </c>
      <c r="N184" s="150">
        <v>30161</v>
      </c>
      <c r="O184" s="150">
        <v>30161</v>
      </c>
      <c r="P184" s="149">
        <v>31902</v>
      </c>
      <c r="Q184" s="149">
        <v>32859</v>
      </c>
      <c r="R184" s="149">
        <v>33845</v>
      </c>
      <c r="S184" s="149">
        <v>34860</v>
      </c>
      <c r="T184" s="149">
        <v>35906</v>
      </c>
    </row>
    <row r="185" spans="1:21" ht="24" customHeight="1">
      <c r="A185" s="247" t="s">
        <v>491</v>
      </c>
      <c r="B185" s="183"/>
      <c r="C185" s="183"/>
      <c r="D185" s="247" t="s">
        <v>13</v>
      </c>
      <c r="E185" s="183"/>
      <c r="F185" s="183"/>
      <c r="G185" s="183"/>
      <c r="H185" s="183"/>
      <c r="I185" s="183"/>
      <c r="J185" s="183"/>
      <c r="K185" s="183"/>
      <c r="L185" s="193">
        <v>121383</v>
      </c>
      <c r="M185" s="193">
        <v>116109</v>
      </c>
      <c r="N185" s="147">
        <v>115626</v>
      </c>
      <c r="O185" s="150">
        <v>114472</v>
      </c>
      <c r="P185" s="149">
        <v>114394</v>
      </c>
      <c r="Q185" s="149">
        <v>123546</v>
      </c>
      <c r="R185" s="149">
        <v>133430</v>
      </c>
      <c r="S185" s="149">
        <v>144104</v>
      </c>
      <c r="T185" s="149">
        <v>155632</v>
      </c>
    </row>
    <row r="186" spans="1:21" ht="24" customHeight="1">
      <c r="A186" s="247" t="s">
        <v>492</v>
      </c>
      <c r="B186" s="183"/>
      <c r="C186" s="183"/>
      <c r="D186" s="247" t="s">
        <v>166</v>
      </c>
      <c r="E186" s="183"/>
      <c r="F186" s="183"/>
      <c r="G186" s="183"/>
      <c r="H186" s="183"/>
      <c r="I186" s="183"/>
      <c r="J186" s="183"/>
      <c r="K186" s="183"/>
      <c r="L186" s="193">
        <v>610</v>
      </c>
      <c r="M186" s="193">
        <v>594</v>
      </c>
      <c r="N186" s="147">
        <v>437</v>
      </c>
      <c r="O186" s="150">
        <v>428</v>
      </c>
      <c r="P186" s="146">
        <v>437</v>
      </c>
      <c r="Q186" s="146">
        <v>441</v>
      </c>
      <c r="R186" s="146">
        <v>445</v>
      </c>
      <c r="S186" s="146">
        <v>449</v>
      </c>
      <c r="T186" s="146">
        <v>453</v>
      </c>
    </row>
    <row r="187" spans="1:21" ht="24" customHeight="1">
      <c r="A187" s="247" t="s">
        <v>493</v>
      </c>
      <c r="B187" s="183"/>
      <c r="C187" s="183"/>
      <c r="D187" s="247" t="s">
        <v>503</v>
      </c>
      <c r="E187" s="183"/>
      <c r="F187" s="183"/>
      <c r="G187" s="183"/>
      <c r="H187" s="183"/>
      <c r="I187" s="183"/>
      <c r="J187" s="183"/>
      <c r="K187" s="183"/>
      <c r="L187" s="193">
        <v>9010</v>
      </c>
      <c r="M187" s="193">
        <v>7827</v>
      </c>
      <c r="N187" s="147">
        <v>7363</v>
      </c>
      <c r="O187" s="150">
        <v>7363</v>
      </c>
      <c r="P187" s="146">
        <v>7363</v>
      </c>
      <c r="Q187" s="146">
        <v>7731</v>
      </c>
      <c r="R187" s="146">
        <v>8118</v>
      </c>
      <c r="S187" s="146">
        <v>8524</v>
      </c>
      <c r="T187" s="146">
        <v>8950</v>
      </c>
    </row>
    <row r="188" spans="1:21" ht="24" customHeight="1">
      <c r="A188" s="247" t="s">
        <v>509</v>
      </c>
      <c r="B188" s="183"/>
      <c r="C188" s="183"/>
      <c r="D188" s="247" t="s">
        <v>505</v>
      </c>
      <c r="E188" s="183"/>
      <c r="F188" s="183"/>
      <c r="G188" s="183"/>
      <c r="H188" s="183"/>
      <c r="I188" s="183"/>
      <c r="J188" s="183"/>
      <c r="K188" s="183"/>
      <c r="L188" s="193">
        <v>1067</v>
      </c>
      <c r="M188" s="193">
        <v>1065</v>
      </c>
      <c r="N188" s="147">
        <v>1065</v>
      </c>
      <c r="O188" s="150">
        <v>1065</v>
      </c>
      <c r="P188" s="146">
        <v>1065</v>
      </c>
      <c r="Q188" s="146">
        <v>1065</v>
      </c>
      <c r="R188" s="146">
        <v>1097</v>
      </c>
      <c r="S188" s="146">
        <v>1130</v>
      </c>
      <c r="T188" s="146">
        <v>1164</v>
      </c>
    </row>
    <row r="189" spans="1:21" ht="24" customHeight="1">
      <c r="A189" s="247" t="s">
        <v>153</v>
      </c>
      <c r="B189" s="248"/>
      <c r="C189" s="248"/>
      <c r="D189" s="247" t="s">
        <v>90</v>
      </c>
      <c r="E189" s="248"/>
      <c r="F189" s="248"/>
      <c r="G189" s="248"/>
      <c r="H189" s="248"/>
      <c r="I189" s="248"/>
      <c r="J189" s="248"/>
      <c r="K189" s="248"/>
      <c r="L189" s="190">
        <v>2895</v>
      </c>
      <c r="M189" s="190">
        <v>2603</v>
      </c>
      <c r="N189" s="141">
        <v>3000</v>
      </c>
      <c r="O189" s="141">
        <v>3000</v>
      </c>
      <c r="P189" s="140">
        <v>3000</v>
      </c>
      <c r="Q189" s="140">
        <v>3000</v>
      </c>
      <c r="R189" s="140">
        <v>3000</v>
      </c>
      <c r="S189" s="140">
        <v>3000</v>
      </c>
      <c r="T189" s="140">
        <v>3000</v>
      </c>
    </row>
    <row r="190" spans="1:21" ht="24" customHeight="1">
      <c r="A190" s="247" t="s">
        <v>1091</v>
      </c>
      <c r="B190" s="248"/>
      <c r="C190" s="248"/>
      <c r="D190" s="247" t="s">
        <v>910</v>
      </c>
      <c r="E190" s="248"/>
      <c r="F190" s="248"/>
      <c r="G190" s="248"/>
      <c r="H190" s="248"/>
      <c r="I190" s="248"/>
      <c r="J190" s="248"/>
      <c r="K190" s="248"/>
      <c r="L190" s="190">
        <v>1157</v>
      </c>
      <c r="M190" s="190">
        <v>706</v>
      </c>
      <c r="N190" s="141">
        <v>2000</v>
      </c>
      <c r="O190" s="141">
        <v>2000</v>
      </c>
      <c r="P190" s="140">
        <v>2000</v>
      </c>
      <c r="Q190" s="140">
        <v>2000</v>
      </c>
      <c r="R190" s="140">
        <v>2000</v>
      </c>
      <c r="S190" s="140">
        <v>2000</v>
      </c>
      <c r="T190" s="140">
        <v>2000</v>
      </c>
    </row>
    <row r="191" spans="1:21" ht="24" customHeight="1">
      <c r="A191" s="247" t="s">
        <v>869</v>
      </c>
      <c r="B191" s="248"/>
      <c r="C191" s="248"/>
      <c r="D191" s="247" t="s">
        <v>866</v>
      </c>
      <c r="E191" s="248"/>
      <c r="F191" s="248"/>
      <c r="G191" s="248"/>
      <c r="H191" s="248"/>
      <c r="I191" s="248"/>
      <c r="J191" s="248"/>
      <c r="K191" s="248"/>
      <c r="L191" s="190">
        <v>63626</v>
      </c>
      <c r="M191" s="190">
        <v>0</v>
      </c>
      <c r="N191" s="141">
        <v>0</v>
      </c>
      <c r="O191" s="141">
        <v>0</v>
      </c>
      <c r="P191" s="140">
        <v>0</v>
      </c>
      <c r="Q191" s="140">
        <v>0</v>
      </c>
      <c r="R191" s="140">
        <v>0</v>
      </c>
      <c r="S191" s="140">
        <v>2826</v>
      </c>
      <c r="T191" s="140">
        <v>4635</v>
      </c>
    </row>
    <row r="192" spans="1:21" ht="24" customHeight="1">
      <c r="A192" s="247" t="s">
        <v>1249</v>
      </c>
      <c r="B192" s="183"/>
      <c r="C192" s="183"/>
      <c r="D192" s="1" t="s">
        <v>1245</v>
      </c>
      <c r="E192" s="183"/>
      <c r="F192" s="183"/>
      <c r="G192" s="183"/>
      <c r="H192" s="183"/>
      <c r="I192" s="183"/>
      <c r="J192" s="183"/>
      <c r="K192" s="183"/>
      <c r="L192" s="196">
        <v>0</v>
      </c>
      <c r="M192" s="196">
        <v>0</v>
      </c>
      <c r="N192" s="150">
        <v>1523</v>
      </c>
      <c r="O192" s="150">
        <v>1523</v>
      </c>
      <c r="P192" s="149">
        <v>2500</v>
      </c>
      <c r="Q192" s="149">
        <v>869</v>
      </c>
      <c r="R192" s="149">
        <v>3413</v>
      </c>
      <c r="S192" s="149">
        <v>1283</v>
      </c>
      <c r="T192" s="149">
        <v>1950</v>
      </c>
    </row>
    <row r="193" spans="1:20" ht="24" customHeight="1">
      <c r="A193" s="247" t="s">
        <v>856</v>
      </c>
      <c r="B193" s="248"/>
      <c r="C193" s="248"/>
      <c r="D193" s="247" t="s">
        <v>857</v>
      </c>
      <c r="E193" s="248"/>
      <c r="F193" s="248"/>
      <c r="G193" s="248"/>
      <c r="H193" s="248"/>
      <c r="I193" s="248"/>
      <c r="J193" s="248"/>
      <c r="K193" s="248"/>
      <c r="L193" s="190">
        <v>18871</v>
      </c>
      <c r="M193" s="190">
        <v>8795</v>
      </c>
      <c r="N193" s="141">
        <v>20000</v>
      </c>
      <c r="O193" s="141">
        <v>20000</v>
      </c>
      <c r="P193" s="140">
        <v>30000</v>
      </c>
      <c r="Q193" s="140">
        <v>20000</v>
      </c>
      <c r="R193" s="140">
        <v>20000</v>
      </c>
      <c r="S193" s="140">
        <v>20000</v>
      </c>
      <c r="T193" s="140">
        <v>20000</v>
      </c>
    </row>
    <row r="194" spans="1:20" ht="24" customHeight="1">
      <c r="A194" s="247" t="s">
        <v>152</v>
      </c>
      <c r="B194" s="183"/>
      <c r="C194" s="183"/>
      <c r="D194" s="247" t="s">
        <v>215</v>
      </c>
      <c r="E194" s="183"/>
      <c r="F194" s="183"/>
      <c r="G194" s="183"/>
      <c r="H194" s="183"/>
      <c r="I194" s="183"/>
      <c r="J194" s="183"/>
      <c r="K194" s="183"/>
      <c r="L194" s="190">
        <v>2751</v>
      </c>
      <c r="M194" s="190">
        <v>3433</v>
      </c>
      <c r="N194" s="141">
        <v>3500</v>
      </c>
      <c r="O194" s="141">
        <v>3500</v>
      </c>
      <c r="P194" s="140">
        <v>3750</v>
      </c>
      <c r="Q194" s="140">
        <v>3750</v>
      </c>
      <c r="R194" s="140">
        <v>3750</v>
      </c>
      <c r="S194" s="140">
        <v>3750</v>
      </c>
      <c r="T194" s="140">
        <v>3750</v>
      </c>
    </row>
    <row r="195" spans="1:20" ht="24" customHeight="1">
      <c r="A195" s="247" t="s">
        <v>223</v>
      </c>
      <c r="B195" s="183"/>
      <c r="C195" s="183"/>
      <c r="D195" s="247" t="s">
        <v>157</v>
      </c>
      <c r="E195" s="183"/>
      <c r="F195" s="183"/>
      <c r="G195" s="183"/>
      <c r="H195" s="183"/>
      <c r="I195" s="183"/>
      <c r="J195" s="183"/>
      <c r="K195" s="183"/>
      <c r="L195" s="192">
        <v>7142</v>
      </c>
      <c r="M195" s="192">
        <v>7142</v>
      </c>
      <c r="N195" s="144">
        <v>7499</v>
      </c>
      <c r="O195" s="144">
        <v>6281</v>
      </c>
      <c r="P195" s="143">
        <v>6281</v>
      </c>
      <c r="Q195" s="143">
        <v>6595</v>
      </c>
      <c r="R195" s="143">
        <v>6925</v>
      </c>
      <c r="S195" s="143">
        <v>7271</v>
      </c>
      <c r="T195" s="143">
        <v>7635</v>
      </c>
    </row>
    <row r="196" spans="1:20" ht="24" customHeight="1">
      <c r="A196" s="247" t="s">
        <v>219</v>
      </c>
      <c r="B196" s="183"/>
      <c r="C196" s="183"/>
      <c r="D196" s="247" t="s">
        <v>1045</v>
      </c>
      <c r="E196" s="248"/>
      <c r="F196" s="248"/>
      <c r="G196" s="248"/>
      <c r="H196" s="248"/>
      <c r="I196" s="248"/>
      <c r="J196" s="248"/>
      <c r="K196" s="248"/>
      <c r="L196" s="190">
        <v>8980</v>
      </c>
      <c r="M196" s="190">
        <v>5725</v>
      </c>
      <c r="N196" s="144">
        <v>15000</v>
      </c>
      <c r="O196" s="144">
        <v>15000</v>
      </c>
      <c r="P196" s="143">
        <v>15000</v>
      </c>
      <c r="Q196" s="143">
        <v>15000</v>
      </c>
      <c r="R196" s="143">
        <v>15000</v>
      </c>
      <c r="S196" s="143">
        <v>15000</v>
      </c>
      <c r="T196" s="143">
        <v>15000</v>
      </c>
    </row>
    <row r="197" spans="1:20" ht="24" customHeight="1">
      <c r="A197" s="247" t="s">
        <v>151</v>
      </c>
      <c r="B197" s="183"/>
      <c r="C197" s="183"/>
      <c r="D197" s="247" t="s">
        <v>10</v>
      </c>
      <c r="E197" s="183"/>
      <c r="F197" s="183"/>
      <c r="G197" s="183"/>
      <c r="H197" s="183"/>
      <c r="I197" s="183"/>
      <c r="J197" s="183"/>
      <c r="K197" s="183"/>
      <c r="L197" s="192">
        <v>6428</v>
      </c>
      <c r="M197" s="192">
        <v>3089</v>
      </c>
      <c r="N197" s="144">
        <v>4000</v>
      </c>
      <c r="O197" s="144">
        <v>4000</v>
      </c>
      <c r="P197" s="143">
        <v>6825</v>
      </c>
      <c r="Q197" s="143">
        <v>6825</v>
      </c>
      <c r="R197" s="143">
        <v>6825</v>
      </c>
      <c r="S197" s="143">
        <v>6825</v>
      </c>
      <c r="T197" s="143">
        <v>6825</v>
      </c>
    </row>
    <row r="198" spans="1:20" ht="24" customHeight="1">
      <c r="A198" s="247" t="s">
        <v>1107</v>
      </c>
      <c r="B198" s="248"/>
      <c r="C198" s="248"/>
      <c r="D198" s="247" t="s">
        <v>974</v>
      </c>
      <c r="E198" s="248"/>
      <c r="F198" s="248"/>
      <c r="G198" s="250"/>
      <c r="H198" s="250"/>
      <c r="I198" s="250"/>
      <c r="J198" s="250"/>
      <c r="K198" s="250"/>
      <c r="L198" s="192">
        <v>426</v>
      </c>
      <c r="M198" s="192">
        <v>400</v>
      </c>
      <c r="N198" s="144">
        <v>9000</v>
      </c>
      <c r="O198" s="144">
        <v>500</v>
      </c>
      <c r="P198" s="143">
        <v>0</v>
      </c>
      <c r="Q198" s="143">
        <v>0</v>
      </c>
      <c r="R198" s="143">
        <v>0</v>
      </c>
      <c r="S198" s="143">
        <v>0</v>
      </c>
      <c r="T198" s="143">
        <v>0</v>
      </c>
    </row>
    <row r="199" spans="1:20" ht="24" customHeight="1">
      <c r="A199" s="247" t="s">
        <v>1235</v>
      </c>
      <c r="B199" s="183"/>
      <c r="C199" s="183"/>
      <c r="D199" s="247" t="s">
        <v>300</v>
      </c>
      <c r="E199" s="183"/>
      <c r="F199" s="183"/>
      <c r="G199" s="183"/>
      <c r="H199" s="183"/>
      <c r="I199" s="183"/>
      <c r="J199" s="183"/>
      <c r="K199" s="183"/>
      <c r="L199" s="213">
        <v>0</v>
      </c>
      <c r="M199" s="213">
        <v>0</v>
      </c>
      <c r="N199" s="171">
        <v>3000</v>
      </c>
      <c r="O199" s="171">
        <v>1250</v>
      </c>
      <c r="P199" s="170">
        <v>3000</v>
      </c>
      <c r="Q199" s="170">
        <v>3000</v>
      </c>
      <c r="R199" s="170">
        <v>3000</v>
      </c>
      <c r="S199" s="170">
        <v>3000</v>
      </c>
      <c r="T199" s="170">
        <v>3000</v>
      </c>
    </row>
    <row r="200" spans="1:20" ht="24" customHeight="1">
      <c r="A200" s="247" t="s">
        <v>150</v>
      </c>
      <c r="B200" s="248"/>
      <c r="C200" s="248"/>
      <c r="D200" s="247" t="s">
        <v>85</v>
      </c>
      <c r="E200" s="183"/>
      <c r="F200" s="183"/>
      <c r="G200" s="183"/>
      <c r="H200" s="183"/>
      <c r="I200" s="183"/>
      <c r="J200" s="183"/>
      <c r="K200" s="183"/>
      <c r="L200" s="213">
        <v>6162</v>
      </c>
      <c r="M200" s="213">
        <v>1238</v>
      </c>
      <c r="N200" s="171">
        <v>6000</v>
      </c>
      <c r="O200" s="171">
        <v>6000</v>
      </c>
      <c r="P200" s="149">
        <v>6000</v>
      </c>
      <c r="Q200" s="170">
        <v>6000</v>
      </c>
      <c r="R200" s="170">
        <v>6000</v>
      </c>
      <c r="S200" s="170">
        <v>6000</v>
      </c>
      <c r="T200" s="170">
        <v>6000</v>
      </c>
    </row>
    <row r="201" spans="1:20" ht="24" customHeight="1">
      <c r="A201" s="247" t="s">
        <v>1140</v>
      </c>
      <c r="B201" s="183"/>
      <c r="C201" s="183"/>
      <c r="D201" s="247" t="s">
        <v>86</v>
      </c>
      <c r="E201" s="183"/>
      <c r="F201" s="183"/>
      <c r="G201" s="183"/>
      <c r="H201" s="183"/>
      <c r="I201" s="183"/>
      <c r="J201" s="183"/>
      <c r="K201" s="183"/>
      <c r="L201" s="196">
        <v>0</v>
      </c>
      <c r="M201" s="196">
        <v>1164</v>
      </c>
      <c r="N201" s="150">
        <v>1199</v>
      </c>
      <c r="O201" s="150">
        <v>1020</v>
      </c>
      <c r="P201" s="149">
        <v>1051</v>
      </c>
      <c r="Q201" s="149">
        <v>1083</v>
      </c>
      <c r="R201" s="149">
        <v>1115</v>
      </c>
      <c r="S201" s="149">
        <v>1148</v>
      </c>
      <c r="T201" s="149">
        <v>1182</v>
      </c>
    </row>
    <row r="202" spans="1:20" ht="24" customHeight="1">
      <c r="A202" s="247" t="s">
        <v>846</v>
      </c>
      <c r="B202" s="248"/>
      <c r="C202" s="248"/>
      <c r="D202" s="247" t="s">
        <v>847</v>
      </c>
      <c r="E202" s="248"/>
      <c r="F202" s="248"/>
      <c r="G202" s="248"/>
      <c r="H202" s="248"/>
      <c r="I202" s="248"/>
      <c r="J202" s="248"/>
      <c r="K202" s="248"/>
      <c r="L202" s="209">
        <v>30385</v>
      </c>
      <c r="M202" s="209">
        <v>64919</v>
      </c>
      <c r="N202" s="172">
        <v>55000</v>
      </c>
      <c r="O202" s="172">
        <v>85000</v>
      </c>
      <c r="P202" s="166">
        <v>65000</v>
      </c>
      <c r="Q202" s="166">
        <v>65000</v>
      </c>
      <c r="R202" s="166">
        <v>65000</v>
      </c>
      <c r="S202" s="166">
        <v>65000</v>
      </c>
      <c r="T202" s="166">
        <v>65000</v>
      </c>
    </row>
    <row r="203" spans="1:20" ht="24" customHeight="1">
      <c r="A203" s="247" t="s">
        <v>156</v>
      </c>
      <c r="B203" s="248"/>
      <c r="C203" s="248"/>
      <c r="D203" s="247" t="s">
        <v>93</v>
      </c>
      <c r="E203" s="248"/>
      <c r="F203" s="248"/>
      <c r="G203" s="248"/>
      <c r="H203" s="248"/>
      <c r="I203" s="248"/>
      <c r="J203" s="248"/>
      <c r="K203" s="248"/>
      <c r="L203" s="190">
        <v>4620</v>
      </c>
      <c r="M203" s="190">
        <v>6632</v>
      </c>
      <c r="N203" s="141">
        <v>5100</v>
      </c>
      <c r="O203" s="141">
        <v>5100</v>
      </c>
      <c r="P203" s="140">
        <v>5100</v>
      </c>
      <c r="Q203" s="140">
        <v>5100</v>
      </c>
      <c r="R203" s="140">
        <v>5100</v>
      </c>
      <c r="S203" s="140">
        <v>5100</v>
      </c>
      <c r="T203" s="140">
        <v>5100</v>
      </c>
    </row>
    <row r="204" spans="1:20" ht="24" customHeight="1">
      <c r="A204" s="247" t="s">
        <v>1232</v>
      </c>
      <c r="B204" s="248"/>
      <c r="C204" s="248"/>
      <c r="D204" s="247" t="s">
        <v>1359</v>
      </c>
      <c r="E204" s="248"/>
      <c r="F204" s="248"/>
      <c r="G204" s="248"/>
      <c r="H204" s="248"/>
      <c r="I204" s="248"/>
      <c r="J204" s="248"/>
      <c r="K204" s="248"/>
      <c r="L204" s="193">
        <v>0</v>
      </c>
      <c r="M204" s="193">
        <v>0</v>
      </c>
      <c r="N204" s="148">
        <v>0</v>
      </c>
      <c r="O204" s="148">
        <v>0</v>
      </c>
      <c r="P204" s="145">
        <v>157500</v>
      </c>
      <c r="Q204" s="145">
        <v>120000</v>
      </c>
      <c r="R204" s="145">
        <v>120000</v>
      </c>
      <c r="S204" s="145">
        <v>120000</v>
      </c>
      <c r="T204" s="145">
        <v>120000</v>
      </c>
    </row>
    <row r="205" spans="1:20" ht="24" customHeight="1">
      <c r="A205" s="247" t="s">
        <v>1233</v>
      </c>
      <c r="B205" s="248"/>
      <c r="C205" s="248"/>
      <c r="D205" s="247" t="s">
        <v>249</v>
      </c>
      <c r="E205" s="248"/>
      <c r="F205" s="248"/>
      <c r="G205" s="248"/>
      <c r="H205" s="248"/>
      <c r="I205" s="248"/>
      <c r="J205" s="248"/>
      <c r="K205" s="248"/>
      <c r="L205" s="193">
        <v>0</v>
      </c>
      <c r="M205" s="193">
        <v>0</v>
      </c>
      <c r="N205" s="148">
        <v>15000</v>
      </c>
      <c r="O205" s="148">
        <v>15000</v>
      </c>
      <c r="P205" s="145">
        <v>0</v>
      </c>
      <c r="Q205" s="145">
        <v>0</v>
      </c>
      <c r="R205" s="145">
        <v>0</v>
      </c>
      <c r="S205" s="145">
        <v>0</v>
      </c>
      <c r="T205" s="145">
        <v>0</v>
      </c>
    </row>
    <row r="206" spans="1:20" ht="24" customHeight="1">
      <c r="A206" s="247" t="s">
        <v>155</v>
      </c>
      <c r="B206" s="248"/>
      <c r="C206" s="248"/>
      <c r="D206" s="247" t="s">
        <v>12</v>
      </c>
      <c r="E206" s="248"/>
      <c r="F206" s="248"/>
      <c r="G206" s="248"/>
      <c r="H206" s="248"/>
      <c r="I206" s="248"/>
      <c r="J206" s="248"/>
      <c r="K206" s="248"/>
      <c r="L206" s="193">
        <v>5287</v>
      </c>
      <c r="M206" s="193">
        <v>18832</v>
      </c>
      <c r="N206" s="141">
        <v>25100</v>
      </c>
      <c r="O206" s="141">
        <v>25100</v>
      </c>
      <c r="P206" s="140">
        <v>23000</v>
      </c>
      <c r="Q206" s="140">
        <v>23000</v>
      </c>
      <c r="R206" s="140">
        <v>23000</v>
      </c>
      <c r="S206" s="140">
        <v>23000</v>
      </c>
      <c r="T206" s="140">
        <v>23000</v>
      </c>
    </row>
    <row r="207" spans="1:20" ht="24" customHeight="1">
      <c r="A207" s="247" t="s">
        <v>848</v>
      </c>
      <c r="B207" s="248"/>
      <c r="C207" s="248"/>
      <c r="D207" s="247" t="s">
        <v>849</v>
      </c>
      <c r="E207" s="248"/>
      <c r="F207" s="248"/>
      <c r="G207" s="248"/>
      <c r="H207" s="248"/>
      <c r="I207" s="248"/>
      <c r="J207" s="248"/>
      <c r="K207" s="248"/>
      <c r="L207" s="190">
        <v>27441</v>
      </c>
      <c r="M207" s="190">
        <v>27125</v>
      </c>
      <c r="N207" s="141">
        <v>30000</v>
      </c>
      <c r="O207" s="141">
        <v>30000</v>
      </c>
      <c r="P207" s="140">
        <v>30000</v>
      </c>
      <c r="Q207" s="140">
        <v>30000</v>
      </c>
      <c r="R207" s="140">
        <v>30000</v>
      </c>
      <c r="S207" s="140">
        <v>30000</v>
      </c>
      <c r="T207" s="140">
        <v>30000</v>
      </c>
    </row>
    <row r="208" spans="1:20" ht="24" customHeight="1">
      <c r="A208" s="247" t="s">
        <v>216</v>
      </c>
      <c r="B208" s="248"/>
      <c r="C208" s="248"/>
      <c r="D208" s="247" t="s">
        <v>16</v>
      </c>
      <c r="E208" s="248"/>
      <c r="F208" s="248"/>
      <c r="G208" s="248"/>
      <c r="H208" s="248"/>
      <c r="I208" s="248"/>
      <c r="J208" s="248"/>
      <c r="K208" s="248"/>
      <c r="L208" s="192">
        <v>3270</v>
      </c>
      <c r="M208" s="192">
        <v>3288</v>
      </c>
      <c r="N208" s="144">
        <v>6000</v>
      </c>
      <c r="O208" s="144">
        <v>6000</v>
      </c>
      <c r="P208" s="143">
        <v>18500</v>
      </c>
      <c r="Q208" s="143">
        <v>8500</v>
      </c>
      <c r="R208" s="143">
        <v>8500</v>
      </c>
      <c r="S208" s="143">
        <v>8500</v>
      </c>
      <c r="T208" s="143">
        <v>8500</v>
      </c>
    </row>
    <row r="209" spans="1:21" ht="24" customHeight="1">
      <c r="A209" s="247" t="s">
        <v>1263</v>
      </c>
      <c r="B209" s="248"/>
      <c r="C209" s="248"/>
      <c r="D209" s="247" t="s">
        <v>1264</v>
      </c>
      <c r="E209" s="248"/>
      <c r="F209" s="248"/>
      <c r="G209" s="248"/>
      <c r="H209" s="248"/>
      <c r="I209" s="248"/>
      <c r="J209" s="248"/>
      <c r="K209" s="248"/>
      <c r="L209" s="193">
        <v>0</v>
      </c>
      <c r="M209" s="193">
        <v>0</v>
      </c>
      <c r="N209" s="148">
        <v>35000</v>
      </c>
      <c r="O209" s="148">
        <v>15000</v>
      </c>
      <c r="P209" s="145">
        <v>0</v>
      </c>
      <c r="Q209" s="145">
        <v>0</v>
      </c>
      <c r="R209" s="145">
        <v>0</v>
      </c>
      <c r="S209" s="145">
        <v>0</v>
      </c>
      <c r="T209" s="145">
        <v>0</v>
      </c>
    </row>
    <row r="210" spans="1:21" ht="24" customHeight="1">
      <c r="A210" s="247" t="s">
        <v>205</v>
      </c>
      <c r="B210" s="248"/>
      <c r="C210" s="248"/>
      <c r="D210" s="247" t="s">
        <v>913</v>
      </c>
      <c r="E210" s="248"/>
      <c r="F210" s="248"/>
      <c r="G210" s="248"/>
      <c r="H210" s="248"/>
      <c r="I210" s="248"/>
      <c r="J210" s="248"/>
      <c r="K210" s="248"/>
      <c r="L210" s="192">
        <v>12775</v>
      </c>
      <c r="M210" s="192">
        <v>19339</v>
      </c>
      <c r="N210" s="144">
        <v>25000</v>
      </c>
      <c r="O210" s="144">
        <v>25000</v>
      </c>
      <c r="P210" s="143">
        <v>25000</v>
      </c>
      <c r="Q210" s="143">
        <v>25000</v>
      </c>
      <c r="R210" s="143">
        <v>25000</v>
      </c>
      <c r="S210" s="143">
        <v>25000</v>
      </c>
      <c r="T210" s="143">
        <v>25000</v>
      </c>
    </row>
    <row r="211" spans="1:21" ht="24" customHeight="1">
      <c r="A211" s="247" t="s">
        <v>1234</v>
      </c>
      <c r="B211" s="248"/>
      <c r="C211" s="248"/>
      <c r="D211" s="247" t="s">
        <v>1133</v>
      </c>
      <c r="E211" s="248"/>
      <c r="F211" s="248"/>
      <c r="G211" s="248"/>
      <c r="H211" s="248"/>
      <c r="I211" s="248"/>
      <c r="J211" s="248"/>
      <c r="K211" s="248"/>
      <c r="L211" s="190">
        <v>0</v>
      </c>
      <c r="M211" s="190">
        <v>0</v>
      </c>
      <c r="N211" s="141">
        <v>17000</v>
      </c>
      <c r="O211" s="141">
        <v>17000</v>
      </c>
      <c r="P211" s="140">
        <v>17000</v>
      </c>
      <c r="Q211" s="140">
        <v>17000</v>
      </c>
      <c r="R211" s="140">
        <v>17000</v>
      </c>
      <c r="S211" s="140">
        <v>17000</v>
      </c>
      <c r="T211" s="140">
        <v>17000</v>
      </c>
    </row>
    <row r="212" spans="1:21" ht="24" customHeight="1">
      <c r="A212" s="247" t="s">
        <v>1237</v>
      </c>
      <c r="B212" s="183"/>
      <c r="C212" s="183"/>
      <c r="D212" s="247" t="s">
        <v>940</v>
      </c>
      <c r="E212" s="183"/>
      <c r="F212" s="183"/>
      <c r="G212" s="183"/>
      <c r="H212" s="183"/>
      <c r="I212" s="183"/>
      <c r="J212" s="183"/>
      <c r="K212" s="183"/>
      <c r="L212" s="193">
        <v>0</v>
      </c>
      <c r="M212" s="193">
        <v>0</v>
      </c>
      <c r="N212" s="148">
        <v>1200</v>
      </c>
      <c r="O212" s="148">
        <v>1200</v>
      </c>
      <c r="P212" s="170">
        <v>1200</v>
      </c>
      <c r="Q212" s="170">
        <v>1200</v>
      </c>
      <c r="R212" s="170">
        <v>1200</v>
      </c>
      <c r="S212" s="170">
        <v>1200</v>
      </c>
      <c r="T212" s="170">
        <v>1200</v>
      </c>
    </row>
    <row r="213" spans="1:21" ht="24" customHeight="1">
      <c r="A213" s="247" t="s">
        <v>154</v>
      </c>
      <c r="B213" s="248"/>
      <c r="C213" s="248"/>
      <c r="D213" s="247" t="s">
        <v>133</v>
      </c>
      <c r="E213" s="248"/>
      <c r="F213" s="248"/>
      <c r="G213" s="248"/>
      <c r="H213" s="248"/>
      <c r="I213" s="248"/>
      <c r="J213" s="248"/>
      <c r="K213" s="248"/>
      <c r="L213" s="197">
        <v>15391</v>
      </c>
      <c r="M213" s="197">
        <v>21872</v>
      </c>
      <c r="N213" s="163">
        <v>22898</v>
      </c>
      <c r="O213" s="163">
        <v>22898</v>
      </c>
      <c r="P213" s="162">
        <v>24043</v>
      </c>
      <c r="Q213" s="162">
        <v>25245</v>
      </c>
      <c r="R213" s="162">
        <v>26507</v>
      </c>
      <c r="S213" s="162">
        <v>27832</v>
      </c>
      <c r="T213" s="162">
        <v>29224</v>
      </c>
    </row>
    <row r="214" spans="1:21" s="183" customFormat="1" ht="24" customHeight="1">
      <c r="A214" s="247"/>
      <c r="B214" s="250"/>
      <c r="C214" s="250"/>
      <c r="D214" s="247"/>
      <c r="E214" s="250"/>
      <c r="F214" s="250"/>
      <c r="G214" s="250"/>
      <c r="H214" s="250"/>
      <c r="I214" s="250"/>
      <c r="J214" s="250"/>
      <c r="K214" s="250"/>
      <c r="L214" s="215">
        <f>SUM(L180:L213)</f>
        <v>776107</v>
      </c>
      <c r="M214" s="215">
        <f>SUM(M180:M213)</f>
        <v>787964</v>
      </c>
      <c r="N214" s="206">
        <f t="shared" ref="N214:T214" si="5">SUM(N180:N213)</f>
        <v>919028</v>
      </c>
      <c r="O214" s="206">
        <f>SUM(O180:O213)</f>
        <v>925739</v>
      </c>
      <c r="P214" s="215">
        <f t="shared" si="5"/>
        <v>1074586</v>
      </c>
      <c r="Q214" s="215">
        <f t="shared" si="5"/>
        <v>1041776</v>
      </c>
      <c r="R214" s="215">
        <f t="shared" si="5"/>
        <v>1072096</v>
      </c>
      <c r="S214" s="215">
        <f t="shared" si="5"/>
        <v>1102013</v>
      </c>
      <c r="T214" s="215">
        <f t="shared" si="5"/>
        <v>1135247</v>
      </c>
      <c r="U214" s="64"/>
    </row>
    <row r="215" spans="1:21" s="183" customFormat="1" ht="15" customHeight="1">
      <c r="A215" s="247"/>
      <c r="B215" s="250"/>
      <c r="C215" s="250"/>
      <c r="D215" s="247"/>
      <c r="E215" s="250"/>
      <c r="F215" s="250"/>
      <c r="G215" s="250"/>
      <c r="H215" s="250"/>
      <c r="I215" s="250"/>
      <c r="J215" s="250"/>
      <c r="K215" s="250"/>
      <c r="L215" s="215"/>
      <c r="M215" s="215"/>
      <c r="N215" s="206"/>
      <c r="O215" s="206"/>
      <c r="P215" s="215"/>
      <c r="Q215" s="215"/>
      <c r="R215" s="215"/>
      <c r="S215" s="215"/>
      <c r="T215" s="215"/>
      <c r="U215" s="64"/>
    </row>
    <row r="216" spans="1:21" ht="24" customHeight="1">
      <c r="A216" s="251" t="s">
        <v>993</v>
      </c>
      <c r="B216" s="183"/>
      <c r="C216" s="183"/>
      <c r="D216" s="183"/>
      <c r="E216" s="183"/>
      <c r="F216" s="183"/>
      <c r="G216" s="183"/>
      <c r="H216" s="183"/>
      <c r="I216" s="183"/>
      <c r="J216" s="183"/>
      <c r="K216" s="183"/>
      <c r="L216" s="199"/>
      <c r="M216" s="199"/>
      <c r="N216" s="155"/>
      <c r="O216" s="155"/>
      <c r="P216" s="154"/>
      <c r="Q216" s="154"/>
      <c r="R216" s="154"/>
      <c r="S216" s="154"/>
      <c r="T216" s="154"/>
    </row>
    <row r="217" spans="1:21" ht="24" customHeight="1">
      <c r="A217" s="183" t="s">
        <v>614</v>
      </c>
      <c r="B217" s="183"/>
      <c r="C217" s="183"/>
      <c r="D217" s="247" t="s">
        <v>615</v>
      </c>
      <c r="E217" s="183"/>
      <c r="F217" s="183"/>
      <c r="G217" s="183"/>
      <c r="H217" s="183"/>
      <c r="I217" s="183"/>
      <c r="J217" s="183"/>
      <c r="K217" s="183"/>
      <c r="L217" s="192">
        <v>35103</v>
      </c>
      <c r="M217" s="192">
        <v>31147</v>
      </c>
      <c r="N217" s="144">
        <v>32089</v>
      </c>
      <c r="O217" s="144">
        <v>33250</v>
      </c>
      <c r="P217" s="143">
        <v>34081</v>
      </c>
      <c r="Q217" s="143">
        <v>34933</v>
      </c>
      <c r="R217" s="143">
        <v>35806</v>
      </c>
      <c r="S217" s="140">
        <v>36880</v>
      </c>
      <c r="T217" s="140">
        <v>37986</v>
      </c>
    </row>
    <row r="218" spans="1:21" ht="24" customHeight="1">
      <c r="A218" s="247" t="s">
        <v>160</v>
      </c>
      <c r="B218" s="248"/>
      <c r="C218" s="248"/>
      <c r="D218" s="247" t="s">
        <v>162</v>
      </c>
      <c r="E218" s="248"/>
      <c r="F218" s="248"/>
      <c r="G218" s="248"/>
      <c r="H218" s="248"/>
      <c r="I218" s="248"/>
      <c r="J218" s="248"/>
      <c r="K218" s="248"/>
      <c r="L218" s="190">
        <v>1262212</v>
      </c>
      <c r="M218" s="190">
        <v>1105630</v>
      </c>
      <c r="N218" s="141">
        <v>1137138</v>
      </c>
      <c r="O218" s="141">
        <v>1168500</v>
      </c>
      <c r="P218" s="140">
        <v>1200294</v>
      </c>
      <c r="Q218" s="140">
        <v>1232191</v>
      </c>
      <c r="R218" s="140">
        <v>1264886</v>
      </c>
      <c r="S218" s="140">
        <v>1302833</v>
      </c>
      <c r="T218" s="140">
        <v>1341918</v>
      </c>
    </row>
    <row r="219" spans="1:21" ht="24" customHeight="1">
      <c r="A219" s="247" t="s">
        <v>159</v>
      </c>
      <c r="B219" s="183"/>
      <c r="C219" s="183"/>
      <c r="D219" s="247" t="s">
        <v>161</v>
      </c>
      <c r="E219" s="183"/>
      <c r="F219" s="183"/>
      <c r="G219" s="183"/>
      <c r="H219" s="183"/>
      <c r="I219" s="183"/>
      <c r="J219" s="183"/>
      <c r="K219" s="183"/>
      <c r="L219" s="198">
        <v>4080</v>
      </c>
      <c r="M219" s="198">
        <v>3840</v>
      </c>
      <c r="N219" s="161">
        <v>5000</v>
      </c>
      <c r="O219" s="161">
        <v>6720</v>
      </c>
      <c r="P219" s="151">
        <v>7000</v>
      </c>
      <c r="Q219" s="151">
        <v>7000</v>
      </c>
      <c r="R219" s="151">
        <v>7000</v>
      </c>
      <c r="S219" s="151">
        <v>7000</v>
      </c>
      <c r="T219" s="151">
        <v>7000</v>
      </c>
    </row>
    <row r="220" spans="1:21" s="183" customFormat="1" ht="24" customHeight="1">
      <c r="A220" s="247"/>
      <c r="D220" s="247"/>
      <c r="L220" s="216">
        <f>SUM(L217:L219)</f>
        <v>1301395</v>
      </c>
      <c r="M220" s="216">
        <f t="shared" ref="M220:T220" si="6">SUM(M217:M219)</f>
        <v>1140617</v>
      </c>
      <c r="N220" s="208">
        <f t="shared" si="6"/>
        <v>1174227</v>
      </c>
      <c r="O220" s="208">
        <f t="shared" si="6"/>
        <v>1208470</v>
      </c>
      <c r="P220" s="216">
        <f t="shared" si="6"/>
        <v>1241375</v>
      </c>
      <c r="Q220" s="216">
        <f t="shared" si="6"/>
        <v>1274124</v>
      </c>
      <c r="R220" s="216">
        <f t="shared" si="6"/>
        <v>1307692</v>
      </c>
      <c r="S220" s="216">
        <f t="shared" si="6"/>
        <v>1346713</v>
      </c>
      <c r="T220" s="216">
        <f t="shared" si="6"/>
        <v>1386904</v>
      </c>
      <c r="U220" s="64"/>
    </row>
    <row r="221" spans="1:21" s="183" customFormat="1" ht="15" customHeight="1">
      <c r="A221" s="247"/>
      <c r="D221" s="247"/>
      <c r="L221" s="216"/>
      <c r="M221" s="216"/>
      <c r="N221" s="208"/>
      <c r="O221" s="208"/>
      <c r="P221" s="216"/>
      <c r="Q221" s="216"/>
      <c r="R221" s="216"/>
      <c r="S221" s="216"/>
      <c r="T221" s="216"/>
      <c r="U221" s="64"/>
    </row>
    <row r="222" spans="1:21" s="183" customFormat="1" ht="24" customHeight="1">
      <c r="A222" s="247"/>
      <c r="D222" s="247"/>
      <c r="F222" s="483" t="s">
        <v>830</v>
      </c>
      <c r="G222" s="483"/>
      <c r="H222" s="483"/>
      <c r="I222" s="483"/>
      <c r="J222" s="483"/>
      <c r="K222" s="483"/>
      <c r="L222" s="216">
        <f t="shared" ref="L222:T222" si="7">L214+L220</f>
        <v>2077502</v>
      </c>
      <c r="M222" s="216">
        <f t="shared" si="7"/>
        <v>1928581</v>
      </c>
      <c r="N222" s="208">
        <f t="shared" si="7"/>
        <v>2093255</v>
      </c>
      <c r="O222" s="208">
        <f t="shared" si="7"/>
        <v>2134209</v>
      </c>
      <c r="P222" s="216">
        <f t="shared" si="7"/>
        <v>2315961</v>
      </c>
      <c r="Q222" s="216">
        <f t="shared" si="7"/>
        <v>2315900</v>
      </c>
      <c r="R222" s="216">
        <f t="shared" si="7"/>
        <v>2379788</v>
      </c>
      <c r="S222" s="216">
        <f t="shared" si="7"/>
        <v>2448726</v>
      </c>
      <c r="T222" s="216">
        <f t="shared" si="7"/>
        <v>2522151</v>
      </c>
      <c r="U222" s="284"/>
    </row>
    <row r="223" spans="1:21" ht="15" customHeight="1">
      <c r="A223" s="247"/>
      <c r="B223" s="183"/>
      <c r="C223" s="183"/>
      <c r="D223" s="247"/>
      <c r="E223" s="183"/>
      <c r="F223" s="252"/>
      <c r="G223" s="252"/>
      <c r="H223" s="252"/>
      <c r="I223" s="252"/>
      <c r="J223" s="252"/>
      <c r="K223" s="252"/>
      <c r="L223" s="216"/>
      <c r="M223" s="216"/>
      <c r="N223" s="164"/>
      <c r="O223" s="164"/>
      <c r="P223" s="165"/>
      <c r="Q223" s="165"/>
      <c r="R223" s="165"/>
      <c r="S223" s="165"/>
      <c r="T223" s="165"/>
    </row>
    <row r="224" spans="1:21" ht="24" customHeight="1">
      <c r="A224" s="253" t="s">
        <v>516</v>
      </c>
      <c r="B224" s="183"/>
      <c r="C224" s="183"/>
      <c r="D224" s="247"/>
      <c r="E224" s="183"/>
      <c r="F224" s="183"/>
      <c r="G224" s="183"/>
      <c r="H224" s="183"/>
      <c r="I224" s="183"/>
      <c r="J224" s="183"/>
      <c r="K224" s="183"/>
      <c r="L224" s="193"/>
      <c r="M224" s="193"/>
      <c r="N224" s="148"/>
      <c r="O224" s="148"/>
      <c r="P224" s="145"/>
      <c r="Q224" s="145"/>
      <c r="R224" s="145"/>
      <c r="S224" s="145"/>
      <c r="T224" s="145"/>
    </row>
    <row r="225" spans="1:20" ht="24" customHeight="1">
      <c r="A225" s="247" t="s">
        <v>1145</v>
      </c>
      <c r="B225" s="248"/>
      <c r="C225" s="248"/>
      <c r="D225" s="247" t="s">
        <v>1146</v>
      </c>
      <c r="E225" s="248"/>
      <c r="F225" s="248"/>
      <c r="G225" s="248"/>
      <c r="H225" s="248"/>
      <c r="I225" s="248"/>
      <c r="J225" s="248"/>
      <c r="K225" s="248"/>
      <c r="L225" s="192">
        <v>0</v>
      </c>
      <c r="M225" s="192">
        <v>16740</v>
      </c>
      <c r="N225" s="144">
        <v>0</v>
      </c>
      <c r="O225" s="144">
        <v>0</v>
      </c>
      <c r="P225" s="143">
        <v>0</v>
      </c>
      <c r="Q225" s="143">
        <v>0</v>
      </c>
      <c r="R225" s="143">
        <v>0</v>
      </c>
      <c r="S225" s="143">
        <v>0</v>
      </c>
      <c r="T225" s="143">
        <v>0</v>
      </c>
    </row>
    <row r="226" spans="1:20" ht="24" customHeight="1">
      <c r="A226" s="247" t="s">
        <v>227</v>
      </c>
      <c r="B226" s="248"/>
      <c r="C226" s="248"/>
      <c r="D226" s="247" t="s">
        <v>228</v>
      </c>
      <c r="E226" s="248"/>
      <c r="F226" s="248"/>
      <c r="G226" s="248"/>
      <c r="H226" s="248"/>
      <c r="I226" s="248"/>
      <c r="J226" s="248"/>
      <c r="K226" s="248"/>
      <c r="L226" s="192">
        <v>800</v>
      </c>
      <c r="M226" s="192">
        <v>900</v>
      </c>
      <c r="N226" s="144">
        <v>500</v>
      </c>
      <c r="O226" s="144">
        <v>500</v>
      </c>
      <c r="P226" s="143">
        <v>500</v>
      </c>
      <c r="Q226" s="143">
        <v>500</v>
      </c>
      <c r="R226" s="143">
        <v>500</v>
      </c>
      <c r="S226" s="143">
        <v>500</v>
      </c>
      <c r="T226" s="143">
        <v>500</v>
      </c>
    </row>
    <row r="227" spans="1:20" ht="24" customHeight="1">
      <c r="A227" s="247" t="s">
        <v>1257</v>
      </c>
      <c r="B227" s="248"/>
      <c r="C227" s="248"/>
      <c r="D227" s="247" t="s">
        <v>1258</v>
      </c>
      <c r="E227" s="248"/>
      <c r="F227" s="248"/>
      <c r="G227" s="248"/>
      <c r="H227" s="248"/>
      <c r="I227" s="248"/>
      <c r="J227" s="248"/>
      <c r="K227" s="248"/>
      <c r="L227" s="192">
        <v>0</v>
      </c>
      <c r="M227" s="192">
        <v>1281</v>
      </c>
      <c r="N227" s="144">
        <v>0</v>
      </c>
      <c r="O227" s="144">
        <v>0</v>
      </c>
      <c r="P227" s="143">
        <v>0</v>
      </c>
      <c r="Q227" s="143">
        <v>0</v>
      </c>
      <c r="R227" s="143">
        <v>0</v>
      </c>
      <c r="S227" s="143">
        <v>0</v>
      </c>
      <c r="T227" s="143">
        <v>0</v>
      </c>
    </row>
    <row r="228" spans="1:20" ht="24" customHeight="1">
      <c r="A228" s="247" t="s">
        <v>164</v>
      </c>
      <c r="B228" s="248"/>
      <c r="C228" s="248"/>
      <c r="D228" s="247" t="s">
        <v>165</v>
      </c>
      <c r="E228" s="248"/>
      <c r="F228" s="248"/>
      <c r="G228" s="248"/>
      <c r="H228" s="248"/>
      <c r="I228" s="248"/>
      <c r="J228" s="248"/>
      <c r="K228" s="248"/>
      <c r="L228" s="192">
        <v>11298</v>
      </c>
      <c r="M228" s="192">
        <v>6402</v>
      </c>
      <c r="N228" s="144">
        <v>20000</v>
      </c>
      <c r="O228" s="144">
        <v>10000</v>
      </c>
      <c r="P228" s="143">
        <v>15000</v>
      </c>
      <c r="Q228" s="143">
        <v>15000</v>
      </c>
      <c r="R228" s="143">
        <v>15000</v>
      </c>
      <c r="S228" s="143">
        <v>15000</v>
      </c>
      <c r="T228" s="143">
        <v>15000</v>
      </c>
    </row>
    <row r="229" spans="1:20" ht="24" customHeight="1">
      <c r="A229" s="247" t="s">
        <v>163</v>
      </c>
      <c r="B229" s="183"/>
      <c r="C229" s="183"/>
      <c r="D229" s="247" t="s">
        <v>220</v>
      </c>
      <c r="E229" s="183"/>
      <c r="F229" s="183"/>
      <c r="G229" s="183"/>
      <c r="H229" s="183"/>
      <c r="I229" s="183"/>
      <c r="J229" s="183"/>
      <c r="K229" s="247"/>
      <c r="L229" s="192">
        <v>286792</v>
      </c>
      <c r="M229" s="192">
        <v>294582</v>
      </c>
      <c r="N229" s="144">
        <v>313712</v>
      </c>
      <c r="O229" s="144">
        <v>295466</v>
      </c>
      <c r="P229" s="143">
        <v>316374</v>
      </c>
      <c r="Q229" s="143">
        <v>335356</v>
      </c>
      <c r="R229" s="143">
        <v>355477</v>
      </c>
      <c r="S229" s="143">
        <v>376806</v>
      </c>
      <c r="T229" s="143">
        <v>399414</v>
      </c>
    </row>
    <row r="230" spans="1:20" ht="24" customHeight="1">
      <c r="A230" s="247" t="s">
        <v>629</v>
      </c>
      <c r="B230" s="183"/>
      <c r="C230" s="183"/>
      <c r="D230" s="249" t="s">
        <v>632</v>
      </c>
      <c r="E230" s="183"/>
      <c r="F230" s="183"/>
      <c r="G230" s="183"/>
      <c r="H230" s="183"/>
      <c r="I230" s="183"/>
      <c r="J230" s="183"/>
      <c r="K230" s="183"/>
      <c r="L230" s="192">
        <v>33255</v>
      </c>
      <c r="M230" s="192">
        <v>31857</v>
      </c>
      <c r="N230" s="147">
        <v>41367</v>
      </c>
      <c r="O230" s="150">
        <v>41367</v>
      </c>
      <c r="P230" s="146">
        <v>47796</v>
      </c>
      <c r="Q230" s="146">
        <v>51620</v>
      </c>
      <c r="R230" s="146">
        <v>18458</v>
      </c>
      <c r="S230" s="146">
        <v>20000</v>
      </c>
      <c r="T230" s="146">
        <v>20000</v>
      </c>
    </row>
    <row r="231" spans="1:20" ht="24" customHeight="1">
      <c r="A231" s="247" t="s">
        <v>630</v>
      </c>
      <c r="B231" s="183"/>
      <c r="C231" s="183"/>
      <c r="D231" s="249" t="s">
        <v>633</v>
      </c>
      <c r="E231" s="183"/>
      <c r="F231" s="183"/>
      <c r="G231" s="183"/>
      <c r="H231" s="183"/>
      <c r="I231" s="183"/>
      <c r="J231" s="183"/>
      <c r="K231" s="183"/>
      <c r="L231" s="192">
        <v>260</v>
      </c>
      <c r="M231" s="192">
        <v>554</v>
      </c>
      <c r="N231" s="147">
        <v>449</v>
      </c>
      <c r="O231" s="147">
        <v>449</v>
      </c>
      <c r="P231" s="146">
        <v>449</v>
      </c>
      <c r="Q231" s="146">
        <v>471</v>
      </c>
      <c r="R231" s="146">
        <v>124</v>
      </c>
      <c r="S231" s="146">
        <v>0</v>
      </c>
      <c r="T231" s="146">
        <v>0</v>
      </c>
    </row>
    <row r="232" spans="1:20" ht="24" customHeight="1">
      <c r="A232" s="247" t="s">
        <v>631</v>
      </c>
      <c r="B232" s="183"/>
      <c r="C232" s="183"/>
      <c r="D232" s="249" t="s">
        <v>634</v>
      </c>
      <c r="E232" s="183"/>
      <c r="F232" s="183"/>
      <c r="G232" s="183"/>
      <c r="H232" s="183"/>
      <c r="I232" s="183"/>
      <c r="J232" s="183"/>
      <c r="K232" s="183"/>
      <c r="L232" s="192">
        <v>74</v>
      </c>
      <c r="M232" s="192">
        <v>233</v>
      </c>
      <c r="N232" s="147">
        <v>80</v>
      </c>
      <c r="O232" s="147">
        <v>80</v>
      </c>
      <c r="P232" s="146">
        <v>80</v>
      </c>
      <c r="Q232" s="146">
        <v>80</v>
      </c>
      <c r="R232" s="146">
        <v>21</v>
      </c>
      <c r="S232" s="146">
        <v>0</v>
      </c>
      <c r="T232" s="146">
        <v>0</v>
      </c>
    </row>
    <row r="233" spans="1:20" ht="24" customHeight="1">
      <c r="A233" s="247" t="s">
        <v>1117</v>
      </c>
      <c r="B233" s="183"/>
      <c r="C233" s="183"/>
      <c r="D233" s="249" t="s">
        <v>1118</v>
      </c>
      <c r="E233" s="183"/>
      <c r="F233" s="183"/>
      <c r="G233" s="183"/>
      <c r="H233" s="183"/>
      <c r="I233" s="183"/>
      <c r="J233" s="183"/>
      <c r="K233" s="183"/>
      <c r="L233" s="193">
        <v>5187</v>
      </c>
      <c r="M233" s="193">
        <v>54535</v>
      </c>
      <c r="N233" s="147">
        <v>53419</v>
      </c>
      <c r="O233" s="144">
        <v>43393</v>
      </c>
      <c r="P233" s="146">
        <v>50465</v>
      </c>
      <c r="Q233" s="146">
        <v>52365</v>
      </c>
      <c r="R233" s="146">
        <v>54354</v>
      </c>
      <c r="S233" s="146">
        <v>56438</v>
      </c>
      <c r="T233" s="146">
        <v>58623</v>
      </c>
    </row>
    <row r="234" spans="1:20" ht="24" customHeight="1">
      <c r="A234" s="247" t="s">
        <v>1217</v>
      </c>
      <c r="B234" s="183"/>
      <c r="C234" s="183"/>
      <c r="D234" s="249" t="s">
        <v>1256</v>
      </c>
      <c r="E234" s="183"/>
      <c r="F234" s="183"/>
      <c r="G234" s="183"/>
      <c r="H234" s="183"/>
      <c r="I234" s="183"/>
      <c r="J234" s="183"/>
      <c r="K234" s="183"/>
      <c r="L234" s="193">
        <v>0</v>
      </c>
      <c r="M234" s="193">
        <v>51945</v>
      </c>
      <c r="N234" s="147">
        <v>57357</v>
      </c>
      <c r="O234" s="147">
        <v>43918</v>
      </c>
      <c r="P234" s="146">
        <v>44689</v>
      </c>
      <c r="Q234" s="146">
        <v>45478</v>
      </c>
      <c r="R234" s="146">
        <v>46287</v>
      </c>
      <c r="S234" s="146">
        <v>47114</v>
      </c>
      <c r="T234" s="146">
        <v>47961</v>
      </c>
    </row>
    <row r="235" spans="1:20" ht="24" customHeight="1">
      <c r="A235" s="247" t="s">
        <v>1173</v>
      </c>
      <c r="B235" s="250"/>
      <c r="C235" s="250"/>
      <c r="D235" s="247" t="s">
        <v>1151</v>
      </c>
      <c r="E235" s="250"/>
      <c r="F235" s="250"/>
      <c r="G235" s="250"/>
      <c r="H235" s="250"/>
      <c r="I235" s="250"/>
      <c r="J235" s="250"/>
      <c r="K235" s="250"/>
      <c r="L235" s="192">
        <v>0</v>
      </c>
      <c r="M235" s="192">
        <v>1034</v>
      </c>
      <c r="N235" s="144">
        <v>12000</v>
      </c>
      <c r="O235" s="144">
        <v>6438</v>
      </c>
      <c r="P235" s="143">
        <v>7800</v>
      </c>
      <c r="Q235" s="143">
        <v>8580</v>
      </c>
      <c r="R235" s="143">
        <v>9438</v>
      </c>
      <c r="S235" s="143">
        <v>10382</v>
      </c>
      <c r="T235" s="143">
        <v>11420</v>
      </c>
    </row>
    <row r="236" spans="1:20" ht="24" customHeight="1">
      <c r="A236" s="247" t="s">
        <v>1055</v>
      </c>
      <c r="B236" s="183"/>
      <c r="C236" s="183"/>
      <c r="D236" s="249" t="s">
        <v>1056</v>
      </c>
      <c r="E236" s="183"/>
      <c r="F236" s="183"/>
      <c r="G236" s="183"/>
      <c r="H236" s="183"/>
      <c r="I236" s="183"/>
      <c r="J236" s="183"/>
      <c r="K236" s="183"/>
      <c r="L236" s="193">
        <v>0</v>
      </c>
      <c r="M236" s="193">
        <v>14375</v>
      </c>
      <c r="N236" s="147">
        <v>14375</v>
      </c>
      <c r="O236" s="147">
        <v>13250</v>
      </c>
      <c r="P236" s="146">
        <v>14375</v>
      </c>
      <c r="Q236" s="146">
        <v>14375</v>
      </c>
      <c r="R236" s="145">
        <v>14375</v>
      </c>
      <c r="S236" s="145">
        <v>0</v>
      </c>
      <c r="T236" s="145">
        <v>0</v>
      </c>
    </row>
    <row r="237" spans="1:20" ht="24" customHeight="1">
      <c r="A237" s="247" t="s">
        <v>1174</v>
      </c>
      <c r="B237" s="183"/>
      <c r="C237" s="183"/>
      <c r="D237" s="249" t="s">
        <v>1169</v>
      </c>
      <c r="E237" s="183"/>
      <c r="F237" s="183"/>
      <c r="G237" s="183"/>
      <c r="H237" s="183"/>
      <c r="I237" s="183"/>
      <c r="J237" s="183"/>
      <c r="K237" s="183"/>
      <c r="L237" s="193">
        <v>0</v>
      </c>
      <c r="M237" s="193">
        <v>1072</v>
      </c>
      <c r="N237" s="147">
        <v>50000</v>
      </c>
      <c r="O237" s="144">
        <v>54130</v>
      </c>
      <c r="P237" s="146">
        <v>57425</v>
      </c>
      <c r="Q237" s="146">
        <v>59146</v>
      </c>
      <c r="R237" s="146">
        <v>60923</v>
      </c>
      <c r="S237" s="146">
        <v>62755</v>
      </c>
      <c r="T237" s="146">
        <v>64646</v>
      </c>
    </row>
    <row r="238" spans="1:20" ht="24" customHeight="1">
      <c r="A238" s="247" t="s">
        <v>870</v>
      </c>
      <c r="B238" s="183"/>
      <c r="C238" s="183"/>
      <c r="D238" s="247" t="s">
        <v>871</v>
      </c>
      <c r="E238" s="183"/>
      <c r="F238" s="183"/>
      <c r="G238" s="183"/>
      <c r="H238" s="183"/>
      <c r="I238" s="183"/>
      <c r="J238" s="183"/>
      <c r="K238" s="247"/>
      <c r="L238" s="193">
        <v>61613</v>
      </c>
      <c r="M238" s="193">
        <v>47723</v>
      </c>
      <c r="N238" s="148">
        <v>60000</v>
      </c>
      <c r="O238" s="148">
        <v>50000</v>
      </c>
      <c r="P238" s="145">
        <v>60000</v>
      </c>
      <c r="Q238" s="145">
        <v>60000</v>
      </c>
      <c r="R238" s="145">
        <v>30000</v>
      </c>
      <c r="S238" s="145">
        <v>30000</v>
      </c>
      <c r="T238" s="145">
        <v>30000</v>
      </c>
    </row>
    <row r="239" spans="1:20" ht="24" customHeight="1">
      <c r="A239" s="247" t="s">
        <v>566</v>
      </c>
      <c r="B239" s="183"/>
      <c r="C239" s="183"/>
      <c r="D239" s="247" t="s">
        <v>565</v>
      </c>
      <c r="E239" s="183"/>
      <c r="F239" s="183"/>
      <c r="G239" s="183"/>
      <c r="H239" s="183"/>
      <c r="I239" s="183"/>
      <c r="J239" s="183"/>
      <c r="K239" s="247"/>
      <c r="L239" s="193">
        <v>74842</v>
      </c>
      <c r="M239" s="193">
        <v>119698</v>
      </c>
      <c r="N239" s="144">
        <v>110958</v>
      </c>
      <c r="O239" s="144">
        <v>110958</v>
      </c>
      <c r="P239" s="143">
        <v>126109</v>
      </c>
      <c r="Q239" s="143">
        <v>147320</v>
      </c>
      <c r="R239" s="143">
        <v>157591</v>
      </c>
      <c r="S239" s="143">
        <v>168204</v>
      </c>
      <c r="T239" s="143">
        <v>179171</v>
      </c>
    </row>
    <row r="240" spans="1:20" ht="24" customHeight="1">
      <c r="A240" s="247" t="s">
        <v>571</v>
      </c>
      <c r="B240" s="250"/>
      <c r="C240" s="250"/>
      <c r="D240" s="249" t="s">
        <v>572</v>
      </c>
      <c r="E240" s="250"/>
      <c r="F240" s="250"/>
      <c r="G240" s="250"/>
      <c r="H240" s="250"/>
      <c r="I240" s="250"/>
      <c r="J240" s="250"/>
      <c r="K240" s="250"/>
      <c r="L240" s="192">
        <v>117691</v>
      </c>
      <c r="M240" s="192">
        <v>203809</v>
      </c>
      <c r="N240" s="144">
        <v>136000</v>
      </c>
      <c r="O240" s="144">
        <v>225000</v>
      </c>
      <c r="P240" s="143">
        <v>225000</v>
      </c>
      <c r="Q240" s="143">
        <v>225000</v>
      </c>
      <c r="R240" s="143">
        <v>225000</v>
      </c>
      <c r="S240" s="143">
        <v>225000</v>
      </c>
      <c r="T240" s="143">
        <v>225000</v>
      </c>
    </row>
    <row r="241" spans="1:20" ht="24" customHeight="1">
      <c r="A241" s="247" t="s">
        <v>196</v>
      </c>
      <c r="B241" s="250"/>
      <c r="C241" s="250"/>
      <c r="D241" s="247" t="s">
        <v>178</v>
      </c>
      <c r="E241" s="250"/>
      <c r="F241" s="250"/>
      <c r="G241" s="250"/>
      <c r="H241" s="250"/>
      <c r="I241" s="250"/>
      <c r="J241" s="250"/>
      <c r="K241" s="250"/>
      <c r="L241" s="192">
        <v>102825</v>
      </c>
      <c r="M241" s="192">
        <v>99701</v>
      </c>
      <c r="N241" s="144">
        <v>110000</v>
      </c>
      <c r="O241" s="144">
        <v>120000</v>
      </c>
      <c r="P241" s="143">
        <v>115000</v>
      </c>
      <c r="Q241" s="143">
        <v>115000</v>
      </c>
      <c r="R241" s="143">
        <v>115000</v>
      </c>
      <c r="S241" s="143">
        <v>115000</v>
      </c>
      <c r="T241" s="143">
        <v>115000</v>
      </c>
    </row>
    <row r="242" spans="1:20" ht="24" customHeight="1">
      <c r="A242" s="247" t="s">
        <v>173</v>
      </c>
      <c r="B242" s="250"/>
      <c r="C242" s="250"/>
      <c r="D242" s="247" t="s">
        <v>177</v>
      </c>
      <c r="E242" s="250"/>
      <c r="F242" s="250"/>
      <c r="G242" s="250"/>
      <c r="H242" s="250"/>
      <c r="I242" s="250"/>
      <c r="J242" s="250"/>
      <c r="K242" s="250"/>
      <c r="L242" s="192">
        <v>211454</v>
      </c>
      <c r="M242" s="192">
        <v>188411</v>
      </c>
      <c r="N242" s="144">
        <v>120000</v>
      </c>
      <c r="O242" s="144">
        <v>80000</v>
      </c>
      <c r="P242" s="143">
        <v>120000</v>
      </c>
      <c r="Q242" s="143">
        <v>120000</v>
      </c>
      <c r="R242" s="143">
        <v>120000</v>
      </c>
      <c r="S242" s="143">
        <v>120000</v>
      </c>
      <c r="T242" s="143">
        <v>120000</v>
      </c>
    </row>
    <row r="243" spans="1:20" ht="24" customHeight="1">
      <c r="A243" s="445" t="s">
        <v>1361</v>
      </c>
      <c r="B243" s="250"/>
      <c r="C243" s="250"/>
      <c r="D243" s="445" t="s">
        <v>10</v>
      </c>
      <c r="E243" s="250"/>
      <c r="F243" s="250"/>
      <c r="G243" s="250"/>
      <c r="H243" s="250"/>
      <c r="I243" s="250"/>
      <c r="J243" s="250"/>
      <c r="K243" s="250"/>
      <c r="L243" s="192">
        <v>0</v>
      </c>
      <c r="M243" s="192">
        <v>0</v>
      </c>
      <c r="N243" s="144">
        <v>0</v>
      </c>
      <c r="O243" s="144">
        <v>20000</v>
      </c>
      <c r="P243" s="143">
        <v>27000</v>
      </c>
      <c r="Q243" s="143">
        <v>0</v>
      </c>
      <c r="R243" s="143">
        <v>0</v>
      </c>
      <c r="S243" s="143">
        <v>0</v>
      </c>
      <c r="T243" s="143">
        <v>0</v>
      </c>
    </row>
    <row r="244" spans="1:20" ht="24" customHeight="1">
      <c r="A244" s="247" t="s">
        <v>172</v>
      </c>
      <c r="B244" s="250"/>
      <c r="C244" s="250"/>
      <c r="D244" s="247" t="s">
        <v>176</v>
      </c>
      <c r="E244" s="250"/>
      <c r="F244" s="250"/>
      <c r="G244" s="250"/>
      <c r="H244" s="250"/>
      <c r="I244" s="250"/>
      <c r="J244" s="250"/>
      <c r="K244" s="250"/>
      <c r="L244" s="192">
        <v>4815</v>
      </c>
      <c r="M244" s="192">
        <v>9511</v>
      </c>
      <c r="N244" s="144">
        <v>20000</v>
      </c>
      <c r="O244" s="144">
        <v>35000</v>
      </c>
      <c r="P244" s="143">
        <v>25000</v>
      </c>
      <c r="Q244" s="143">
        <v>25000</v>
      </c>
      <c r="R244" s="143">
        <v>25000</v>
      </c>
      <c r="S244" s="143">
        <v>25000</v>
      </c>
      <c r="T244" s="143">
        <v>25000</v>
      </c>
    </row>
    <row r="245" spans="1:20" ht="24" customHeight="1">
      <c r="A245" s="247" t="s">
        <v>235</v>
      </c>
      <c r="B245" s="250"/>
      <c r="C245" s="250"/>
      <c r="D245" s="247" t="s">
        <v>236</v>
      </c>
      <c r="E245" s="250"/>
      <c r="F245" s="250"/>
      <c r="G245" s="250"/>
      <c r="H245" s="250"/>
      <c r="I245" s="250"/>
      <c r="J245" s="250"/>
      <c r="K245" s="250"/>
      <c r="L245" s="193">
        <v>350899</v>
      </c>
      <c r="M245" s="193">
        <v>379663</v>
      </c>
      <c r="N245" s="148">
        <v>390000</v>
      </c>
      <c r="O245" s="148">
        <v>390000</v>
      </c>
      <c r="P245" s="145">
        <v>390000</v>
      </c>
      <c r="Q245" s="145">
        <v>390000</v>
      </c>
      <c r="R245" s="145">
        <v>390000</v>
      </c>
      <c r="S245" s="145">
        <v>390000</v>
      </c>
      <c r="T245" s="145">
        <v>390000</v>
      </c>
    </row>
    <row r="246" spans="1:20" ht="24" customHeight="1">
      <c r="A246" s="247" t="s">
        <v>1131</v>
      </c>
      <c r="B246" s="183"/>
      <c r="C246" s="183"/>
      <c r="D246" s="247" t="s">
        <v>971</v>
      </c>
      <c r="E246" s="183"/>
      <c r="F246" s="183"/>
      <c r="G246" s="183"/>
      <c r="H246" s="183"/>
      <c r="I246" s="183"/>
      <c r="J246" s="183"/>
      <c r="K246" s="183"/>
      <c r="L246" s="196">
        <v>23550</v>
      </c>
      <c r="M246" s="196">
        <v>23550</v>
      </c>
      <c r="N246" s="150">
        <v>25000</v>
      </c>
      <c r="O246" s="150">
        <v>23550</v>
      </c>
      <c r="P246" s="149">
        <v>25000</v>
      </c>
      <c r="Q246" s="149">
        <v>25000</v>
      </c>
      <c r="R246" s="149">
        <v>25000</v>
      </c>
      <c r="S246" s="149">
        <v>25000</v>
      </c>
      <c r="T246" s="149">
        <v>25000</v>
      </c>
    </row>
    <row r="247" spans="1:20" ht="24" customHeight="1">
      <c r="A247" s="247" t="s">
        <v>171</v>
      </c>
      <c r="B247" s="250"/>
      <c r="C247" s="250"/>
      <c r="D247" s="247" t="s">
        <v>175</v>
      </c>
      <c r="E247" s="250"/>
      <c r="F247" s="250"/>
      <c r="G247" s="250"/>
      <c r="H247" s="250"/>
      <c r="I247" s="250"/>
      <c r="J247" s="250"/>
      <c r="K247" s="250"/>
      <c r="L247" s="192">
        <v>92765</v>
      </c>
      <c r="M247" s="192">
        <v>96010</v>
      </c>
      <c r="N247" s="144">
        <v>92000</v>
      </c>
      <c r="O247" s="144">
        <v>96000</v>
      </c>
      <c r="P247" s="143">
        <v>96000</v>
      </c>
      <c r="Q247" s="143">
        <v>96000</v>
      </c>
      <c r="R247" s="143">
        <v>96000</v>
      </c>
      <c r="S247" s="143">
        <v>96000</v>
      </c>
      <c r="T247" s="143">
        <v>96000</v>
      </c>
    </row>
    <row r="248" spans="1:20" ht="24" customHeight="1">
      <c r="A248" s="247" t="s">
        <v>1147</v>
      </c>
      <c r="B248" s="250"/>
      <c r="C248" s="250"/>
      <c r="D248" s="247" t="s">
        <v>1148</v>
      </c>
      <c r="E248" s="250"/>
      <c r="F248" s="250"/>
      <c r="G248" s="250"/>
      <c r="H248" s="250"/>
      <c r="I248" s="250"/>
      <c r="J248" s="250"/>
      <c r="K248" s="250"/>
      <c r="L248" s="192">
        <v>108093</v>
      </c>
      <c r="M248" s="192">
        <v>3349</v>
      </c>
      <c r="N248" s="144">
        <v>0</v>
      </c>
      <c r="O248" s="144">
        <v>0</v>
      </c>
      <c r="P248" s="143">
        <v>0</v>
      </c>
      <c r="Q248" s="143">
        <v>0</v>
      </c>
      <c r="R248" s="143">
        <v>0</v>
      </c>
      <c r="S248" s="143">
        <v>0</v>
      </c>
      <c r="T248" s="143">
        <v>0</v>
      </c>
    </row>
    <row r="249" spans="1:20" ht="24" customHeight="1">
      <c r="A249" s="247" t="s">
        <v>197</v>
      </c>
      <c r="B249" s="250"/>
      <c r="C249" s="250"/>
      <c r="D249" s="247" t="s">
        <v>598</v>
      </c>
      <c r="E249" s="250"/>
      <c r="F249" s="250"/>
      <c r="G249" s="250"/>
      <c r="H249" s="250"/>
      <c r="I249" s="250"/>
      <c r="J249" s="250"/>
      <c r="K249" s="250"/>
      <c r="L249" s="192">
        <v>65166</v>
      </c>
      <c r="M249" s="192">
        <v>71642</v>
      </c>
      <c r="N249" s="144">
        <v>72000</v>
      </c>
      <c r="O249" s="144">
        <v>72000</v>
      </c>
      <c r="P249" s="143">
        <v>72000</v>
      </c>
      <c r="Q249" s="143">
        <v>72000</v>
      </c>
      <c r="R249" s="143">
        <v>72000</v>
      </c>
      <c r="S249" s="143">
        <v>72000</v>
      </c>
      <c r="T249" s="143">
        <v>72000</v>
      </c>
    </row>
    <row r="250" spans="1:20" ht="24" customHeight="1">
      <c r="A250" s="247" t="s">
        <v>1132</v>
      </c>
      <c r="B250" s="183"/>
      <c r="C250" s="183"/>
      <c r="D250" s="247" t="s">
        <v>15</v>
      </c>
      <c r="E250" s="183"/>
      <c r="F250" s="183"/>
      <c r="G250" s="248"/>
      <c r="H250" s="248"/>
      <c r="I250" s="248"/>
      <c r="J250" s="248"/>
      <c r="K250" s="248"/>
      <c r="L250" s="192">
        <v>160359</v>
      </c>
      <c r="M250" s="192">
        <v>145989</v>
      </c>
      <c r="N250" s="144">
        <v>145000</v>
      </c>
      <c r="O250" s="144">
        <v>160225</v>
      </c>
      <c r="P250" s="143">
        <v>146000</v>
      </c>
      <c r="Q250" s="143">
        <v>146000</v>
      </c>
      <c r="R250" s="143">
        <v>146000</v>
      </c>
      <c r="S250" s="143">
        <v>146000</v>
      </c>
      <c r="T250" s="143">
        <v>146000</v>
      </c>
    </row>
    <row r="251" spans="1:20" ht="24" customHeight="1">
      <c r="A251" s="247" t="s">
        <v>170</v>
      </c>
      <c r="B251" s="250"/>
      <c r="C251" s="250"/>
      <c r="D251" s="247" t="s">
        <v>230</v>
      </c>
      <c r="E251" s="250"/>
      <c r="F251" s="250"/>
      <c r="G251" s="250"/>
      <c r="H251" s="250"/>
      <c r="I251" s="250"/>
      <c r="J251" s="250"/>
      <c r="K251" s="250"/>
      <c r="L251" s="190">
        <v>1286</v>
      </c>
      <c r="M251" s="190">
        <v>1233</v>
      </c>
      <c r="N251" s="141">
        <v>1500</v>
      </c>
      <c r="O251" s="141">
        <v>1233</v>
      </c>
      <c r="P251" s="140">
        <v>1500</v>
      </c>
      <c r="Q251" s="140">
        <v>1500</v>
      </c>
      <c r="R251" s="140">
        <v>1500</v>
      </c>
      <c r="S251" s="140">
        <v>1500</v>
      </c>
      <c r="T251" s="140">
        <v>1500</v>
      </c>
    </row>
    <row r="252" spans="1:20" ht="24" customHeight="1">
      <c r="A252" s="247" t="s">
        <v>169</v>
      </c>
      <c r="B252" s="250"/>
      <c r="C252" s="250"/>
      <c r="D252" s="247" t="s">
        <v>174</v>
      </c>
      <c r="E252" s="250"/>
      <c r="F252" s="250"/>
      <c r="G252" s="250"/>
      <c r="H252" s="250"/>
      <c r="I252" s="250"/>
      <c r="J252" s="250"/>
      <c r="K252" s="250"/>
      <c r="L252" s="190">
        <v>879408</v>
      </c>
      <c r="M252" s="190">
        <v>879122</v>
      </c>
      <c r="N252" s="144">
        <v>928303</v>
      </c>
      <c r="O252" s="144">
        <v>895000</v>
      </c>
      <c r="P252" s="143">
        <v>912900</v>
      </c>
      <c r="Q252" s="143">
        <v>931158</v>
      </c>
      <c r="R252" s="143">
        <v>949781</v>
      </c>
      <c r="S252" s="143">
        <v>968777</v>
      </c>
      <c r="T252" s="143">
        <v>988153</v>
      </c>
    </row>
    <row r="253" spans="1:20" ht="24" customHeight="1">
      <c r="A253" s="247" t="s">
        <v>168</v>
      </c>
      <c r="B253" s="250"/>
      <c r="C253" s="250"/>
      <c r="D253" s="247" t="s">
        <v>893</v>
      </c>
      <c r="E253" s="250"/>
      <c r="F253" s="250"/>
      <c r="G253" s="250"/>
      <c r="H253" s="250"/>
      <c r="I253" s="250"/>
      <c r="J253" s="250"/>
      <c r="K253" s="250"/>
      <c r="L253" s="190">
        <v>387157</v>
      </c>
      <c r="M253" s="190">
        <v>401611</v>
      </c>
      <c r="N253" s="141">
        <v>425320</v>
      </c>
      <c r="O253" s="147">
        <v>413700</v>
      </c>
      <c r="P253" s="146">
        <v>421088</v>
      </c>
      <c r="Q253" s="146">
        <v>428623</v>
      </c>
      <c r="R253" s="146">
        <v>436309</v>
      </c>
      <c r="S253" s="146">
        <v>444148</v>
      </c>
      <c r="T253" s="146">
        <v>452145</v>
      </c>
    </row>
    <row r="254" spans="1:20" ht="24" customHeight="1">
      <c r="A254" s="247" t="s">
        <v>167</v>
      </c>
      <c r="B254" s="250"/>
      <c r="C254" s="250"/>
      <c r="D254" s="247" t="s">
        <v>229</v>
      </c>
      <c r="E254" s="250"/>
      <c r="F254" s="250"/>
      <c r="G254" s="250"/>
      <c r="H254" s="250"/>
      <c r="I254" s="250"/>
      <c r="J254" s="250"/>
      <c r="K254" s="250"/>
      <c r="L254" s="192">
        <v>122007</v>
      </c>
      <c r="M254" s="192">
        <v>130766</v>
      </c>
      <c r="N254" s="144">
        <v>120000</v>
      </c>
      <c r="O254" s="144">
        <v>148133</v>
      </c>
      <c r="P254" s="143">
        <v>140000</v>
      </c>
      <c r="Q254" s="143">
        <v>140000</v>
      </c>
      <c r="R254" s="143">
        <v>140000</v>
      </c>
      <c r="S254" s="143">
        <v>0</v>
      </c>
      <c r="T254" s="143">
        <v>0</v>
      </c>
    </row>
    <row r="255" spans="1:20" ht="24" customHeight="1">
      <c r="A255" s="247" t="s">
        <v>179</v>
      </c>
      <c r="B255" s="183"/>
      <c r="C255" s="183"/>
      <c r="D255" s="247" t="s">
        <v>18</v>
      </c>
      <c r="E255" s="183"/>
      <c r="F255" s="183"/>
      <c r="G255" s="183"/>
      <c r="H255" s="183"/>
      <c r="I255" s="183"/>
      <c r="J255" s="183"/>
      <c r="K255" s="183"/>
      <c r="L255" s="192">
        <v>1634</v>
      </c>
      <c r="M255" s="192">
        <v>1004</v>
      </c>
      <c r="N255" s="144">
        <v>2000</v>
      </c>
      <c r="O255" s="144">
        <v>2000</v>
      </c>
      <c r="P255" s="143">
        <v>2000</v>
      </c>
      <c r="Q255" s="143">
        <v>2000</v>
      </c>
      <c r="R255" s="143">
        <v>2000</v>
      </c>
      <c r="S255" s="143">
        <v>2000</v>
      </c>
      <c r="T255" s="143">
        <v>2000</v>
      </c>
    </row>
    <row r="256" spans="1:20" ht="24" customHeight="1">
      <c r="A256" s="247" t="s">
        <v>231</v>
      </c>
      <c r="B256" s="250"/>
      <c r="C256" s="250"/>
      <c r="D256" s="247" t="s">
        <v>232</v>
      </c>
      <c r="E256" s="183"/>
      <c r="F256" s="250"/>
      <c r="G256" s="250"/>
      <c r="H256" s="250"/>
      <c r="I256" s="250"/>
      <c r="J256" s="250"/>
      <c r="K256" s="250"/>
      <c r="L256" s="192">
        <v>11106</v>
      </c>
      <c r="M256" s="192">
        <v>14929</v>
      </c>
      <c r="N256" s="144">
        <v>15000</v>
      </c>
      <c r="O256" s="144">
        <v>15000</v>
      </c>
      <c r="P256" s="143">
        <v>15000</v>
      </c>
      <c r="Q256" s="143">
        <v>15000</v>
      </c>
      <c r="R256" s="143">
        <v>15000</v>
      </c>
      <c r="S256" s="143">
        <v>15000</v>
      </c>
      <c r="T256" s="143">
        <v>15000</v>
      </c>
    </row>
    <row r="257" spans="1:21" ht="24" customHeight="1">
      <c r="A257" s="247" t="s">
        <v>1069</v>
      </c>
      <c r="B257" s="183"/>
      <c r="C257" s="183"/>
      <c r="D257" s="247" t="s">
        <v>1070</v>
      </c>
      <c r="E257" s="183"/>
      <c r="F257" s="183"/>
      <c r="G257" s="183"/>
      <c r="H257" s="183"/>
      <c r="I257" s="183"/>
      <c r="J257" s="183"/>
      <c r="K257" s="183"/>
      <c r="L257" s="194">
        <v>33750</v>
      </c>
      <c r="M257" s="194">
        <v>268</v>
      </c>
      <c r="N257" s="147">
        <v>0</v>
      </c>
      <c r="O257" s="147">
        <v>0</v>
      </c>
      <c r="P257" s="146">
        <v>0</v>
      </c>
      <c r="Q257" s="146">
        <v>0</v>
      </c>
      <c r="R257" s="146">
        <v>0</v>
      </c>
      <c r="S257" s="146">
        <v>0</v>
      </c>
      <c r="T257" s="146">
        <v>0</v>
      </c>
    </row>
    <row r="258" spans="1:21" ht="24" customHeight="1">
      <c r="A258" s="247" t="s">
        <v>1301</v>
      </c>
      <c r="B258" s="183"/>
      <c r="C258" s="183"/>
      <c r="D258" s="247" t="s">
        <v>1066</v>
      </c>
      <c r="E258" s="183"/>
      <c r="F258" s="183"/>
      <c r="G258" s="183"/>
      <c r="H258" s="183"/>
      <c r="I258" s="183"/>
      <c r="J258" s="183"/>
      <c r="K258" s="183"/>
      <c r="L258" s="194">
        <v>71602</v>
      </c>
      <c r="M258" s="194">
        <v>0</v>
      </c>
      <c r="N258" s="147">
        <v>569725</v>
      </c>
      <c r="O258" s="147">
        <v>569725</v>
      </c>
      <c r="P258" s="146">
        <v>0</v>
      </c>
      <c r="Q258" s="146">
        <v>95756</v>
      </c>
      <c r="R258" s="146">
        <v>0</v>
      </c>
      <c r="S258" s="146">
        <v>0</v>
      </c>
      <c r="T258" s="146">
        <v>0</v>
      </c>
    </row>
    <row r="259" spans="1:21" ht="24" customHeight="1">
      <c r="A259" s="247" t="s">
        <v>184</v>
      </c>
      <c r="B259" s="248"/>
      <c r="C259" s="248"/>
      <c r="D259" s="247" t="s">
        <v>198</v>
      </c>
      <c r="E259" s="248"/>
      <c r="F259" s="248"/>
      <c r="G259" s="248"/>
      <c r="H259" s="248"/>
      <c r="I259" s="248"/>
      <c r="J259" s="248"/>
      <c r="K259" s="248"/>
      <c r="L259" s="193">
        <v>266979</v>
      </c>
      <c r="M259" s="193">
        <v>309972</v>
      </c>
      <c r="N259" s="148">
        <v>318725</v>
      </c>
      <c r="O259" s="148">
        <v>314725</v>
      </c>
      <c r="P259" s="145">
        <v>319379</v>
      </c>
      <c r="Q259" s="145">
        <v>318579</v>
      </c>
      <c r="R259" s="145">
        <v>324729</v>
      </c>
      <c r="S259" s="145">
        <v>325429</v>
      </c>
      <c r="T259" s="145">
        <v>0</v>
      </c>
    </row>
    <row r="260" spans="1:21" ht="24" customHeight="1">
      <c r="A260" s="247" t="s">
        <v>185</v>
      </c>
      <c r="B260" s="248"/>
      <c r="C260" s="248"/>
      <c r="D260" s="247" t="s">
        <v>200</v>
      </c>
      <c r="E260" s="248"/>
      <c r="F260" s="248"/>
      <c r="G260" s="248"/>
      <c r="H260" s="248"/>
      <c r="I260" s="248"/>
      <c r="J260" s="248"/>
      <c r="K260" s="248"/>
      <c r="L260" s="194">
        <v>1134052</v>
      </c>
      <c r="M260" s="194">
        <v>1137166</v>
      </c>
      <c r="N260" s="144">
        <v>856583</v>
      </c>
      <c r="O260" s="144">
        <v>856583</v>
      </c>
      <c r="P260" s="143">
        <v>575030</v>
      </c>
      <c r="Q260" s="143">
        <v>586749</v>
      </c>
      <c r="R260" s="143">
        <v>994479</v>
      </c>
      <c r="S260" s="143">
        <v>1135964</v>
      </c>
      <c r="T260" s="143">
        <v>1134606</v>
      </c>
    </row>
    <row r="261" spans="1:21" ht="24" customHeight="1">
      <c r="A261" s="247" t="s">
        <v>186</v>
      </c>
      <c r="B261" s="248"/>
      <c r="C261" s="248"/>
      <c r="D261" s="247" t="s">
        <v>803</v>
      </c>
      <c r="E261" s="248"/>
      <c r="F261" s="248"/>
      <c r="G261" s="248"/>
      <c r="H261" s="248"/>
      <c r="I261" s="248"/>
      <c r="J261" s="248"/>
      <c r="K261" s="248"/>
      <c r="L261" s="192">
        <v>1118638</v>
      </c>
      <c r="M261" s="192">
        <v>1308583</v>
      </c>
      <c r="N261" s="144">
        <v>1274699</v>
      </c>
      <c r="O261" s="144">
        <v>1274699</v>
      </c>
      <c r="P261" s="143">
        <v>1410988</v>
      </c>
      <c r="Q261" s="143">
        <v>1558701</v>
      </c>
      <c r="R261" s="143">
        <v>1622068</v>
      </c>
      <c r="S261" s="143">
        <v>1699258</v>
      </c>
      <c r="T261" s="143">
        <v>1765181</v>
      </c>
    </row>
    <row r="262" spans="1:21" ht="24" customHeight="1">
      <c r="A262" s="247" t="s">
        <v>461</v>
      </c>
      <c r="B262" s="248"/>
      <c r="C262" s="248"/>
      <c r="D262" s="247" t="s">
        <v>462</v>
      </c>
      <c r="E262" s="248"/>
      <c r="F262" s="248"/>
      <c r="G262" s="248"/>
      <c r="H262" s="248"/>
      <c r="I262" s="248"/>
      <c r="J262" s="248"/>
      <c r="K262" s="248"/>
      <c r="L262" s="210">
        <v>24044</v>
      </c>
      <c r="M262" s="210">
        <v>23775</v>
      </c>
      <c r="N262" s="163">
        <v>25179</v>
      </c>
      <c r="O262" s="163">
        <v>23485</v>
      </c>
      <c r="P262" s="162">
        <v>25003</v>
      </c>
      <c r="Q262" s="162">
        <v>26458</v>
      </c>
      <c r="R262" s="162">
        <v>28000</v>
      </c>
      <c r="S262" s="162">
        <v>29635</v>
      </c>
      <c r="T262" s="162">
        <v>31368</v>
      </c>
    </row>
    <row r="263" spans="1:21" ht="24" customHeight="1">
      <c r="A263" s="247"/>
      <c r="B263" s="248"/>
      <c r="C263" s="248"/>
      <c r="D263" s="247"/>
      <c r="E263" s="248"/>
      <c r="F263" s="248"/>
      <c r="G263" s="248"/>
      <c r="H263" s="248"/>
      <c r="I263" s="248"/>
      <c r="J263" s="248"/>
      <c r="K263" s="248"/>
      <c r="L263" s="203">
        <f t="shared" ref="L263:T263" si="8">SUM(L225:L262)</f>
        <v>5763401</v>
      </c>
      <c r="M263" s="203">
        <f t="shared" si="8"/>
        <v>6072995</v>
      </c>
      <c r="N263" s="211">
        <f t="shared" si="8"/>
        <v>6381251</v>
      </c>
      <c r="O263" s="211">
        <f t="shared" si="8"/>
        <v>6406007</v>
      </c>
      <c r="P263" s="212">
        <f t="shared" si="8"/>
        <v>5804950</v>
      </c>
      <c r="Q263" s="212">
        <f t="shared" si="8"/>
        <v>6108815</v>
      </c>
      <c r="R263" s="212">
        <f t="shared" si="8"/>
        <v>6490414</v>
      </c>
      <c r="S263" s="212">
        <f t="shared" si="8"/>
        <v>6622910</v>
      </c>
      <c r="T263" s="212">
        <f t="shared" si="8"/>
        <v>6430688</v>
      </c>
    </row>
    <row r="264" spans="1:21" s="183" customFormat="1" ht="15" customHeight="1">
      <c r="A264" s="247"/>
      <c r="B264" s="248"/>
      <c r="C264" s="248"/>
      <c r="D264" s="247"/>
      <c r="E264" s="248"/>
      <c r="F264" s="248"/>
      <c r="G264" s="248"/>
      <c r="H264" s="248"/>
      <c r="I264" s="248"/>
      <c r="J264" s="248"/>
      <c r="K264" s="248"/>
      <c r="L264" s="193"/>
      <c r="M264" s="193"/>
      <c r="N264" s="195"/>
      <c r="O264" s="195"/>
      <c r="P264" s="193"/>
      <c r="Q264" s="193"/>
      <c r="R264" s="193"/>
      <c r="S264" s="193"/>
      <c r="T264" s="193"/>
      <c r="U264" s="64"/>
    </row>
    <row r="265" spans="1:21" s="251" customFormat="1" ht="24" customHeight="1">
      <c r="K265" s="251" t="s">
        <v>457</v>
      </c>
      <c r="L265" s="201">
        <f t="shared" ref="L265:T265" si="9">L87+L108+L151+L177+L263+L222</f>
        <v>14488405</v>
      </c>
      <c r="M265" s="201">
        <f t="shared" si="9"/>
        <v>15219914</v>
      </c>
      <c r="N265" s="202">
        <f t="shared" si="9"/>
        <v>16395796</v>
      </c>
      <c r="O265" s="202">
        <f t="shared" si="9"/>
        <v>16281105</v>
      </c>
      <c r="P265" s="201">
        <f t="shared" si="9"/>
        <v>16469238</v>
      </c>
      <c r="Q265" s="201">
        <f t="shared" si="9"/>
        <v>17304612</v>
      </c>
      <c r="R265" s="201">
        <f t="shared" si="9"/>
        <v>18058403</v>
      </c>
      <c r="S265" s="201">
        <f t="shared" si="9"/>
        <v>18712351</v>
      </c>
      <c r="T265" s="201">
        <f t="shared" si="9"/>
        <v>19073738</v>
      </c>
      <c r="U265" s="64"/>
    </row>
    <row r="266" spans="1:21" s="251" customFormat="1" ht="15" customHeight="1">
      <c r="A266" s="254"/>
      <c r="L266" s="201"/>
      <c r="M266" s="201"/>
      <c r="N266" s="202"/>
      <c r="O266" s="202"/>
      <c r="P266" s="201"/>
      <c r="Q266" s="201"/>
      <c r="R266" s="201"/>
      <c r="S266" s="201"/>
      <c r="T266" s="201"/>
      <c r="U266" s="64"/>
    </row>
    <row r="267" spans="1:21" s="251" customFormat="1" ht="24" customHeight="1">
      <c r="A267" s="255"/>
      <c r="K267" s="251" t="s">
        <v>458</v>
      </c>
      <c r="L267" s="201">
        <f t="shared" ref="L267:T267" si="10">L56-L265</f>
        <v>522383</v>
      </c>
      <c r="M267" s="201">
        <f t="shared" si="10"/>
        <v>282289</v>
      </c>
      <c r="N267" s="202">
        <f t="shared" si="10"/>
        <v>-752834</v>
      </c>
      <c r="O267" s="204">
        <f t="shared" si="10"/>
        <v>199</v>
      </c>
      <c r="P267" s="272">
        <f t="shared" si="10"/>
        <v>0</v>
      </c>
      <c r="Q267" s="272">
        <f t="shared" si="10"/>
        <v>-575977</v>
      </c>
      <c r="R267" s="272">
        <f t="shared" si="10"/>
        <v>-1043229</v>
      </c>
      <c r="S267" s="272">
        <f t="shared" si="10"/>
        <v>-1545123</v>
      </c>
      <c r="T267" s="272">
        <f t="shared" si="10"/>
        <v>-1611461</v>
      </c>
      <c r="U267" s="64"/>
    </row>
    <row r="268" spans="1:21" s="251" customFormat="1" ht="15" customHeight="1">
      <c r="A268" s="255"/>
      <c r="L268" s="201"/>
      <c r="M268" s="201"/>
      <c r="N268" s="202"/>
      <c r="O268" s="204"/>
      <c r="P268" s="272"/>
      <c r="Q268" s="272"/>
      <c r="R268" s="272"/>
      <c r="S268" s="272"/>
      <c r="T268" s="272"/>
      <c r="U268" s="64"/>
    </row>
    <row r="269" spans="1:21" s="256" customFormat="1" ht="24" customHeight="1">
      <c r="K269" s="256" t="s">
        <v>460</v>
      </c>
      <c r="L269" s="218">
        <v>6214089</v>
      </c>
      <c r="M269" s="218">
        <v>6496373</v>
      </c>
      <c r="N269" s="219">
        <v>5468778</v>
      </c>
      <c r="O269" s="206">
        <f>M269+O267</f>
        <v>6496572</v>
      </c>
      <c r="P269" s="215">
        <f>O269+P267</f>
        <v>6496572</v>
      </c>
      <c r="Q269" s="215">
        <f>P269+Q267</f>
        <v>5920595</v>
      </c>
      <c r="R269" s="215">
        <f>Q269+R267</f>
        <v>4877366</v>
      </c>
      <c r="S269" s="215">
        <f>R269+S267</f>
        <v>3332243</v>
      </c>
      <c r="T269" s="215">
        <f>S269+T267</f>
        <v>1720782</v>
      </c>
      <c r="U269" s="288"/>
    </row>
    <row r="270" spans="1:21" s="257" customFormat="1" ht="24" customHeight="1">
      <c r="L270" s="220">
        <f t="shared" ref="L270:T270" si="11">L269/L265</f>
        <v>0.42890083483999791</v>
      </c>
      <c r="M270" s="220">
        <f t="shared" si="11"/>
        <v>0.4268337521486652</v>
      </c>
      <c r="N270" s="221">
        <f t="shared" si="11"/>
        <v>0.33354757524428824</v>
      </c>
      <c r="O270" s="405">
        <f t="shared" si="11"/>
        <v>0.39902525043601156</v>
      </c>
      <c r="P270" s="404">
        <f t="shared" si="11"/>
        <v>0.39446706641800916</v>
      </c>
      <c r="Q270" s="404">
        <f t="shared" si="11"/>
        <v>0.34213971396758275</v>
      </c>
      <c r="R270" s="404">
        <f t="shared" si="11"/>
        <v>0.27008844580553443</v>
      </c>
      <c r="S270" s="404">
        <f t="shared" si="11"/>
        <v>0.17807719617914392</v>
      </c>
      <c r="T270" s="404">
        <f t="shared" si="11"/>
        <v>9.0217344916869474E-2</v>
      </c>
      <c r="U270" s="386"/>
    </row>
    <row r="271" spans="1:21" s="257" customFormat="1" ht="15" customHeight="1">
      <c r="A271" s="183"/>
      <c r="B271" s="183"/>
      <c r="C271" s="183"/>
      <c r="D271" s="183"/>
      <c r="E271" s="183"/>
      <c r="F271" s="183"/>
      <c r="G271" s="183"/>
      <c r="H271" s="183"/>
      <c r="I271" s="183"/>
      <c r="J271" s="183"/>
      <c r="K271" s="256"/>
      <c r="L271" s="303"/>
      <c r="M271" s="303"/>
      <c r="N271" s="308"/>
      <c r="O271" s="308"/>
      <c r="P271" s="309"/>
      <c r="Q271" s="309"/>
      <c r="R271" s="309"/>
      <c r="S271" s="309"/>
      <c r="T271" s="309"/>
      <c r="U271" s="352"/>
    </row>
    <row r="272" spans="1:21" s="156" customFormat="1" ht="15" customHeight="1">
      <c r="A272" s="279"/>
      <c r="B272" s="279"/>
      <c r="C272" s="279"/>
      <c r="D272" s="279"/>
      <c r="E272" s="279"/>
      <c r="F272" s="279"/>
      <c r="G272" s="279"/>
      <c r="H272" s="279"/>
      <c r="I272" s="279"/>
      <c r="J272" s="279"/>
      <c r="K272" s="279"/>
      <c r="L272" s="348"/>
      <c r="M272" s="348"/>
      <c r="N272" s="358"/>
      <c r="O272" s="358"/>
      <c r="P272" s="349"/>
      <c r="Q272" s="349"/>
      <c r="R272" s="349"/>
      <c r="S272" s="349"/>
      <c r="T272" s="349"/>
      <c r="U272" s="352"/>
    </row>
    <row r="273" spans="1:21" s="156" customFormat="1" ht="24" customHeight="1">
      <c r="A273" s="258" t="s">
        <v>467</v>
      </c>
      <c r="B273" s="251"/>
      <c r="C273" s="251"/>
      <c r="D273" s="251"/>
      <c r="E273" s="251"/>
      <c r="F273" s="251"/>
      <c r="G273" s="251"/>
      <c r="H273" s="251"/>
      <c r="I273" s="251"/>
      <c r="J273" s="251"/>
      <c r="K273" s="251"/>
      <c r="L273" s="290"/>
      <c r="M273" s="290"/>
      <c r="N273" s="304"/>
      <c r="O273" s="304"/>
      <c r="P273" s="305"/>
      <c r="Q273" s="305"/>
      <c r="R273" s="305"/>
      <c r="S273" s="305"/>
      <c r="T273" s="305"/>
      <c r="U273" s="352"/>
    </row>
    <row r="274" spans="1:21" s="156" customFormat="1" ht="15" customHeight="1">
      <c r="A274" s="251"/>
      <c r="B274" s="251"/>
      <c r="C274" s="251"/>
      <c r="D274" s="251"/>
      <c r="E274" s="251"/>
      <c r="F274" s="251"/>
      <c r="G274" s="251"/>
      <c r="H274" s="251"/>
      <c r="I274" s="251"/>
      <c r="J274" s="251"/>
      <c r="K274" s="251"/>
      <c r="L274" s="290"/>
      <c r="M274" s="290"/>
      <c r="N274" s="304"/>
      <c r="O274" s="304"/>
      <c r="P274" s="305"/>
      <c r="Q274" s="305"/>
      <c r="R274" s="305"/>
      <c r="S274" s="305"/>
      <c r="T274" s="305"/>
      <c r="U274" s="352"/>
    </row>
    <row r="275" spans="1:21" s="156" customFormat="1" ht="24" customHeight="1">
      <c r="A275" s="183" t="s">
        <v>946</v>
      </c>
      <c r="B275" s="183"/>
      <c r="C275" s="183"/>
      <c r="D275" s="183" t="s">
        <v>947</v>
      </c>
      <c r="E275" s="183"/>
      <c r="F275" s="183"/>
      <c r="G275" s="183"/>
      <c r="H275" s="183"/>
      <c r="I275" s="183"/>
      <c r="J275" s="183"/>
      <c r="K275" s="183"/>
      <c r="L275" s="192">
        <v>7263</v>
      </c>
      <c r="M275" s="192">
        <v>9366</v>
      </c>
      <c r="N275" s="144">
        <v>13381</v>
      </c>
      <c r="O275" s="144">
        <v>13381</v>
      </c>
      <c r="P275" s="143">
        <v>13381</v>
      </c>
      <c r="Q275" s="143">
        <v>13381</v>
      </c>
      <c r="R275" s="143">
        <v>13381</v>
      </c>
      <c r="S275" s="143">
        <v>13381</v>
      </c>
      <c r="T275" s="143">
        <v>13381</v>
      </c>
      <c r="U275" s="352"/>
    </row>
    <row r="276" spans="1:21" s="156" customFormat="1" ht="24" customHeight="1">
      <c r="A276" s="183" t="s">
        <v>1201</v>
      </c>
      <c r="B276" s="183"/>
      <c r="C276" s="183"/>
      <c r="D276" s="183" t="s">
        <v>930</v>
      </c>
      <c r="E276" s="183"/>
      <c r="F276" s="183"/>
      <c r="G276" s="183"/>
      <c r="H276" s="183"/>
      <c r="I276" s="183"/>
      <c r="J276" s="183"/>
      <c r="K276" s="183"/>
      <c r="L276" s="198">
        <v>22000</v>
      </c>
      <c r="M276" s="198">
        <v>0</v>
      </c>
      <c r="N276" s="153">
        <v>0</v>
      </c>
      <c r="O276" s="153">
        <v>0</v>
      </c>
      <c r="P276" s="152">
        <v>0</v>
      </c>
      <c r="Q276" s="152">
        <v>0</v>
      </c>
      <c r="R276" s="152">
        <v>0</v>
      </c>
      <c r="S276" s="152">
        <v>0</v>
      </c>
      <c r="T276" s="152">
        <v>0</v>
      </c>
      <c r="U276" s="352"/>
    </row>
    <row r="277" spans="1:21" s="156" customFormat="1" ht="15" customHeight="1">
      <c r="A277" s="183"/>
      <c r="B277" s="183"/>
      <c r="C277" s="183"/>
      <c r="D277" s="183"/>
      <c r="E277" s="183"/>
      <c r="F277" s="183"/>
      <c r="G277" s="183"/>
      <c r="H277" s="183"/>
      <c r="I277" s="183"/>
      <c r="J277" s="183"/>
      <c r="K277" s="183"/>
      <c r="L277" s="193"/>
      <c r="M277" s="193"/>
      <c r="N277" s="148"/>
      <c r="O277" s="148"/>
      <c r="P277" s="145"/>
      <c r="Q277" s="145"/>
      <c r="R277" s="145"/>
      <c r="S277" s="145"/>
      <c r="T277" s="145"/>
      <c r="U277" s="352"/>
    </row>
    <row r="278" spans="1:21" s="251" customFormat="1" ht="24" customHeight="1">
      <c r="K278" s="251" t="s">
        <v>454</v>
      </c>
      <c r="L278" s="201">
        <f t="shared" ref="L278:T278" si="12">SUM(L275:L277)</f>
        <v>29263</v>
      </c>
      <c r="M278" s="201">
        <f t="shared" si="12"/>
        <v>9366</v>
      </c>
      <c r="N278" s="202">
        <f t="shared" si="12"/>
        <v>13381</v>
      </c>
      <c r="O278" s="202">
        <f t="shared" si="12"/>
        <v>13381</v>
      </c>
      <c r="P278" s="201">
        <f t="shared" si="12"/>
        <v>13381</v>
      </c>
      <c r="Q278" s="201">
        <f t="shared" si="12"/>
        <v>13381</v>
      </c>
      <c r="R278" s="201">
        <f t="shared" si="12"/>
        <v>13381</v>
      </c>
      <c r="S278" s="201">
        <f t="shared" si="12"/>
        <v>13381</v>
      </c>
      <c r="T278" s="201">
        <f t="shared" si="12"/>
        <v>13381</v>
      </c>
      <c r="U278" s="64"/>
    </row>
    <row r="279" spans="1:21" s="156" customFormat="1" ht="15" customHeight="1">
      <c r="A279" s="251"/>
      <c r="B279" s="251"/>
      <c r="C279" s="251"/>
      <c r="D279" s="251"/>
      <c r="E279" s="251"/>
      <c r="F279" s="251"/>
      <c r="G279" s="251"/>
      <c r="H279" s="251"/>
      <c r="I279" s="251"/>
      <c r="J279" s="251"/>
      <c r="K279" s="251"/>
      <c r="L279" s="217"/>
      <c r="M279" s="217"/>
      <c r="N279" s="158"/>
      <c r="O279" s="158"/>
      <c r="P279" s="157"/>
      <c r="Q279" s="157"/>
      <c r="R279" s="157"/>
      <c r="S279" s="157"/>
      <c r="T279" s="157"/>
      <c r="U279" s="352"/>
    </row>
    <row r="280" spans="1:21" s="156" customFormat="1" ht="24" customHeight="1">
      <c r="A280" s="247" t="s">
        <v>1165</v>
      </c>
      <c r="B280" s="259"/>
      <c r="C280" s="259"/>
      <c r="D280" s="247" t="s">
        <v>10</v>
      </c>
      <c r="E280" s="259"/>
      <c r="F280" s="259"/>
      <c r="G280" s="259"/>
      <c r="H280" s="259"/>
      <c r="I280" s="259"/>
      <c r="J280" s="259"/>
      <c r="K280" s="259"/>
      <c r="L280" s="209">
        <v>0</v>
      </c>
      <c r="M280" s="209">
        <v>2138</v>
      </c>
      <c r="N280" s="172">
        <v>2835</v>
      </c>
      <c r="O280" s="172">
        <v>2835</v>
      </c>
      <c r="P280" s="166">
        <v>2977</v>
      </c>
      <c r="Q280" s="166">
        <v>3126</v>
      </c>
      <c r="R280" s="166">
        <v>3282</v>
      </c>
      <c r="S280" s="166">
        <v>3446</v>
      </c>
      <c r="T280" s="166">
        <v>3618</v>
      </c>
      <c r="U280" s="352"/>
    </row>
    <row r="281" spans="1:21" s="156" customFormat="1" ht="24" customHeight="1">
      <c r="A281" s="247" t="s">
        <v>239</v>
      </c>
      <c r="B281" s="248"/>
      <c r="C281" s="248"/>
      <c r="D281" s="247" t="s">
        <v>914</v>
      </c>
      <c r="E281" s="248"/>
      <c r="F281" s="248"/>
      <c r="G281" s="248"/>
      <c r="H281" s="248"/>
      <c r="I281" s="248"/>
      <c r="J281" s="248"/>
      <c r="K281" s="248"/>
      <c r="L281" s="222">
        <v>10741</v>
      </c>
      <c r="M281" s="222">
        <v>15414</v>
      </c>
      <c r="N281" s="175">
        <v>6000</v>
      </c>
      <c r="O281" s="175">
        <v>6000</v>
      </c>
      <c r="P281" s="376">
        <v>28000</v>
      </c>
      <c r="Q281" s="376">
        <v>7200</v>
      </c>
      <c r="R281" s="376">
        <v>7200</v>
      </c>
      <c r="S281" s="376">
        <v>7200</v>
      </c>
      <c r="T281" s="376">
        <v>8640</v>
      </c>
      <c r="U281" s="352"/>
    </row>
    <row r="282" spans="1:21" s="156" customFormat="1" ht="15" customHeight="1">
      <c r="A282" s="247"/>
      <c r="B282" s="248"/>
      <c r="C282" s="248"/>
      <c r="D282" s="247"/>
      <c r="E282" s="248"/>
      <c r="F282" s="248"/>
      <c r="G282" s="248"/>
      <c r="H282" s="248"/>
      <c r="I282" s="248"/>
      <c r="J282" s="248"/>
      <c r="K282" s="248"/>
      <c r="L282" s="209"/>
      <c r="M282" s="209"/>
      <c r="N282" s="172"/>
      <c r="O282" s="172"/>
      <c r="P282" s="166"/>
      <c r="Q282" s="166"/>
      <c r="R282" s="166"/>
      <c r="S282" s="166"/>
      <c r="T282" s="166"/>
      <c r="U282" s="352"/>
    </row>
    <row r="283" spans="1:21" s="251" customFormat="1" ht="24" customHeight="1">
      <c r="A283" s="247"/>
      <c r="B283" s="248"/>
      <c r="C283" s="248"/>
      <c r="D283" s="247"/>
      <c r="E283" s="248"/>
      <c r="F283" s="248"/>
      <c r="G283" s="248"/>
      <c r="H283" s="248"/>
      <c r="I283" s="248"/>
      <c r="J283" s="248"/>
      <c r="K283" s="251" t="s">
        <v>457</v>
      </c>
      <c r="L283" s="201">
        <f t="shared" ref="L283:T283" si="13">SUM(L280:L282)</f>
        <v>10741</v>
      </c>
      <c r="M283" s="201">
        <f t="shared" si="13"/>
        <v>17552</v>
      </c>
      <c r="N283" s="202">
        <f t="shared" si="13"/>
        <v>8835</v>
      </c>
      <c r="O283" s="202">
        <f t="shared" si="13"/>
        <v>8835</v>
      </c>
      <c r="P283" s="201">
        <f t="shared" si="13"/>
        <v>30977</v>
      </c>
      <c r="Q283" s="201">
        <f t="shared" si="13"/>
        <v>10326</v>
      </c>
      <c r="R283" s="201">
        <f t="shared" si="13"/>
        <v>10482</v>
      </c>
      <c r="S283" s="201">
        <f t="shared" si="13"/>
        <v>10646</v>
      </c>
      <c r="T283" s="201">
        <f t="shared" si="13"/>
        <v>12258</v>
      </c>
      <c r="U283" s="388"/>
    </row>
    <row r="284" spans="1:21" s="251" customFormat="1" ht="15" customHeight="1">
      <c r="L284" s="201"/>
      <c r="M284" s="201"/>
      <c r="N284" s="202"/>
      <c r="O284" s="202"/>
      <c r="P284" s="201"/>
      <c r="Q284" s="201"/>
      <c r="R284" s="201"/>
      <c r="S284" s="201"/>
      <c r="T284" s="201"/>
      <c r="U284" s="64"/>
    </row>
    <row r="285" spans="1:21" s="251" customFormat="1" ht="24" customHeight="1">
      <c r="K285" s="251" t="s">
        <v>458</v>
      </c>
      <c r="L285" s="201">
        <f t="shared" ref="L285:T285" si="14">L278-L283</f>
        <v>18522</v>
      </c>
      <c r="M285" s="201">
        <f t="shared" si="14"/>
        <v>-8186</v>
      </c>
      <c r="N285" s="202">
        <f t="shared" si="14"/>
        <v>4546</v>
      </c>
      <c r="O285" s="202">
        <f t="shared" si="14"/>
        <v>4546</v>
      </c>
      <c r="P285" s="201">
        <f t="shared" si="14"/>
        <v>-17596</v>
      </c>
      <c r="Q285" s="201">
        <f t="shared" si="14"/>
        <v>3055</v>
      </c>
      <c r="R285" s="201">
        <f t="shared" si="14"/>
        <v>2899</v>
      </c>
      <c r="S285" s="201">
        <f t="shared" si="14"/>
        <v>2735</v>
      </c>
      <c r="T285" s="201">
        <f t="shared" si="14"/>
        <v>1123</v>
      </c>
      <c r="U285" s="64"/>
    </row>
    <row r="286" spans="1:21" s="251" customFormat="1" ht="15" customHeight="1">
      <c r="L286" s="201"/>
      <c r="M286" s="201"/>
      <c r="N286" s="202"/>
      <c r="O286" s="202"/>
      <c r="P286" s="201"/>
      <c r="Q286" s="201"/>
      <c r="R286" s="201"/>
      <c r="S286" s="201"/>
      <c r="T286" s="201"/>
      <c r="U286" s="64"/>
    </row>
    <row r="287" spans="1:21" s="251" customFormat="1" ht="24" customHeight="1">
      <c r="K287" s="256" t="s">
        <v>460</v>
      </c>
      <c r="L287" s="218">
        <v>14742</v>
      </c>
      <c r="M287" s="218">
        <v>6556</v>
      </c>
      <c r="N287" s="219">
        <v>9954</v>
      </c>
      <c r="O287" s="219">
        <f>M287+O285</f>
        <v>11102</v>
      </c>
      <c r="P287" s="218">
        <f>O287+P285</f>
        <v>-6494</v>
      </c>
      <c r="Q287" s="218">
        <f>P287+Q285</f>
        <v>-3439</v>
      </c>
      <c r="R287" s="218">
        <f>Q287+R285</f>
        <v>-540</v>
      </c>
      <c r="S287" s="218">
        <f>R287+S285</f>
        <v>2195</v>
      </c>
      <c r="T287" s="218">
        <f>S287+T285</f>
        <v>3318</v>
      </c>
      <c r="U287" s="64"/>
    </row>
    <row r="288" spans="1:21" s="257" customFormat="1" ht="24" customHeight="1">
      <c r="L288" s="220">
        <f t="shared" ref="L288:T288" si="15">L287/L283</f>
        <v>1.3724979052229773</v>
      </c>
      <c r="M288" s="220">
        <f t="shared" si="15"/>
        <v>0.37351868732907928</v>
      </c>
      <c r="N288" s="221">
        <f t="shared" si="15"/>
        <v>1.1266553480475383</v>
      </c>
      <c r="O288" s="221">
        <f t="shared" si="15"/>
        <v>1.2565930956423317</v>
      </c>
      <c r="P288" s="220">
        <f t="shared" si="15"/>
        <v>-0.20963940988475321</v>
      </c>
      <c r="Q288" s="220">
        <f t="shared" si="15"/>
        <v>-0.33304280457098584</v>
      </c>
      <c r="R288" s="220">
        <f t="shared" si="15"/>
        <v>-5.1516886090440757E-2</v>
      </c>
      <c r="S288" s="220">
        <f t="shared" si="15"/>
        <v>0.20618072515498778</v>
      </c>
      <c r="T288" s="220">
        <f t="shared" si="15"/>
        <v>0.27068037200195788</v>
      </c>
      <c r="U288" s="386"/>
    </row>
    <row r="289" spans="1:21" ht="15" customHeight="1">
      <c r="A289" s="183"/>
      <c r="B289" s="183"/>
      <c r="C289" s="183"/>
      <c r="D289" s="183"/>
      <c r="E289" s="183"/>
      <c r="F289" s="183"/>
      <c r="G289" s="183"/>
      <c r="H289" s="183"/>
      <c r="I289" s="183"/>
      <c r="J289" s="183"/>
      <c r="K289" s="183"/>
      <c r="L289" s="245"/>
      <c r="M289" s="245"/>
      <c r="N289" s="300"/>
      <c r="O289" s="300"/>
      <c r="P289" s="301"/>
      <c r="Q289" s="301"/>
      <c r="R289" s="301"/>
      <c r="S289" s="301"/>
      <c r="T289" s="301"/>
    </row>
    <row r="290" spans="1:21" ht="15" customHeight="1">
      <c r="A290" s="414"/>
      <c r="B290" s="414"/>
      <c r="C290" s="414"/>
      <c r="D290" s="414"/>
      <c r="E290" s="414"/>
      <c r="F290" s="414"/>
      <c r="G290" s="414"/>
      <c r="H290" s="414"/>
      <c r="I290" s="414"/>
      <c r="J290" s="414"/>
      <c r="K290" s="414"/>
      <c r="L290" s="245"/>
      <c r="M290" s="245"/>
      <c r="N290" s="300"/>
      <c r="O290" s="300"/>
      <c r="P290" s="301"/>
      <c r="Q290" s="301"/>
      <c r="R290" s="301"/>
      <c r="S290" s="301"/>
      <c r="T290" s="301"/>
    </row>
    <row r="291" spans="1:21" ht="24" customHeight="1">
      <c r="A291" s="258" t="s">
        <v>468</v>
      </c>
      <c r="B291" s="183"/>
      <c r="C291" s="183"/>
      <c r="D291" s="183"/>
      <c r="E291" s="183"/>
      <c r="F291" s="183"/>
      <c r="G291" s="183"/>
      <c r="H291" s="183"/>
      <c r="I291" s="183"/>
      <c r="J291" s="183"/>
      <c r="K291" s="183"/>
      <c r="L291" s="245"/>
      <c r="M291" s="245"/>
      <c r="N291" s="300"/>
      <c r="O291" s="300"/>
      <c r="P291" s="301"/>
      <c r="Q291" s="301"/>
      <c r="R291" s="301"/>
      <c r="S291" s="301"/>
      <c r="T291" s="301"/>
    </row>
    <row r="292" spans="1:21" ht="15" customHeight="1">
      <c r="A292" s="183"/>
      <c r="B292" s="183"/>
      <c r="C292" s="183"/>
      <c r="D292" s="183"/>
      <c r="E292" s="183"/>
      <c r="F292" s="183"/>
      <c r="G292" s="183"/>
      <c r="H292" s="183"/>
      <c r="I292" s="183"/>
      <c r="J292" s="183"/>
      <c r="K292" s="183"/>
      <c r="L292" s="245"/>
      <c r="M292" s="245"/>
      <c r="N292" s="300"/>
      <c r="O292" s="300"/>
      <c r="P292" s="301"/>
      <c r="Q292" s="301"/>
      <c r="R292" s="301"/>
      <c r="S292" s="301"/>
      <c r="T292" s="301"/>
    </row>
    <row r="293" spans="1:21" ht="24" customHeight="1">
      <c r="A293" s="183" t="s">
        <v>944</v>
      </c>
      <c r="B293" s="183"/>
      <c r="C293" s="183"/>
      <c r="D293" s="183" t="s">
        <v>945</v>
      </c>
      <c r="E293" s="183"/>
      <c r="F293" s="183"/>
      <c r="G293" s="183"/>
      <c r="H293" s="183"/>
      <c r="I293" s="183"/>
      <c r="J293" s="183"/>
      <c r="K293" s="183"/>
      <c r="L293" s="198">
        <v>20456</v>
      </c>
      <c r="M293" s="198">
        <v>13480</v>
      </c>
      <c r="N293" s="175">
        <v>15637</v>
      </c>
      <c r="O293" s="175">
        <v>15639</v>
      </c>
      <c r="P293" s="376">
        <v>18140</v>
      </c>
      <c r="Q293" s="376">
        <v>21304</v>
      </c>
      <c r="R293" s="376">
        <v>21304</v>
      </c>
      <c r="S293" s="376">
        <v>21304</v>
      </c>
      <c r="T293" s="376">
        <v>21304</v>
      </c>
    </row>
    <row r="294" spans="1:21" ht="15" customHeight="1">
      <c r="A294" s="183"/>
      <c r="B294" s="183"/>
      <c r="C294" s="183"/>
      <c r="D294" s="183"/>
      <c r="E294" s="183"/>
      <c r="F294" s="183"/>
      <c r="G294" s="183"/>
      <c r="H294" s="183"/>
      <c r="I294" s="183"/>
      <c r="J294" s="183"/>
      <c r="K294" s="183"/>
      <c r="L294" s="193"/>
      <c r="M294" s="193"/>
      <c r="N294" s="148"/>
      <c r="O294" s="148"/>
      <c r="P294" s="145"/>
      <c r="Q294" s="145"/>
      <c r="R294" s="145"/>
      <c r="S294" s="145"/>
      <c r="T294" s="145"/>
    </row>
    <row r="295" spans="1:21" s="183" customFormat="1" ht="24" customHeight="1">
      <c r="K295" s="251" t="s">
        <v>454</v>
      </c>
      <c r="L295" s="201">
        <f t="shared" ref="L295:T295" si="16">SUM(L293:L294)</f>
        <v>20456</v>
      </c>
      <c r="M295" s="201">
        <f t="shared" si="16"/>
        <v>13480</v>
      </c>
      <c r="N295" s="202">
        <f t="shared" si="16"/>
        <v>15637</v>
      </c>
      <c r="O295" s="202">
        <f t="shared" si="16"/>
        <v>15639</v>
      </c>
      <c r="P295" s="201">
        <f t="shared" si="16"/>
        <v>18140</v>
      </c>
      <c r="Q295" s="201">
        <f t="shared" si="16"/>
        <v>21304</v>
      </c>
      <c r="R295" s="201">
        <f t="shared" si="16"/>
        <v>21304</v>
      </c>
      <c r="S295" s="201">
        <f t="shared" si="16"/>
        <v>21304</v>
      </c>
      <c r="T295" s="201">
        <f t="shared" si="16"/>
        <v>21304</v>
      </c>
      <c r="U295" s="64"/>
    </row>
    <row r="296" spans="1:21" ht="15" customHeight="1">
      <c r="A296" s="183"/>
      <c r="B296" s="183"/>
      <c r="C296" s="183"/>
      <c r="D296" s="183"/>
      <c r="E296" s="183"/>
      <c r="F296" s="183"/>
      <c r="G296" s="183"/>
      <c r="H296" s="183"/>
      <c r="I296" s="183"/>
      <c r="J296" s="183"/>
      <c r="K296" s="251"/>
      <c r="L296" s="201"/>
      <c r="M296" s="201"/>
      <c r="N296" s="158"/>
      <c r="O296" s="158"/>
      <c r="P296" s="157"/>
      <c r="Q296" s="157"/>
      <c r="R296" s="157"/>
      <c r="S296" s="157"/>
      <c r="T296" s="157"/>
    </row>
    <row r="297" spans="1:21" ht="24" customHeight="1">
      <c r="A297" s="247" t="s">
        <v>862</v>
      </c>
      <c r="B297" s="259"/>
      <c r="C297" s="259"/>
      <c r="D297" s="249" t="s">
        <v>863</v>
      </c>
      <c r="E297" s="259"/>
      <c r="F297" s="259"/>
      <c r="G297" s="259"/>
      <c r="H297" s="259"/>
      <c r="I297" s="259"/>
      <c r="J297" s="259"/>
      <c r="K297" s="259"/>
      <c r="L297" s="209">
        <v>2512</v>
      </c>
      <c r="M297" s="209">
        <v>5095</v>
      </c>
      <c r="N297" s="172">
        <v>5000</v>
      </c>
      <c r="O297" s="172">
        <v>5000</v>
      </c>
      <c r="P297" s="166">
        <v>5000</v>
      </c>
      <c r="Q297" s="166">
        <v>5000</v>
      </c>
      <c r="R297" s="166">
        <v>5000</v>
      </c>
      <c r="S297" s="166">
        <v>5000</v>
      </c>
      <c r="T297" s="166">
        <v>5000</v>
      </c>
    </row>
    <row r="298" spans="1:21" ht="24" customHeight="1">
      <c r="A298" s="247" t="s">
        <v>1166</v>
      </c>
      <c r="B298" s="259"/>
      <c r="C298" s="259"/>
      <c r="D298" s="247" t="s">
        <v>10</v>
      </c>
      <c r="E298" s="259"/>
      <c r="F298" s="259"/>
      <c r="G298" s="259"/>
      <c r="H298" s="259"/>
      <c r="I298" s="259"/>
      <c r="J298" s="259"/>
      <c r="K298" s="259"/>
      <c r="L298" s="209">
        <v>0</v>
      </c>
      <c r="M298" s="209">
        <v>2138</v>
      </c>
      <c r="N298" s="172">
        <v>2835</v>
      </c>
      <c r="O298" s="172">
        <f>ROUND(5670/2,0)</f>
        <v>2835</v>
      </c>
      <c r="P298" s="166">
        <v>2977</v>
      </c>
      <c r="Q298" s="166">
        <v>3126</v>
      </c>
      <c r="R298" s="166">
        <v>3282</v>
      </c>
      <c r="S298" s="166">
        <v>3446</v>
      </c>
      <c r="T298" s="166">
        <v>3618</v>
      </c>
    </row>
    <row r="299" spans="1:21" ht="24" customHeight="1">
      <c r="A299" s="247" t="s">
        <v>238</v>
      </c>
      <c r="B299" s="248"/>
      <c r="C299" s="248"/>
      <c r="D299" s="247" t="s">
        <v>914</v>
      </c>
      <c r="E299" s="248"/>
      <c r="F299" s="248"/>
      <c r="G299" s="248"/>
      <c r="H299" s="248"/>
      <c r="I299" s="248"/>
      <c r="J299" s="248"/>
      <c r="K299" s="248"/>
      <c r="L299" s="222">
        <v>2545</v>
      </c>
      <c r="M299" s="222">
        <v>11724</v>
      </c>
      <c r="N299" s="175">
        <v>11000</v>
      </c>
      <c r="O299" s="175">
        <f>ROUND(5000*1.2,0)+5000</f>
        <v>11000</v>
      </c>
      <c r="P299" s="376">
        <v>6000</v>
      </c>
      <c r="Q299" s="376">
        <v>7200</v>
      </c>
      <c r="R299" s="376">
        <v>7200</v>
      </c>
      <c r="S299" s="376">
        <v>7200</v>
      </c>
      <c r="T299" s="376">
        <v>8640</v>
      </c>
    </row>
    <row r="300" spans="1:21" ht="15" customHeight="1">
      <c r="A300" s="247"/>
      <c r="B300" s="248"/>
      <c r="C300" s="248"/>
      <c r="D300" s="247"/>
      <c r="E300" s="248"/>
      <c r="F300" s="248"/>
      <c r="G300" s="248"/>
      <c r="H300" s="248"/>
      <c r="I300" s="248"/>
      <c r="J300" s="248"/>
      <c r="K300" s="248"/>
      <c r="L300" s="209"/>
      <c r="M300" s="209"/>
      <c r="N300" s="172"/>
      <c r="O300" s="172"/>
      <c r="P300" s="166"/>
      <c r="Q300" s="166"/>
      <c r="R300" s="166"/>
      <c r="S300" s="166"/>
      <c r="T300" s="166"/>
    </row>
    <row r="301" spans="1:21" s="183" customFormat="1" ht="24" customHeight="1">
      <c r="A301" s="247"/>
      <c r="B301" s="248"/>
      <c r="C301" s="248"/>
      <c r="D301" s="247"/>
      <c r="E301" s="248"/>
      <c r="F301" s="248"/>
      <c r="G301" s="248"/>
      <c r="H301" s="248"/>
      <c r="I301" s="248"/>
      <c r="J301" s="248"/>
      <c r="K301" s="251" t="s">
        <v>457</v>
      </c>
      <c r="L301" s="201">
        <f t="shared" ref="L301:T301" si="17">SUM(L297:L300)</f>
        <v>5057</v>
      </c>
      <c r="M301" s="201">
        <f t="shared" si="17"/>
        <v>18957</v>
      </c>
      <c r="N301" s="202">
        <f t="shared" si="17"/>
        <v>18835</v>
      </c>
      <c r="O301" s="202">
        <f t="shared" si="17"/>
        <v>18835</v>
      </c>
      <c r="P301" s="201">
        <f t="shared" si="17"/>
        <v>13977</v>
      </c>
      <c r="Q301" s="201">
        <f t="shared" si="17"/>
        <v>15326</v>
      </c>
      <c r="R301" s="201">
        <f t="shared" si="17"/>
        <v>15482</v>
      </c>
      <c r="S301" s="201">
        <f t="shared" si="17"/>
        <v>15646</v>
      </c>
      <c r="T301" s="201">
        <f t="shared" si="17"/>
        <v>17258</v>
      </c>
      <c r="U301" s="64"/>
    </row>
    <row r="302" spans="1:21" s="183" customFormat="1" ht="15" customHeight="1">
      <c r="L302" s="199"/>
      <c r="M302" s="199"/>
      <c r="N302" s="200"/>
      <c r="O302" s="200"/>
      <c r="P302" s="199"/>
      <c r="Q302" s="199"/>
      <c r="R302" s="199"/>
      <c r="S302" s="199"/>
      <c r="T302" s="199"/>
      <c r="U302" s="64"/>
    </row>
    <row r="303" spans="1:21" s="183" customFormat="1" ht="24" customHeight="1">
      <c r="K303" s="251" t="s">
        <v>458</v>
      </c>
      <c r="L303" s="218">
        <f t="shared" ref="L303:T303" si="18">L295-L301</f>
        <v>15399</v>
      </c>
      <c r="M303" s="218">
        <f t="shared" si="18"/>
        <v>-5477</v>
      </c>
      <c r="N303" s="219">
        <f t="shared" si="18"/>
        <v>-3198</v>
      </c>
      <c r="O303" s="219">
        <f t="shared" si="18"/>
        <v>-3196</v>
      </c>
      <c r="P303" s="218">
        <f t="shared" si="18"/>
        <v>4163</v>
      </c>
      <c r="Q303" s="218">
        <f t="shared" si="18"/>
        <v>5978</v>
      </c>
      <c r="R303" s="218">
        <f t="shared" si="18"/>
        <v>5822</v>
      </c>
      <c r="S303" s="218">
        <f t="shared" si="18"/>
        <v>5658</v>
      </c>
      <c r="T303" s="218">
        <f t="shared" si="18"/>
        <v>4046</v>
      </c>
      <c r="U303" s="64"/>
    </row>
    <row r="304" spans="1:21" s="183" customFormat="1" ht="15" customHeight="1">
      <c r="L304" s="218"/>
      <c r="M304" s="218"/>
      <c r="N304" s="219"/>
      <c r="O304" s="219"/>
      <c r="P304" s="218"/>
      <c r="Q304" s="218"/>
      <c r="R304" s="218"/>
      <c r="S304" s="218"/>
      <c r="T304" s="218"/>
      <c r="U304" s="64"/>
    </row>
    <row r="305" spans="1:21" s="183" customFormat="1" ht="24" customHeight="1">
      <c r="K305" s="256" t="s">
        <v>460</v>
      </c>
      <c r="L305" s="218">
        <v>-15774</v>
      </c>
      <c r="M305" s="218">
        <v>-21251</v>
      </c>
      <c r="N305" s="219">
        <v>-28236</v>
      </c>
      <c r="O305" s="219">
        <f>M305+O303</f>
        <v>-24447</v>
      </c>
      <c r="P305" s="218">
        <f>O305+P303</f>
        <v>-20284</v>
      </c>
      <c r="Q305" s="218">
        <f>P305+Q303</f>
        <v>-14306</v>
      </c>
      <c r="R305" s="218">
        <f>Q305+R303</f>
        <v>-8484</v>
      </c>
      <c r="S305" s="218">
        <f>R305+S303</f>
        <v>-2826</v>
      </c>
      <c r="T305" s="218">
        <f>S305+T303</f>
        <v>1220</v>
      </c>
      <c r="U305" s="64"/>
    </row>
    <row r="306" spans="1:21" s="260" customFormat="1" ht="24" customHeight="1">
      <c r="L306" s="220">
        <f t="shared" ref="L306:T306" si="19">L305/L301</f>
        <v>-3.1192406565157209</v>
      </c>
      <c r="M306" s="220">
        <f t="shared" si="19"/>
        <v>-1.121010708445429</v>
      </c>
      <c r="N306" s="221">
        <f t="shared" si="19"/>
        <v>-1.4991239713299709</v>
      </c>
      <c r="O306" s="221">
        <f t="shared" si="19"/>
        <v>-1.2979559331032653</v>
      </c>
      <c r="P306" s="220">
        <f t="shared" si="19"/>
        <v>-1.4512413250339844</v>
      </c>
      <c r="Q306" s="220">
        <f t="shared" si="19"/>
        <v>-0.93344643090173562</v>
      </c>
      <c r="R306" s="220">
        <f t="shared" si="19"/>
        <v>-0.54799121560521902</v>
      </c>
      <c r="S306" s="220">
        <f t="shared" si="19"/>
        <v>-0.1806212450466573</v>
      </c>
      <c r="T306" s="220">
        <f t="shared" si="19"/>
        <v>7.0691853053656273E-2</v>
      </c>
      <c r="U306" s="386"/>
    </row>
    <row r="307" spans="1:21" ht="15" customHeight="1">
      <c r="A307" s="183"/>
      <c r="B307" s="183"/>
      <c r="C307" s="183"/>
      <c r="D307" s="183"/>
      <c r="E307" s="183"/>
      <c r="F307" s="183"/>
      <c r="G307" s="183"/>
      <c r="H307" s="183"/>
      <c r="I307" s="183"/>
      <c r="J307" s="183"/>
      <c r="K307" s="183"/>
      <c r="L307" s="245"/>
      <c r="M307" s="245"/>
      <c r="N307" s="300"/>
      <c r="O307" s="300"/>
      <c r="P307" s="301"/>
      <c r="Q307" s="301"/>
      <c r="R307" s="301"/>
      <c r="S307" s="301"/>
      <c r="T307" s="301"/>
    </row>
    <row r="308" spans="1:21" ht="24" customHeight="1">
      <c r="A308" s="258" t="s">
        <v>761</v>
      </c>
      <c r="B308" s="183"/>
      <c r="C308" s="183"/>
      <c r="D308" s="183"/>
      <c r="E308" s="183"/>
      <c r="F308" s="183"/>
      <c r="G308" s="183"/>
      <c r="H308" s="183"/>
      <c r="I308" s="183"/>
      <c r="J308" s="183"/>
      <c r="K308" s="183"/>
      <c r="L308" s="245"/>
      <c r="M308" s="245"/>
      <c r="N308" s="300"/>
      <c r="O308" s="300"/>
      <c r="P308" s="301"/>
      <c r="Q308" s="301"/>
      <c r="R308" s="301"/>
      <c r="S308" s="301"/>
      <c r="T308" s="301"/>
    </row>
    <row r="309" spans="1:21" ht="15" customHeight="1">
      <c r="A309" s="183"/>
      <c r="B309" s="183"/>
      <c r="C309" s="183"/>
      <c r="D309" s="183"/>
      <c r="E309" s="183"/>
      <c r="F309" s="183"/>
      <c r="G309" s="183"/>
      <c r="H309" s="183"/>
      <c r="I309" s="183"/>
      <c r="J309" s="183"/>
      <c r="K309" s="183"/>
      <c r="L309" s="245"/>
      <c r="M309" s="245"/>
      <c r="N309" s="300"/>
      <c r="O309" s="300"/>
      <c r="P309" s="301"/>
      <c r="Q309" s="301"/>
      <c r="R309" s="301"/>
      <c r="S309" s="301"/>
      <c r="T309" s="301"/>
    </row>
    <row r="310" spans="1:21" ht="24" customHeight="1">
      <c r="A310" s="247" t="s">
        <v>240</v>
      </c>
      <c r="B310" s="183"/>
      <c r="C310" s="183"/>
      <c r="D310" s="247" t="s">
        <v>241</v>
      </c>
      <c r="E310" s="183"/>
      <c r="F310" s="183"/>
      <c r="G310" s="183"/>
      <c r="H310" s="183"/>
      <c r="I310" s="183"/>
      <c r="J310" s="183"/>
      <c r="K310" s="183"/>
      <c r="L310" s="193">
        <v>428888</v>
      </c>
      <c r="M310" s="193">
        <v>454449</v>
      </c>
      <c r="N310" s="144">
        <v>489817</v>
      </c>
      <c r="O310" s="144">
        <v>489817</v>
      </c>
      <c r="P310" s="145">
        <v>484084</v>
      </c>
      <c r="Q310" s="145">
        <v>493766</v>
      </c>
      <c r="R310" s="145">
        <v>503641</v>
      </c>
      <c r="S310" s="145">
        <v>513714</v>
      </c>
      <c r="T310" s="145">
        <v>523988</v>
      </c>
    </row>
    <row r="311" spans="1:21" ht="24" customHeight="1">
      <c r="A311" s="247" t="s">
        <v>242</v>
      </c>
      <c r="B311" s="183"/>
      <c r="C311" s="183"/>
      <c r="D311" s="125" t="s">
        <v>243</v>
      </c>
      <c r="E311" s="183"/>
      <c r="F311" s="183"/>
      <c r="G311" s="183"/>
      <c r="H311" s="183"/>
      <c r="I311" s="183"/>
      <c r="J311" s="183"/>
      <c r="K311" s="183"/>
      <c r="L311" s="192">
        <v>41928</v>
      </c>
      <c r="M311" s="192">
        <v>41061</v>
      </c>
      <c r="N311" s="144">
        <v>41000</v>
      </c>
      <c r="O311" s="144">
        <v>47605</v>
      </c>
      <c r="P311" s="143">
        <v>41000</v>
      </c>
      <c r="Q311" s="143">
        <v>41000</v>
      </c>
      <c r="R311" s="143">
        <v>41000</v>
      </c>
      <c r="S311" s="143">
        <v>41000</v>
      </c>
      <c r="T311" s="143">
        <v>41000</v>
      </c>
    </row>
    <row r="312" spans="1:21" ht="24" customHeight="1">
      <c r="A312" s="247" t="s">
        <v>244</v>
      </c>
      <c r="B312" s="248"/>
      <c r="C312" s="248"/>
      <c r="D312" s="489" t="s">
        <v>6</v>
      </c>
      <c r="E312" s="489"/>
      <c r="F312" s="489"/>
      <c r="G312" s="489"/>
      <c r="H312" s="489"/>
      <c r="I312" s="489"/>
      <c r="J312" s="489"/>
      <c r="K312" s="489"/>
      <c r="L312" s="193">
        <v>3556</v>
      </c>
      <c r="M312" s="193">
        <v>8475</v>
      </c>
      <c r="N312" s="148">
        <v>5000</v>
      </c>
      <c r="O312" s="148">
        <v>15000</v>
      </c>
      <c r="P312" s="145">
        <v>9820</v>
      </c>
      <c r="Q312" s="145">
        <v>5900</v>
      </c>
      <c r="R312" s="145">
        <v>2677</v>
      </c>
      <c r="S312" s="145">
        <v>576</v>
      </c>
      <c r="T312" s="145">
        <v>0</v>
      </c>
      <c r="U312" s="350"/>
    </row>
    <row r="313" spans="1:21" ht="24" customHeight="1">
      <c r="A313" s="247" t="s">
        <v>1072</v>
      </c>
      <c r="B313" s="248"/>
      <c r="C313" s="248"/>
      <c r="D313" s="247" t="s">
        <v>245</v>
      </c>
      <c r="E313" s="183"/>
      <c r="F313" s="183"/>
      <c r="G313" s="183"/>
      <c r="H313" s="183"/>
      <c r="I313" s="183"/>
      <c r="J313" s="183"/>
      <c r="K313" s="183"/>
      <c r="L313" s="198">
        <v>33750</v>
      </c>
      <c r="M313" s="198">
        <v>268</v>
      </c>
      <c r="N313" s="153">
        <v>0</v>
      </c>
      <c r="O313" s="153">
        <v>0</v>
      </c>
      <c r="P313" s="152">
        <v>0</v>
      </c>
      <c r="Q313" s="152">
        <v>0</v>
      </c>
      <c r="R313" s="152">
        <v>0</v>
      </c>
      <c r="S313" s="152">
        <v>0</v>
      </c>
      <c r="T313" s="152">
        <v>0</v>
      </c>
    </row>
    <row r="314" spans="1:21" ht="15" customHeight="1">
      <c r="A314" s="183"/>
      <c r="B314" s="183"/>
      <c r="C314" s="183"/>
      <c r="D314" s="183"/>
      <c r="E314" s="183"/>
      <c r="F314" s="183"/>
      <c r="G314" s="183"/>
      <c r="H314" s="183"/>
      <c r="I314" s="183"/>
      <c r="J314" s="183"/>
      <c r="K314" s="183"/>
      <c r="L314" s="199"/>
      <c r="M314" s="199"/>
      <c r="N314" s="155"/>
      <c r="O314" s="155"/>
      <c r="P314" s="154"/>
      <c r="Q314" s="154"/>
      <c r="R314" s="154"/>
      <c r="S314" s="154"/>
      <c r="T314" s="154"/>
    </row>
    <row r="315" spans="1:21" s="183" customFormat="1" ht="24" customHeight="1">
      <c r="K315" s="251" t="s">
        <v>454</v>
      </c>
      <c r="L315" s="201">
        <f t="shared" ref="L315:T315" si="20">SUM(L310:L314)</f>
        <v>508122</v>
      </c>
      <c r="M315" s="201">
        <f t="shared" si="20"/>
        <v>504253</v>
      </c>
      <c r="N315" s="202">
        <f t="shared" si="20"/>
        <v>535817</v>
      </c>
      <c r="O315" s="202">
        <f t="shared" si="20"/>
        <v>552422</v>
      </c>
      <c r="P315" s="201">
        <f t="shared" si="20"/>
        <v>534904</v>
      </c>
      <c r="Q315" s="201">
        <f t="shared" si="20"/>
        <v>540666</v>
      </c>
      <c r="R315" s="201">
        <f t="shared" si="20"/>
        <v>547318</v>
      </c>
      <c r="S315" s="201">
        <f t="shared" si="20"/>
        <v>555290</v>
      </c>
      <c r="T315" s="201">
        <f t="shared" si="20"/>
        <v>564988</v>
      </c>
      <c r="U315" s="64"/>
    </row>
    <row r="316" spans="1:21" ht="15" customHeight="1">
      <c r="A316" s="183"/>
      <c r="B316" s="183"/>
      <c r="C316" s="183"/>
      <c r="D316" s="183"/>
      <c r="E316" s="183"/>
      <c r="F316" s="183"/>
      <c r="G316" s="183"/>
      <c r="H316" s="183"/>
      <c r="I316" s="183"/>
      <c r="J316" s="183"/>
      <c r="K316" s="183"/>
      <c r="L316" s="201"/>
      <c r="M316" s="201"/>
      <c r="N316" s="158"/>
      <c r="O316" s="158"/>
      <c r="P316" s="157"/>
      <c r="Q316" s="157"/>
      <c r="R316" s="157"/>
      <c r="S316" s="157"/>
      <c r="T316" s="157"/>
    </row>
    <row r="317" spans="1:21" ht="24" customHeight="1">
      <c r="A317" s="247" t="s">
        <v>836</v>
      </c>
      <c r="B317" s="248"/>
      <c r="C317" s="248"/>
      <c r="D317" s="247" t="s">
        <v>837</v>
      </c>
      <c r="E317" s="248"/>
      <c r="F317" s="248"/>
      <c r="G317" s="250"/>
      <c r="H317" s="250"/>
      <c r="I317" s="250"/>
      <c r="J317" s="250"/>
      <c r="K317" s="250"/>
      <c r="L317" s="209">
        <v>7750</v>
      </c>
      <c r="M317" s="209">
        <v>7750</v>
      </c>
      <c r="N317" s="172">
        <v>0</v>
      </c>
      <c r="O317" s="172">
        <v>0</v>
      </c>
      <c r="P317" s="166">
        <v>0</v>
      </c>
      <c r="Q317" s="166">
        <v>0</v>
      </c>
      <c r="R317" s="166">
        <v>0</v>
      </c>
      <c r="S317" s="166">
        <v>0</v>
      </c>
      <c r="T317" s="166">
        <v>0</v>
      </c>
    </row>
    <row r="318" spans="1:21" ht="24" customHeight="1">
      <c r="A318" s="247" t="s">
        <v>973</v>
      </c>
      <c r="B318" s="248"/>
      <c r="C318" s="248"/>
      <c r="D318" s="247" t="s">
        <v>974</v>
      </c>
      <c r="E318" s="248"/>
      <c r="F318" s="248"/>
      <c r="G318" s="250"/>
      <c r="H318" s="250"/>
      <c r="I318" s="250"/>
      <c r="J318" s="250"/>
      <c r="K318" s="250"/>
      <c r="L318" s="209">
        <v>97923</v>
      </c>
      <c r="M318" s="209">
        <v>90370</v>
      </c>
      <c r="N318" s="144">
        <v>97000</v>
      </c>
      <c r="O318" s="144">
        <v>97000</v>
      </c>
      <c r="P318" s="143">
        <v>0</v>
      </c>
      <c r="Q318" s="143">
        <v>0</v>
      </c>
      <c r="R318" s="143">
        <v>0</v>
      </c>
      <c r="S318" s="143">
        <v>0</v>
      </c>
      <c r="T318" s="143">
        <v>0</v>
      </c>
    </row>
    <row r="319" spans="1:21" ht="24" customHeight="1">
      <c r="A319" s="247" t="s">
        <v>246</v>
      </c>
      <c r="B319" s="248"/>
      <c r="C319" s="248"/>
      <c r="D319" s="247" t="s">
        <v>247</v>
      </c>
      <c r="E319" s="248"/>
      <c r="F319" s="248"/>
      <c r="G319" s="248"/>
      <c r="H319" s="248"/>
      <c r="I319" s="248"/>
      <c r="J319" s="248"/>
      <c r="K319" s="248"/>
      <c r="L319" s="193">
        <v>64396</v>
      </c>
      <c r="M319" s="193">
        <v>84015</v>
      </c>
      <c r="N319" s="148">
        <v>90000</v>
      </c>
      <c r="O319" s="148">
        <v>90000</v>
      </c>
      <c r="P319" s="143">
        <v>0</v>
      </c>
      <c r="Q319" s="145">
        <v>0</v>
      </c>
      <c r="R319" s="145">
        <v>0</v>
      </c>
      <c r="S319" s="145">
        <v>0</v>
      </c>
      <c r="T319" s="145">
        <v>0</v>
      </c>
    </row>
    <row r="320" spans="1:21" ht="24" customHeight="1">
      <c r="A320" s="247" t="s">
        <v>248</v>
      </c>
      <c r="B320" s="248"/>
      <c r="C320" s="248"/>
      <c r="D320" s="247" t="s">
        <v>249</v>
      </c>
      <c r="E320" s="248"/>
      <c r="F320" s="248"/>
      <c r="G320" s="248"/>
      <c r="H320" s="248"/>
      <c r="I320" s="248"/>
      <c r="J320" s="248"/>
      <c r="K320" s="248"/>
      <c r="L320" s="193">
        <v>15640</v>
      </c>
      <c r="M320" s="193">
        <v>9171</v>
      </c>
      <c r="N320" s="148">
        <v>0</v>
      </c>
      <c r="O320" s="148">
        <v>0</v>
      </c>
      <c r="P320" s="145">
        <v>0</v>
      </c>
      <c r="Q320" s="145">
        <v>0</v>
      </c>
      <c r="R320" s="145">
        <v>0</v>
      </c>
      <c r="S320" s="145">
        <v>0</v>
      </c>
      <c r="T320" s="145">
        <v>0</v>
      </c>
    </row>
    <row r="321" spans="1:21" ht="24" customHeight="1">
      <c r="A321" s="413" t="s">
        <v>1355</v>
      </c>
      <c r="B321" s="412"/>
      <c r="C321" s="412"/>
      <c r="D321" s="413" t="s">
        <v>1264</v>
      </c>
      <c r="E321" s="412"/>
      <c r="F321" s="412"/>
      <c r="G321" s="412"/>
      <c r="H321" s="412"/>
      <c r="I321" s="412"/>
      <c r="J321" s="412"/>
      <c r="K321" s="412"/>
      <c r="L321" s="190">
        <v>24244</v>
      </c>
      <c r="M321" s="190">
        <v>21653</v>
      </c>
      <c r="N321" s="141">
        <v>0</v>
      </c>
      <c r="O321" s="141">
        <v>0</v>
      </c>
      <c r="P321" s="140">
        <v>0</v>
      </c>
      <c r="Q321" s="140">
        <v>0</v>
      </c>
      <c r="R321" s="140">
        <v>0</v>
      </c>
      <c r="S321" s="140">
        <v>0</v>
      </c>
      <c r="T321" s="140">
        <v>0</v>
      </c>
    </row>
    <row r="322" spans="1:21" ht="24" customHeight="1">
      <c r="A322" s="247" t="s">
        <v>1130</v>
      </c>
      <c r="B322" s="248"/>
      <c r="C322" s="248"/>
      <c r="D322" s="247" t="s">
        <v>1133</v>
      </c>
      <c r="E322" s="248"/>
      <c r="F322" s="248"/>
      <c r="G322" s="248"/>
      <c r="H322" s="248"/>
      <c r="I322" s="248"/>
      <c r="J322" s="248"/>
      <c r="K322" s="248"/>
      <c r="L322" s="190">
        <v>15381</v>
      </c>
      <c r="M322" s="190">
        <v>11236</v>
      </c>
      <c r="N322" s="141">
        <v>0</v>
      </c>
      <c r="O322" s="141">
        <v>0</v>
      </c>
      <c r="P322" s="140">
        <v>0</v>
      </c>
      <c r="Q322" s="140">
        <v>0</v>
      </c>
      <c r="R322" s="140">
        <v>0</v>
      </c>
      <c r="S322" s="140">
        <v>0</v>
      </c>
      <c r="T322" s="140">
        <v>0</v>
      </c>
    </row>
    <row r="323" spans="1:21" ht="24" customHeight="1">
      <c r="A323" s="247" t="s">
        <v>937</v>
      </c>
      <c r="B323" s="248"/>
      <c r="C323" s="248"/>
      <c r="D323" s="247" t="s">
        <v>938</v>
      </c>
      <c r="E323" s="248"/>
      <c r="F323" s="248"/>
      <c r="G323" s="248"/>
      <c r="H323" s="248"/>
      <c r="I323" s="248"/>
      <c r="J323" s="248"/>
      <c r="K323" s="248"/>
      <c r="L323" s="193">
        <v>0</v>
      </c>
      <c r="M323" s="193">
        <v>0</v>
      </c>
      <c r="N323" s="148">
        <v>25000</v>
      </c>
      <c r="O323" s="148">
        <v>0</v>
      </c>
      <c r="P323" s="145">
        <v>25000</v>
      </c>
      <c r="Q323" s="145">
        <v>25000</v>
      </c>
      <c r="R323" s="145">
        <v>0</v>
      </c>
      <c r="S323" s="145">
        <v>0</v>
      </c>
      <c r="T323" s="145">
        <v>0</v>
      </c>
    </row>
    <row r="324" spans="1:21" ht="24" customHeight="1">
      <c r="A324" s="247" t="s">
        <v>855</v>
      </c>
      <c r="B324" s="248"/>
      <c r="C324" s="248"/>
      <c r="D324" s="249" t="s">
        <v>919</v>
      </c>
      <c r="E324" s="248"/>
      <c r="F324" s="248"/>
      <c r="G324" s="248"/>
      <c r="H324" s="248"/>
      <c r="I324" s="248"/>
      <c r="J324" s="248"/>
      <c r="K324" s="248"/>
      <c r="L324" s="193">
        <v>300000</v>
      </c>
      <c r="M324" s="193">
        <v>300000</v>
      </c>
      <c r="N324" s="148">
        <v>406000</v>
      </c>
      <c r="O324" s="148">
        <v>360000</v>
      </c>
      <c r="P324" s="145">
        <v>620000</v>
      </c>
      <c r="Q324" s="145">
        <v>620000</v>
      </c>
      <c r="R324" s="145">
        <v>620000</v>
      </c>
      <c r="S324" s="145">
        <v>620000</v>
      </c>
      <c r="T324" s="145">
        <v>591184</v>
      </c>
    </row>
    <row r="325" spans="1:21" ht="24" customHeight="1">
      <c r="A325" s="247" t="s">
        <v>251</v>
      </c>
      <c r="B325" s="250"/>
      <c r="C325" s="250"/>
      <c r="D325" s="247" t="s">
        <v>252</v>
      </c>
      <c r="E325" s="250"/>
      <c r="F325" s="250"/>
      <c r="G325" s="250"/>
      <c r="H325" s="250"/>
      <c r="I325" s="250"/>
      <c r="J325" s="250"/>
      <c r="K325" s="250"/>
      <c r="L325" s="197">
        <v>73787</v>
      </c>
      <c r="M325" s="197">
        <v>73787</v>
      </c>
      <c r="N325" s="403">
        <v>73787</v>
      </c>
      <c r="O325" s="403">
        <f>ROUND(6149*12,0)</f>
        <v>73788</v>
      </c>
      <c r="P325" s="197">
        <v>73788</v>
      </c>
      <c r="Q325" s="197">
        <v>73788</v>
      </c>
      <c r="R325" s="197">
        <v>73788</v>
      </c>
      <c r="S325" s="197">
        <v>30745</v>
      </c>
      <c r="T325" s="197">
        <v>0</v>
      </c>
    </row>
    <row r="326" spans="1:21" ht="15" customHeight="1">
      <c r="A326" s="247"/>
      <c r="B326" s="183"/>
      <c r="C326" s="183"/>
      <c r="D326" s="247"/>
      <c r="E326" s="183"/>
      <c r="F326" s="183"/>
      <c r="G326" s="183"/>
      <c r="H326" s="183"/>
      <c r="I326" s="183"/>
      <c r="J326" s="183"/>
      <c r="K326" s="183"/>
      <c r="L326" s="190"/>
      <c r="M326" s="190"/>
      <c r="N326" s="141"/>
      <c r="O326" s="141"/>
      <c r="P326" s="140"/>
      <c r="Q326" s="140"/>
      <c r="R326" s="140"/>
      <c r="S326" s="140"/>
      <c r="T326" s="140"/>
    </row>
    <row r="327" spans="1:21" s="183" customFormat="1" ht="24" customHeight="1">
      <c r="K327" s="251" t="s">
        <v>457</v>
      </c>
      <c r="L327" s="218">
        <f t="shared" ref="L327:T327" si="21">SUM(L317:L326)</f>
        <v>599121</v>
      </c>
      <c r="M327" s="218">
        <f t="shared" si="21"/>
        <v>597982</v>
      </c>
      <c r="N327" s="219">
        <f t="shared" si="21"/>
        <v>691787</v>
      </c>
      <c r="O327" s="219">
        <f t="shared" si="21"/>
        <v>620788</v>
      </c>
      <c r="P327" s="218">
        <f t="shared" si="21"/>
        <v>718788</v>
      </c>
      <c r="Q327" s="218">
        <f t="shared" si="21"/>
        <v>718788</v>
      </c>
      <c r="R327" s="218">
        <f t="shared" si="21"/>
        <v>693788</v>
      </c>
      <c r="S327" s="218">
        <f t="shared" si="21"/>
        <v>650745</v>
      </c>
      <c r="T327" s="218">
        <f t="shared" si="21"/>
        <v>591184</v>
      </c>
      <c r="U327" s="64"/>
    </row>
    <row r="328" spans="1:21" s="183" customFormat="1" ht="15" customHeight="1">
      <c r="L328" s="218"/>
      <c r="M328" s="218"/>
      <c r="N328" s="219"/>
      <c r="O328" s="219"/>
      <c r="P328" s="218"/>
      <c r="Q328" s="218"/>
      <c r="R328" s="218"/>
      <c r="S328" s="218"/>
      <c r="T328" s="218"/>
      <c r="U328" s="64"/>
    </row>
    <row r="329" spans="1:21" s="183" customFormat="1" ht="24" customHeight="1">
      <c r="K329" s="251" t="s">
        <v>458</v>
      </c>
      <c r="L329" s="218">
        <f t="shared" ref="L329:T329" si="22">L315-L327</f>
        <v>-90999</v>
      </c>
      <c r="M329" s="218">
        <f t="shared" si="22"/>
        <v>-93729</v>
      </c>
      <c r="N329" s="219">
        <f t="shared" si="22"/>
        <v>-155970</v>
      </c>
      <c r="O329" s="219">
        <f t="shared" si="22"/>
        <v>-68366</v>
      </c>
      <c r="P329" s="218">
        <f t="shared" si="22"/>
        <v>-183884</v>
      </c>
      <c r="Q329" s="218">
        <f t="shared" si="22"/>
        <v>-178122</v>
      </c>
      <c r="R329" s="218">
        <f t="shared" si="22"/>
        <v>-146470</v>
      </c>
      <c r="S329" s="218">
        <f t="shared" si="22"/>
        <v>-95455</v>
      </c>
      <c r="T329" s="218">
        <f t="shared" si="22"/>
        <v>-26196</v>
      </c>
      <c r="U329" s="64"/>
    </row>
    <row r="330" spans="1:21" s="183" customFormat="1" ht="15" customHeight="1">
      <c r="L330" s="218"/>
      <c r="M330" s="218"/>
      <c r="N330" s="219"/>
      <c r="O330" s="219"/>
      <c r="P330" s="218"/>
      <c r="Q330" s="218"/>
      <c r="R330" s="218"/>
      <c r="S330" s="218"/>
      <c r="T330" s="218"/>
      <c r="U330" s="64"/>
    </row>
    <row r="331" spans="1:21" s="183" customFormat="1" ht="24" customHeight="1">
      <c r="K331" s="256" t="s">
        <v>460</v>
      </c>
      <c r="L331" s="218">
        <v>792224</v>
      </c>
      <c r="M331" s="218">
        <v>698493</v>
      </c>
      <c r="N331" s="219">
        <v>428536</v>
      </c>
      <c r="O331" s="219">
        <f>M331+O329</f>
        <v>630127</v>
      </c>
      <c r="P331" s="218">
        <f>O331+P329</f>
        <v>446243</v>
      </c>
      <c r="Q331" s="218">
        <f>P331+Q329</f>
        <v>268121</v>
      </c>
      <c r="R331" s="218">
        <f>Q331+R329</f>
        <v>121651</v>
      </c>
      <c r="S331" s="218">
        <f>R331+S329</f>
        <v>26196</v>
      </c>
      <c r="T331" s="218">
        <f>S331+T329</f>
        <v>0</v>
      </c>
      <c r="U331" s="64"/>
    </row>
    <row r="332" spans="1:21" s="183" customFormat="1" ht="15" customHeight="1">
      <c r="K332" s="256"/>
      <c r="L332" s="218"/>
      <c r="M332" s="218"/>
      <c r="N332" s="219"/>
      <c r="O332" s="219"/>
      <c r="P332" s="218"/>
      <c r="Q332" s="218"/>
      <c r="R332" s="218"/>
      <c r="S332" s="218"/>
      <c r="T332" s="218"/>
      <c r="U332" s="64"/>
    </row>
    <row r="333" spans="1:21" ht="15" customHeight="1">
      <c r="A333" s="439"/>
      <c r="B333" s="438"/>
      <c r="C333" s="438"/>
      <c r="D333" s="438"/>
      <c r="E333" s="438"/>
      <c r="F333" s="438"/>
      <c r="G333" s="438"/>
      <c r="H333" s="438"/>
      <c r="I333" s="440"/>
      <c r="J333" s="440"/>
      <c r="K333" s="440"/>
      <c r="L333" s="417"/>
      <c r="M333" s="417"/>
      <c r="N333" s="443"/>
      <c r="O333" s="443"/>
      <c r="P333" s="417"/>
      <c r="Q333" s="417"/>
      <c r="R333" s="417"/>
      <c r="S333" s="417"/>
      <c r="T333" s="417"/>
    </row>
    <row r="334" spans="1:21" ht="24" customHeight="1">
      <c r="A334" s="258" t="s">
        <v>469</v>
      </c>
      <c r="B334" s="183"/>
      <c r="C334" s="183"/>
      <c r="D334" s="183"/>
      <c r="E334" s="183"/>
      <c r="F334" s="183"/>
      <c r="G334" s="183"/>
      <c r="H334" s="183"/>
      <c r="I334" s="183"/>
      <c r="J334" s="183"/>
      <c r="K334" s="183"/>
      <c r="L334" s="245"/>
      <c r="M334" s="245"/>
      <c r="N334" s="300"/>
      <c r="O334" s="300"/>
      <c r="P334" s="301"/>
      <c r="Q334" s="301"/>
      <c r="R334" s="301"/>
      <c r="S334" s="301"/>
      <c r="T334" s="301"/>
    </row>
    <row r="335" spans="1:21" ht="15" customHeight="1">
      <c r="A335" s="183"/>
      <c r="B335" s="183"/>
      <c r="C335" s="183"/>
      <c r="D335" s="183"/>
      <c r="E335" s="183"/>
      <c r="F335" s="183"/>
      <c r="G335" s="183"/>
      <c r="H335" s="183"/>
      <c r="I335" s="183"/>
      <c r="J335" s="183"/>
      <c r="K335" s="183"/>
      <c r="L335" s="245"/>
      <c r="M335" s="245"/>
      <c r="N335" s="300"/>
      <c r="O335" s="300"/>
      <c r="P335" s="301"/>
      <c r="Q335" s="301"/>
      <c r="R335" s="301"/>
      <c r="S335" s="301"/>
      <c r="T335" s="301"/>
    </row>
    <row r="336" spans="1:21" ht="24" customHeight="1">
      <c r="A336" s="247" t="s">
        <v>957</v>
      </c>
      <c r="B336" s="248"/>
      <c r="C336" s="248"/>
      <c r="D336" s="247" t="s">
        <v>972</v>
      </c>
      <c r="E336" s="183"/>
      <c r="F336" s="183"/>
      <c r="G336" s="183"/>
      <c r="H336" s="183"/>
      <c r="I336" s="183"/>
      <c r="J336" s="183"/>
      <c r="K336" s="183"/>
      <c r="L336" s="213">
        <v>31109</v>
      </c>
      <c r="M336" s="213">
        <v>540</v>
      </c>
      <c r="N336" s="171">
        <v>0</v>
      </c>
      <c r="O336" s="171">
        <v>0</v>
      </c>
      <c r="P336" s="159">
        <v>0</v>
      </c>
      <c r="Q336" s="159">
        <v>0</v>
      </c>
      <c r="R336" s="159">
        <v>0</v>
      </c>
      <c r="S336" s="159">
        <v>0</v>
      </c>
      <c r="T336" s="159">
        <v>0</v>
      </c>
    </row>
    <row r="337" spans="1:21" ht="24" customHeight="1">
      <c r="A337" s="247" t="s">
        <v>1121</v>
      </c>
      <c r="B337" s="248"/>
      <c r="C337" s="248"/>
      <c r="D337" s="247" t="s">
        <v>1122</v>
      </c>
      <c r="E337" s="183"/>
      <c r="F337" s="183"/>
      <c r="G337" s="183"/>
      <c r="H337" s="183"/>
      <c r="I337" s="183"/>
      <c r="J337" s="183"/>
      <c r="K337" s="183"/>
      <c r="L337" s="213">
        <v>24606</v>
      </c>
      <c r="M337" s="213">
        <v>-1306</v>
      </c>
      <c r="N337" s="148">
        <v>0</v>
      </c>
      <c r="O337" s="148">
        <v>0</v>
      </c>
      <c r="P337" s="145">
        <v>0</v>
      </c>
      <c r="Q337" s="145">
        <v>0</v>
      </c>
      <c r="R337" s="145">
        <v>0</v>
      </c>
      <c r="S337" s="145">
        <v>0</v>
      </c>
      <c r="T337" s="145">
        <v>0</v>
      </c>
    </row>
    <row r="338" spans="1:21" ht="24" customHeight="1">
      <c r="A338" s="247" t="s">
        <v>604</v>
      </c>
      <c r="B338" s="248"/>
      <c r="C338" s="248"/>
      <c r="D338" s="247" t="s">
        <v>997</v>
      </c>
      <c r="E338" s="183"/>
      <c r="F338" s="183"/>
      <c r="G338" s="183"/>
      <c r="H338" s="183"/>
      <c r="I338" s="183"/>
      <c r="J338" s="183"/>
      <c r="K338" s="183"/>
      <c r="L338" s="213">
        <v>2475</v>
      </c>
      <c r="M338" s="213">
        <v>223344</v>
      </c>
      <c r="N338" s="148">
        <v>0</v>
      </c>
      <c r="O338" s="148">
        <v>0</v>
      </c>
      <c r="P338" s="145">
        <v>0</v>
      </c>
      <c r="Q338" s="145">
        <v>0</v>
      </c>
      <c r="R338" s="145">
        <v>0</v>
      </c>
      <c r="S338" s="145">
        <v>0</v>
      </c>
      <c r="T338" s="145">
        <v>0</v>
      </c>
    </row>
    <row r="339" spans="1:21" ht="24" customHeight="1">
      <c r="A339" s="247" t="s">
        <v>1082</v>
      </c>
      <c r="B339" s="183"/>
      <c r="C339" s="183"/>
      <c r="D339" s="494" t="s">
        <v>1081</v>
      </c>
      <c r="E339" s="494"/>
      <c r="F339" s="494"/>
      <c r="G339" s="494"/>
      <c r="H339" s="494"/>
      <c r="I339" s="494"/>
      <c r="J339" s="494"/>
      <c r="K339" s="494"/>
      <c r="L339" s="193">
        <v>476164</v>
      </c>
      <c r="M339" s="193">
        <v>-16550</v>
      </c>
      <c r="N339" s="148">
        <v>0</v>
      </c>
      <c r="O339" s="148">
        <v>32879</v>
      </c>
      <c r="P339" s="145">
        <v>0</v>
      </c>
      <c r="Q339" s="145">
        <v>0</v>
      </c>
      <c r="R339" s="145">
        <v>0</v>
      </c>
      <c r="S339" s="145">
        <v>0</v>
      </c>
      <c r="T339" s="145">
        <v>0</v>
      </c>
    </row>
    <row r="340" spans="1:21" ht="24" customHeight="1">
      <c r="A340" s="247" t="s">
        <v>258</v>
      </c>
      <c r="B340" s="248"/>
      <c r="C340" s="248"/>
      <c r="D340" s="247" t="s">
        <v>50</v>
      </c>
      <c r="E340" s="248"/>
      <c r="F340" s="183"/>
      <c r="G340" s="250"/>
      <c r="H340" s="250"/>
      <c r="I340" s="250"/>
      <c r="J340" s="250"/>
      <c r="K340" s="250"/>
      <c r="L340" s="190">
        <v>35365</v>
      </c>
      <c r="M340" s="190">
        <v>139758</v>
      </c>
      <c r="N340" s="160">
        <v>0</v>
      </c>
      <c r="O340" s="191">
        <v>25000</v>
      </c>
      <c r="P340" s="159">
        <v>0</v>
      </c>
      <c r="Q340" s="159">
        <v>0</v>
      </c>
      <c r="R340" s="159">
        <v>0</v>
      </c>
      <c r="S340" s="159">
        <v>0</v>
      </c>
      <c r="T340" s="159">
        <v>0</v>
      </c>
    </row>
    <row r="341" spans="1:21" ht="24" customHeight="1">
      <c r="A341" s="247" t="s">
        <v>260</v>
      </c>
      <c r="B341" s="248"/>
      <c r="C341" s="248"/>
      <c r="D341" s="247" t="s">
        <v>978</v>
      </c>
      <c r="E341" s="248"/>
      <c r="F341" s="183"/>
      <c r="G341" s="183"/>
      <c r="H341" s="183"/>
      <c r="I341" s="183"/>
      <c r="J341" s="183"/>
      <c r="K341" s="183"/>
      <c r="L341" s="205">
        <v>1085</v>
      </c>
      <c r="M341" s="205">
        <v>6929</v>
      </c>
      <c r="N341" s="160">
        <v>3500</v>
      </c>
      <c r="O341" s="160">
        <v>5000</v>
      </c>
      <c r="P341" s="159">
        <v>5000</v>
      </c>
      <c r="Q341" s="159">
        <v>5000</v>
      </c>
      <c r="R341" s="159">
        <v>5000</v>
      </c>
      <c r="S341" s="159">
        <v>5000</v>
      </c>
      <c r="T341" s="159">
        <v>5000</v>
      </c>
    </row>
    <row r="342" spans="1:21" ht="24" customHeight="1">
      <c r="A342" s="247" t="s">
        <v>780</v>
      </c>
      <c r="B342" s="248"/>
      <c r="C342" s="248"/>
      <c r="D342" s="247" t="s">
        <v>781</v>
      </c>
      <c r="E342" s="248"/>
      <c r="F342" s="183"/>
      <c r="G342" s="183"/>
      <c r="H342" s="183"/>
      <c r="I342" s="183"/>
      <c r="J342" s="183"/>
      <c r="K342" s="183"/>
      <c r="L342" s="205">
        <f>61008+900</f>
        <v>61908</v>
      </c>
      <c r="M342" s="205">
        <v>95804</v>
      </c>
      <c r="N342" s="160">
        <v>0</v>
      </c>
      <c r="O342" s="160">
        <v>0</v>
      </c>
      <c r="P342" s="159">
        <v>0</v>
      </c>
      <c r="Q342" s="159">
        <v>0</v>
      </c>
      <c r="R342" s="159">
        <v>0</v>
      </c>
      <c r="S342" s="159">
        <v>0</v>
      </c>
      <c r="T342" s="159">
        <v>0</v>
      </c>
    </row>
    <row r="343" spans="1:21" ht="24" customHeight="1">
      <c r="A343" s="247" t="s">
        <v>804</v>
      </c>
      <c r="B343" s="248"/>
      <c r="C343" s="248"/>
      <c r="D343" s="247" t="s">
        <v>805</v>
      </c>
      <c r="E343" s="248"/>
      <c r="F343" s="183"/>
      <c r="G343" s="183"/>
      <c r="H343" s="183"/>
      <c r="I343" s="183"/>
      <c r="J343" s="183"/>
      <c r="K343" s="183"/>
      <c r="L343" s="205">
        <v>9645</v>
      </c>
      <c r="M343" s="205">
        <v>92125</v>
      </c>
      <c r="N343" s="160">
        <v>18000</v>
      </c>
      <c r="O343" s="160">
        <v>30000</v>
      </c>
      <c r="P343" s="159">
        <v>47180</v>
      </c>
      <c r="Q343" s="159">
        <v>47180</v>
      </c>
      <c r="R343" s="159">
        <v>47180</v>
      </c>
      <c r="S343" s="159">
        <v>47180</v>
      </c>
      <c r="T343" s="159">
        <v>47180</v>
      </c>
    </row>
    <row r="344" spans="1:21" ht="24" customHeight="1">
      <c r="A344" s="247" t="s">
        <v>261</v>
      </c>
      <c r="B344" s="183"/>
      <c r="C344" s="183"/>
      <c r="D344" s="247" t="s">
        <v>262</v>
      </c>
      <c r="E344" s="183"/>
      <c r="F344" s="183"/>
      <c r="G344" s="183"/>
      <c r="H344" s="183"/>
      <c r="I344" s="183"/>
      <c r="J344" s="183"/>
      <c r="K344" s="183"/>
      <c r="L344" s="205">
        <v>88000</v>
      </c>
      <c r="M344" s="205">
        <v>114000</v>
      </c>
      <c r="N344" s="160">
        <v>70000</v>
      </c>
      <c r="O344" s="160">
        <v>280000</v>
      </c>
      <c r="P344" s="159">
        <v>100000</v>
      </c>
      <c r="Q344" s="159">
        <v>100000</v>
      </c>
      <c r="R344" s="159">
        <v>100000</v>
      </c>
      <c r="S344" s="159">
        <v>100000</v>
      </c>
      <c r="T344" s="159">
        <v>100000</v>
      </c>
    </row>
    <row r="345" spans="1:21" ht="24" customHeight="1">
      <c r="A345" s="247" t="s">
        <v>880</v>
      </c>
      <c r="B345" s="183"/>
      <c r="C345" s="183"/>
      <c r="D345" s="247" t="s">
        <v>881</v>
      </c>
      <c r="E345" s="183"/>
      <c r="F345" s="183"/>
      <c r="G345" s="183"/>
      <c r="H345" s="183"/>
      <c r="I345" s="183"/>
      <c r="J345" s="183"/>
      <c r="K345" s="183"/>
      <c r="L345" s="205">
        <v>718872</v>
      </c>
      <c r="M345" s="205">
        <v>731535</v>
      </c>
      <c r="N345" s="191">
        <v>730000</v>
      </c>
      <c r="O345" s="191">
        <v>746500</v>
      </c>
      <c r="P345" s="190">
        <v>746500</v>
      </c>
      <c r="Q345" s="190">
        <v>750000</v>
      </c>
      <c r="R345" s="190">
        <v>755000</v>
      </c>
      <c r="S345" s="190">
        <v>755000</v>
      </c>
      <c r="T345" s="190">
        <v>760000</v>
      </c>
    </row>
    <row r="346" spans="1:21" ht="24" customHeight="1">
      <c r="A346" s="247" t="s">
        <v>263</v>
      </c>
      <c r="B346" s="248"/>
      <c r="C346" s="248"/>
      <c r="D346" s="489" t="s">
        <v>6</v>
      </c>
      <c r="E346" s="489"/>
      <c r="F346" s="489"/>
      <c r="G346" s="489"/>
      <c r="H346" s="489"/>
      <c r="I346" s="489"/>
      <c r="J346" s="489"/>
      <c r="K346" s="489"/>
      <c r="L346" s="193">
        <v>3703</v>
      </c>
      <c r="M346" s="193">
        <v>10271</v>
      </c>
      <c r="N346" s="148">
        <v>1000</v>
      </c>
      <c r="O346" s="148">
        <v>37500</v>
      </c>
      <c r="P346" s="145">
        <v>7500</v>
      </c>
      <c r="Q346" s="145">
        <v>5000</v>
      </c>
      <c r="R346" s="145">
        <v>5000</v>
      </c>
      <c r="S346" s="145">
        <v>5000</v>
      </c>
      <c r="T346" s="145">
        <v>5000</v>
      </c>
      <c r="U346" s="350"/>
    </row>
    <row r="347" spans="1:21" ht="24" customHeight="1">
      <c r="A347" s="247" t="s">
        <v>1310</v>
      </c>
      <c r="B347" s="248"/>
      <c r="C347" s="248"/>
      <c r="D347" s="248" t="s">
        <v>1308</v>
      </c>
      <c r="E347" s="248"/>
      <c r="F347" s="248"/>
      <c r="G347" s="248"/>
      <c r="H347" s="248"/>
      <c r="I347" s="248"/>
      <c r="J347" s="248"/>
      <c r="K347" s="248"/>
      <c r="L347" s="193">
        <v>0</v>
      </c>
      <c r="M347" s="193">
        <v>10762</v>
      </c>
      <c r="N347" s="148">
        <v>0</v>
      </c>
      <c r="O347" s="148">
        <v>0</v>
      </c>
      <c r="P347" s="145">
        <v>0</v>
      </c>
      <c r="Q347" s="145">
        <v>0</v>
      </c>
      <c r="R347" s="145">
        <v>0</v>
      </c>
      <c r="S347" s="145">
        <v>0</v>
      </c>
      <c r="T347" s="145">
        <v>0</v>
      </c>
    </row>
    <row r="348" spans="1:21" ht="24" customHeight="1">
      <c r="A348" s="247" t="s">
        <v>1123</v>
      </c>
      <c r="B348" s="248"/>
      <c r="C348" s="248"/>
      <c r="D348" s="248" t="s">
        <v>1124</v>
      </c>
      <c r="E348" s="248"/>
      <c r="F348" s="248"/>
      <c r="G348" s="248"/>
      <c r="H348" s="248"/>
      <c r="I348" s="248"/>
      <c r="J348" s="248"/>
      <c r="K348" s="248"/>
      <c r="L348" s="193">
        <v>131574</v>
      </c>
      <c r="M348" s="193">
        <v>7797</v>
      </c>
      <c r="N348" s="148">
        <v>7549</v>
      </c>
      <c r="O348" s="148">
        <v>7549</v>
      </c>
      <c r="P348" s="145">
        <v>7549</v>
      </c>
      <c r="Q348" s="145">
        <v>7549</v>
      </c>
      <c r="R348" s="145">
        <v>0</v>
      </c>
      <c r="S348" s="145">
        <v>0</v>
      </c>
      <c r="T348" s="145">
        <v>0</v>
      </c>
    </row>
    <row r="349" spans="1:21" ht="24" customHeight="1">
      <c r="A349" s="247" t="s">
        <v>1196</v>
      </c>
      <c r="B349" s="248"/>
      <c r="C349" s="248"/>
      <c r="D349" s="1" t="s">
        <v>1197</v>
      </c>
      <c r="E349" s="248"/>
      <c r="F349" s="248"/>
      <c r="G349" s="248"/>
      <c r="H349" s="248"/>
      <c r="I349" s="248"/>
      <c r="J349" s="248"/>
      <c r="K349" s="248"/>
      <c r="L349" s="193">
        <v>0</v>
      </c>
      <c r="M349" s="193">
        <v>160000</v>
      </c>
      <c r="N349" s="148">
        <v>0</v>
      </c>
      <c r="O349" s="148">
        <v>0</v>
      </c>
      <c r="P349" s="145">
        <v>0</v>
      </c>
      <c r="Q349" s="145">
        <v>0</v>
      </c>
      <c r="R349" s="145">
        <v>0</v>
      </c>
      <c r="S349" s="145">
        <v>0</v>
      </c>
      <c r="T349" s="145">
        <v>0</v>
      </c>
    </row>
    <row r="350" spans="1:21" ht="24" customHeight="1">
      <c r="A350" s="411" t="s">
        <v>1353</v>
      </c>
      <c r="B350" s="410"/>
      <c r="C350" s="410"/>
      <c r="D350" s="1" t="s">
        <v>1354</v>
      </c>
      <c r="E350" s="410"/>
      <c r="F350" s="410"/>
      <c r="G350" s="410"/>
      <c r="H350" s="410"/>
      <c r="I350" s="410"/>
      <c r="J350" s="410"/>
      <c r="K350" s="410"/>
      <c r="L350" s="193">
        <v>0</v>
      </c>
      <c r="M350" s="193">
        <v>0</v>
      </c>
      <c r="N350" s="148">
        <v>0</v>
      </c>
      <c r="O350" s="148">
        <v>215000</v>
      </c>
      <c r="P350" s="145">
        <v>2926300</v>
      </c>
      <c r="Q350" s="145">
        <v>0</v>
      </c>
      <c r="R350" s="145">
        <v>0</v>
      </c>
      <c r="S350" s="145">
        <v>0</v>
      </c>
      <c r="T350" s="145">
        <v>0</v>
      </c>
    </row>
    <row r="351" spans="1:21" ht="24" customHeight="1">
      <c r="A351" s="247" t="s">
        <v>1266</v>
      </c>
      <c r="B351" s="248"/>
      <c r="C351" s="248"/>
      <c r="D351" s="1" t="s">
        <v>1267</v>
      </c>
      <c r="E351" s="248"/>
      <c r="F351" s="248"/>
      <c r="G351" s="248"/>
      <c r="H351" s="248"/>
      <c r="I351" s="248"/>
      <c r="J351" s="248"/>
      <c r="K351" s="248"/>
      <c r="L351" s="193">
        <v>0</v>
      </c>
      <c r="M351" s="193">
        <v>0</v>
      </c>
      <c r="N351" s="148">
        <v>0</v>
      </c>
      <c r="O351" s="148">
        <v>0</v>
      </c>
      <c r="P351" s="145">
        <v>0</v>
      </c>
      <c r="Q351" s="145">
        <v>0</v>
      </c>
      <c r="R351" s="145">
        <v>0</v>
      </c>
      <c r="S351" s="145">
        <v>0</v>
      </c>
      <c r="T351" s="145">
        <v>171600</v>
      </c>
    </row>
    <row r="352" spans="1:21" ht="24" customHeight="1">
      <c r="A352" s="247" t="s">
        <v>1279</v>
      </c>
      <c r="B352" s="248"/>
      <c r="C352" s="248"/>
      <c r="D352" s="248" t="s">
        <v>1280</v>
      </c>
      <c r="E352" s="248"/>
      <c r="F352" s="248"/>
      <c r="G352" s="248"/>
      <c r="H352" s="248"/>
      <c r="I352" s="248"/>
      <c r="J352" s="248"/>
      <c r="K352" s="248"/>
      <c r="L352" s="193">
        <v>0</v>
      </c>
      <c r="M352" s="193">
        <v>19346</v>
      </c>
      <c r="N352" s="148">
        <v>256528</v>
      </c>
      <c r="O352" s="148">
        <v>256528</v>
      </c>
      <c r="P352" s="145">
        <v>0</v>
      </c>
      <c r="Q352" s="145">
        <v>0</v>
      </c>
      <c r="R352" s="145">
        <v>0</v>
      </c>
      <c r="S352" s="145">
        <v>0</v>
      </c>
      <c r="T352" s="145">
        <v>0</v>
      </c>
    </row>
    <row r="353" spans="1:21" ht="24" customHeight="1">
      <c r="A353" s="247" t="s">
        <v>1297</v>
      </c>
      <c r="B353" s="248"/>
      <c r="C353" s="248"/>
      <c r="D353" s="248" t="s">
        <v>1298</v>
      </c>
      <c r="E353" s="248"/>
      <c r="F353" s="248"/>
      <c r="G353" s="248"/>
      <c r="H353" s="248"/>
      <c r="I353" s="248"/>
      <c r="J353" s="248"/>
      <c r="K353" s="248"/>
      <c r="L353" s="193">
        <v>0</v>
      </c>
      <c r="M353" s="193">
        <v>2762</v>
      </c>
      <c r="N353" s="148">
        <v>800000</v>
      </c>
      <c r="O353" s="148">
        <v>797238</v>
      </c>
      <c r="P353" s="145">
        <v>0</v>
      </c>
      <c r="Q353" s="145">
        <v>0</v>
      </c>
      <c r="R353" s="145">
        <v>0</v>
      </c>
      <c r="S353" s="145">
        <v>0</v>
      </c>
      <c r="T353" s="145">
        <v>0</v>
      </c>
    </row>
    <row r="354" spans="1:21" ht="24" customHeight="1">
      <c r="A354" s="247" t="s">
        <v>1134</v>
      </c>
      <c r="B354" s="248"/>
      <c r="C354" s="248"/>
      <c r="D354" s="248" t="s">
        <v>1135</v>
      </c>
      <c r="E354" s="248"/>
      <c r="F354" s="248"/>
      <c r="G354" s="248"/>
      <c r="H354" s="248"/>
      <c r="I354" s="248"/>
      <c r="J354" s="248"/>
      <c r="K354" s="248"/>
      <c r="L354" s="193">
        <v>63404</v>
      </c>
      <c r="M354" s="193">
        <v>0</v>
      </c>
      <c r="N354" s="148">
        <v>0</v>
      </c>
      <c r="O354" s="148">
        <v>0</v>
      </c>
      <c r="P354" s="145">
        <v>0</v>
      </c>
      <c r="Q354" s="145">
        <v>0</v>
      </c>
      <c r="R354" s="145">
        <v>0</v>
      </c>
      <c r="S354" s="145">
        <v>0</v>
      </c>
      <c r="T354" s="145">
        <v>0</v>
      </c>
    </row>
    <row r="355" spans="1:21" ht="24" customHeight="1">
      <c r="A355" s="247" t="s">
        <v>925</v>
      </c>
      <c r="B355" s="248"/>
      <c r="C355" s="248"/>
      <c r="D355" s="248" t="s">
        <v>926</v>
      </c>
      <c r="E355" s="248"/>
      <c r="F355" s="248"/>
      <c r="G355" s="248"/>
      <c r="H355" s="248"/>
      <c r="I355" s="248"/>
      <c r="J355" s="248"/>
      <c r="K355" s="248"/>
      <c r="L355" s="193">
        <v>1413</v>
      </c>
      <c r="M355" s="193">
        <v>182033</v>
      </c>
      <c r="N355" s="148">
        <v>29000</v>
      </c>
      <c r="O355" s="148">
        <v>17967</v>
      </c>
      <c r="P355" s="145">
        <v>0</v>
      </c>
      <c r="Q355" s="145">
        <v>0</v>
      </c>
      <c r="R355" s="145">
        <v>0</v>
      </c>
      <c r="S355" s="145">
        <v>0</v>
      </c>
      <c r="T355" s="145">
        <v>0</v>
      </c>
    </row>
    <row r="356" spans="1:21" ht="24" customHeight="1">
      <c r="A356" s="435" t="s">
        <v>1037</v>
      </c>
      <c r="B356" s="434"/>
      <c r="C356" s="434"/>
      <c r="D356" s="434" t="s">
        <v>1038</v>
      </c>
      <c r="E356" s="434"/>
      <c r="F356" s="434"/>
      <c r="G356" s="434"/>
      <c r="H356" s="434"/>
      <c r="I356" s="434"/>
      <c r="J356" s="434"/>
      <c r="K356" s="434"/>
      <c r="L356" s="193">
        <v>3460</v>
      </c>
      <c r="M356" s="193">
        <v>1830</v>
      </c>
      <c r="N356" s="148">
        <v>16000</v>
      </c>
      <c r="O356" s="148">
        <v>1600</v>
      </c>
      <c r="P356" s="145">
        <v>80000</v>
      </c>
      <c r="Q356" s="145">
        <v>0</v>
      </c>
      <c r="R356" s="145">
        <v>0</v>
      </c>
      <c r="S356" s="145">
        <v>0</v>
      </c>
      <c r="T356" s="145">
        <v>0</v>
      </c>
    </row>
    <row r="357" spans="1:21" ht="24" customHeight="1">
      <c r="A357" s="247" t="s">
        <v>1265</v>
      </c>
      <c r="B357" s="183"/>
      <c r="C357" s="183"/>
      <c r="D357" s="247" t="s">
        <v>207</v>
      </c>
      <c r="E357" s="183"/>
      <c r="F357" s="183"/>
      <c r="G357" s="248"/>
      <c r="H357" s="248"/>
      <c r="I357" s="248"/>
      <c r="J357" s="248"/>
      <c r="K357" s="248"/>
      <c r="L357" s="193">
        <v>0</v>
      </c>
      <c r="M357" s="193">
        <v>0</v>
      </c>
      <c r="N357" s="148">
        <v>2000</v>
      </c>
      <c r="O357" s="148">
        <v>0</v>
      </c>
      <c r="P357" s="145">
        <v>2000</v>
      </c>
      <c r="Q357" s="145">
        <v>2000</v>
      </c>
      <c r="R357" s="145">
        <v>2000</v>
      </c>
      <c r="S357" s="145">
        <v>2000</v>
      </c>
      <c r="T357" s="145">
        <v>2000</v>
      </c>
    </row>
    <row r="358" spans="1:21" ht="24" customHeight="1">
      <c r="A358" s="247" t="s">
        <v>1150</v>
      </c>
      <c r="B358" s="183"/>
      <c r="C358" s="183"/>
      <c r="D358" s="247" t="s">
        <v>930</v>
      </c>
      <c r="E358" s="183"/>
      <c r="F358" s="183"/>
      <c r="G358" s="183"/>
      <c r="H358" s="183"/>
      <c r="I358" s="183"/>
      <c r="J358" s="183"/>
      <c r="K358" s="183"/>
      <c r="L358" s="193">
        <v>1900</v>
      </c>
      <c r="M358" s="193">
        <v>0</v>
      </c>
      <c r="N358" s="148">
        <v>0</v>
      </c>
      <c r="O358" s="148">
        <v>0</v>
      </c>
      <c r="P358" s="145">
        <v>0</v>
      </c>
      <c r="Q358" s="145">
        <v>0</v>
      </c>
      <c r="R358" s="145">
        <v>0</v>
      </c>
      <c r="S358" s="145">
        <v>0</v>
      </c>
      <c r="T358" s="145">
        <v>0</v>
      </c>
    </row>
    <row r="359" spans="1:21" ht="24" customHeight="1">
      <c r="A359" s="247" t="s">
        <v>1024</v>
      </c>
      <c r="B359" s="183"/>
      <c r="C359" s="183"/>
      <c r="D359" s="247" t="s">
        <v>1309</v>
      </c>
      <c r="E359" s="183"/>
      <c r="F359" s="183"/>
      <c r="G359" s="183"/>
      <c r="H359" s="183"/>
      <c r="I359" s="183"/>
      <c r="J359" s="183"/>
      <c r="K359" s="183"/>
      <c r="L359" s="194">
        <v>71602</v>
      </c>
      <c r="M359" s="194">
        <v>0</v>
      </c>
      <c r="N359" s="148">
        <v>569725</v>
      </c>
      <c r="O359" s="148">
        <v>569725</v>
      </c>
      <c r="P359" s="145">
        <v>0</v>
      </c>
      <c r="Q359" s="145">
        <v>95756</v>
      </c>
      <c r="R359" s="145">
        <v>0</v>
      </c>
      <c r="S359" s="145">
        <v>0</v>
      </c>
      <c r="T359" s="145">
        <v>0</v>
      </c>
    </row>
    <row r="360" spans="1:21" ht="24" customHeight="1">
      <c r="A360" s="247" t="s">
        <v>1154</v>
      </c>
      <c r="B360" s="183"/>
      <c r="C360" s="183"/>
      <c r="D360" s="247" t="s">
        <v>1155</v>
      </c>
      <c r="E360" s="183"/>
      <c r="F360" s="183"/>
      <c r="G360" s="183"/>
      <c r="H360" s="183"/>
      <c r="I360" s="183"/>
      <c r="J360" s="183"/>
      <c r="K360" s="183"/>
      <c r="L360" s="198">
        <v>0</v>
      </c>
      <c r="M360" s="198">
        <v>1018308</v>
      </c>
      <c r="N360" s="153">
        <v>0</v>
      </c>
      <c r="O360" s="153">
        <v>0</v>
      </c>
      <c r="P360" s="152">
        <v>0</v>
      </c>
      <c r="Q360" s="152">
        <v>0</v>
      </c>
      <c r="R360" s="152">
        <v>0</v>
      </c>
      <c r="S360" s="152">
        <v>0</v>
      </c>
      <c r="T360" s="152">
        <v>0</v>
      </c>
    </row>
    <row r="361" spans="1:21" ht="15" customHeight="1">
      <c r="A361" s="183"/>
      <c r="B361" s="183"/>
      <c r="C361" s="183"/>
      <c r="D361" s="183"/>
      <c r="E361" s="183"/>
      <c r="F361" s="183"/>
      <c r="G361" s="183"/>
      <c r="H361" s="183"/>
      <c r="I361" s="183"/>
      <c r="J361" s="183"/>
      <c r="K361" s="183"/>
      <c r="L361" s="199"/>
      <c r="M361" s="199"/>
      <c r="N361" s="155"/>
      <c r="O361" s="155"/>
      <c r="P361" s="154"/>
      <c r="Q361" s="154"/>
      <c r="R361" s="154"/>
      <c r="S361" s="154"/>
      <c r="T361" s="154"/>
    </row>
    <row r="362" spans="1:21" s="183" customFormat="1" ht="24" customHeight="1">
      <c r="K362" s="251" t="s">
        <v>454</v>
      </c>
      <c r="L362" s="201">
        <f t="shared" ref="L362:T362" si="23">SUM(L336:L361)</f>
        <v>1726285</v>
      </c>
      <c r="M362" s="201">
        <f t="shared" si="23"/>
        <v>2799288</v>
      </c>
      <c r="N362" s="202">
        <f t="shared" si="23"/>
        <v>2503302</v>
      </c>
      <c r="O362" s="202">
        <f t="shared" si="23"/>
        <v>3022486</v>
      </c>
      <c r="P362" s="201">
        <f t="shared" si="23"/>
        <v>3922029</v>
      </c>
      <c r="Q362" s="201">
        <f t="shared" si="23"/>
        <v>1012485</v>
      </c>
      <c r="R362" s="201">
        <f t="shared" si="23"/>
        <v>914180</v>
      </c>
      <c r="S362" s="201">
        <f t="shared" si="23"/>
        <v>914180</v>
      </c>
      <c r="T362" s="201">
        <f t="shared" si="23"/>
        <v>1090780</v>
      </c>
      <c r="U362" s="64"/>
    </row>
    <row r="363" spans="1:21" ht="15" customHeight="1">
      <c r="A363" s="183"/>
      <c r="B363" s="183"/>
      <c r="C363" s="183"/>
      <c r="D363" s="183"/>
      <c r="E363" s="183"/>
      <c r="F363" s="183"/>
      <c r="G363" s="183"/>
      <c r="H363" s="183"/>
      <c r="I363" s="183"/>
      <c r="J363" s="183"/>
      <c r="K363" s="183"/>
      <c r="L363" s="199"/>
      <c r="M363" s="199"/>
      <c r="N363" s="155"/>
      <c r="O363" s="155"/>
      <c r="P363" s="154"/>
      <c r="Q363" s="154"/>
      <c r="R363" s="154"/>
      <c r="S363" s="154"/>
      <c r="T363" s="154"/>
    </row>
    <row r="364" spans="1:21" ht="24" customHeight="1">
      <c r="A364" s="251" t="s">
        <v>1034</v>
      </c>
      <c r="B364" s="183"/>
      <c r="C364" s="183"/>
      <c r="D364" s="183"/>
      <c r="E364" s="183"/>
      <c r="F364" s="183"/>
      <c r="G364" s="183"/>
      <c r="H364" s="183"/>
      <c r="I364" s="183"/>
      <c r="J364" s="183"/>
      <c r="K364" s="183"/>
      <c r="L364" s="199"/>
      <c r="M364" s="199"/>
      <c r="N364" s="155"/>
      <c r="O364" s="155"/>
      <c r="P364" s="154"/>
      <c r="Q364" s="154"/>
      <c r="R364" s="154"/>
      <c r="S364" s="154"/>
      <c r="T364" s="154"/>
    </row>
    <row r="365" spans="1:21" ht="24" customHeight="1">
      <c r="A365" s="183" t="s">
        <v>962</v>
      </c>
      <c r="B365" s="183"/>
      <c r="C365" s="183"/>
      <c r="D365" s="247" t="s">
        <v>756</v>
      </c>
      <c r="E365" s="248"/>
      <c r="F365" s="248"/>
      <c r="G365" s="183"/>
      <c r="H365" s="183"/>
      <c r="I365" s="183"/>
      <c r="J365" s="183"/>
      <c r="K365" s="183"/>
      <c r="L365" s="199">
        <v>4850</v>
      </c>
      <c r="M365" s="199">
        <v>9956</v>
      </c>
      <c r="N365" s="155">
        <v>0</v>
      </c>
      <c r="O365" s="155">
        <v>0</v>
      </c>
      <c r="P365" s="154">
        <v>0</v>
      </c>
      <c r="Q365" s="154">
        <v>0</v>
      </c>
      <c r="R365" s="154">
        <v>0</v>
      </c>
      <c r="S365" s="154">
        <v>0</v>
      </c>
      <c r="T365" s="154">
        <v>0</v>
      </c>
    </row>
    <row r="366" spans="1:21" ht="24" customHeight="1">
      <c r="A366" s="247" t="s">
        <v>935</v>
      </c>
      <c r="B366" s="183"/>
      <c r="C366" s="183"/>
      <c r="D366" s="247" t="s">
        <v>608</v>
      </c>
      <c r="E366" s="183"/>
      <c r="F366" s="183"/>
      <c r="G366" s="183"/>
      <c r="H366" s="183"/>
      <c r="I366" s="183"/>
      <c r="J366" s="183"/>
      <c r="K366" s="183"/>
      <c r="L366" s="190">
        <v>43755</v>
      </c>
      <c r="M366" s="190">
        <v>193257</v>
      </c>
      <c r="N366" s="141">
        <v>150000</v>
      </c>
      <c r="O366" s="141">
        <v>75000</v>
      </c>
      <c r="P366" s="140">
        <v>225000</v>
      </c>
      <c r="Q366" s="140">
        <v>75000</v>
      </c>
      <c r="R366" s="140">
        <v>75000</v>
      </c>
      <c r="S366" s="140">
        <v>75000</v>
      </c>
      <c r="T366" s="140">
        <v>75000</v>
      </c>
    </row>
    <row r="367" spans="1:21" ht="24" customHeight="1">
      <c r="A367" s="247" t="s">
        <v>1282</v>
      </c>
      <c r="B367" s="248"/>
      <c r="C367" s="248"/>
      <c r="D367" s="247" t="s">
        <v>974</v>
      </c>
      <c r="E367" s="248"/>
      <c r="F367" s="248"/>
      <c r="G367" s="250"/>
      <c r="H367" s="250"/>
      <c r="I367" s="250"/>
      <c r="J367" s="250"/>
      <c r="K367" s="250"/>
      <c r="L367" s="192">
        <v>0</v>
      </c>
      <c r="M367" s="192">
        <v>0</v>
      </c>
      <c r="N367" s="144">
        <v>0</v>
      </c>
      <c r="O367" s="144">
        <v>0</v>
      </c>
      <c r="P367" s="143">
        <v>102820</v>
      </c>
      <c r="Q367" s="143">
        <v>108989</v>
      </c>
      <c r="R367" s="143">
        <v>115528</v>
      </c>
      <c r="S367" s="143">
        <v>122460</v>
      </c>
      <c r="T367" s="143">
        <v>129808</v>
      </c>
    </row>
    <row r="368" spans="1:21" ht="24" customHeight="1">
      <c r="A368" s="247" t="s">
        <v>1289</v>
      </c>
      <c r="B368" s="183"/>
      <c r="C368" s="183"/>
      <c r="D368" s="247" t="s">
        <v>158</v>
      </c>
      <c r="E368" s="183"/>
      <c r="F368" s="183"/>
      <c r="G368" s="183"/>
      <c r="H368" s="183"/>
      <c r="I368" s="183"/>
      <c r="J368" s="183"/>
      <c r="K368" s="183"/>
      <c r="L368" s="190">
        <v>0</v>
      </c>
      <c r="M368" s="190">
        <v>0</v>
      </c>
      <c r="N368" s="141">
        <v>2000</v>
      </c>
      <c r="O368" s="141">
        <v>0</v>
      </c>
      <c r="P368" s="140">
        <v>2000</v>
      </c>
      <c r="Q368" s="140">
        <v>2000</v>
      </c>
      <c r="R368" s="140">
        <v>2000</v>
      </c>
      <c r="S368" s="140">
        <v>2000</v>
      </c>
      <c r="T368" s="140">
        <v>2000</v>
      </c>
    </row>
    <row r="369" spans="1:21" ht="24" customHeight="1">
      <c r="A369" s="247" t="s">
        <v>1283</v>
      </c>
      <c r="B369" s="248"/>
      <c r="C369" s="248"/>
      <c r="D369" s="247" t="s">
        <v>249</v>
      </c>
      <c r="E369" s="248"/>
      <c r="F369" s="248"/>
      <c r="G369" s="248"/>
      <c r="H369" s="248"/>
      <c r="I369" s="248"/>
      <c r="J369" s="248"/>
      <c r="K369" s="248"/>
      <c r="L369" s="193">
        <v>0</v>
      </c>
      <c r="M369" s="193">
        <v>0</v>
      </c>
      <c r="N369" s="148">
        <v>0</v>
      </c>
      <c r="O369" s="148">
        <v>0</v>
      </c>
      <c r="P369" s="145">
        <v>15000</v>
      </c>
      <c r="Q369" s="145">
        <v>15000</v>
      </c>
      <c r="R369" s="145">
        <v>15000</v>
      </c>
      <c r="S369" s="145">
        <v>15000</v>
      </c>
      <c r="T369" s="145">
        <v>15000</v>
      </c>
    </row>
    <row r="370" spans="1:21" ht="24" customHeight="1">
      <c r="A370" s="247" t="s">
        <v>936</v>
      </c>
      <c r="B370" s="183"/>
      <c r="C370" s="183"/>
      <c r="D370" s="247" t="s">
        <v>609</v>
      </c>
      <c r="E370" s="183"/>
      <c r="F370" s="183"/>
      <c r="G370" s="183"/>
      <c r="H370" s="183"/>
      <c r="I370" s="183"/>
      <c r="J370" s="183"/>
      <c r="K370" s="183"/>
      <c r="L370" s="190">
        <v>27847</v>
      </c>
      <c r="M370" s="190">
        <v>17997</v>
      </c>
      <c r="N370" s="144">
        <v>25000</v>
      </c>
      <c r="O370" s="144">
        <v>50000</v>
      </c>
      <c r="P370" s="143">
        <v>25000</v>
      </c>
      <c r="Q370" s="143">
        <v>25000</v>
      </c>
      <c r="R370" s="143">
        <v>25000</v>
      </c>
      <c r="S370" s="143">
        <v>25000</v>
      </c>
      <c r="T370" s="143">
        <v>25000</v>
      </c>
    </row>
    <row r="371" spans="1:21" ht="24" customHeight="1">
      <c r="A371" s="247" t="s">
        <v>1337</v>
      </c>
      <c r="B371" s="183"/>
      <c r="C371" s="183"/>
      <c r="D371" s="247" t="s">
        <v>1338</v>
      </c>
      <c r="E371" s="183"/>
      <c r="F371" s="183"/>
      <c r="G371" s="183"/>
      <c r="H371" s="183"/>
      <c r="I371" s="183"/>
      <c r="J371" s="183"/>
      <c r="K371" s="183"/>
      <c r="L371" s="190">
        <v>0</v>
      </c>
      <c r="M371" s="190">
        <v>0</v>
      </c>
      <c r="N371" s="148">
        <v>319725</v>
      </c>
      <c r="O371" s="148">
        <v>320386</v>
      </c>
      <c r="P371" s="145">
        <v>0</v>
      </c>
      <c r="Q371" s="145">
        <v>0</v>
      </c>
      <c r="R371" s="145">
        <v>0</v>
      </c>
      <c r="S371" s="145">
        <v>0</v>
      </c>
      <c r="T371" s="145">
        <v>0</v>
      </c>
    </row>
    <row r="372" spans="1:21" ht="24" customHeight="1">
      <c r="A372" s="247" t="s">
        <v>1226</v>
      </c>
      <c r="B372" s="183"/>
      <c r="C372" s="183"/>
      <c r="D372" s="247" t="s">
        <v>1163</v>
      </c>
      <c r="E372" s="183"/>
      <c r="F372" s="183"/>
      <c r="G372" s="183"/>
      <c r="H372" s="183"/>
      <c r="I372" s="183"/>
      <c r="J372" s="183"/>
      <c r="K372" s="183"/>
      <c r="L372" s="190">
        <v>0</v>
      </c>
      <c r="M372" s="190">
        <v>0</v>
      </c>
      <c r="N372" s="148">
        <v>40000</v>
      </c>
      <c r="O372" s="148">
        <v>13750</v>
      </c>
      <c r="P372" s="145">
        <v>41250</v>
      </c>
      <c r="Q372" s="145">
        <v>0</v>
      </c>
      <c r="R372" s="145">
        <v>0</v>
      </c>
      <c r="S372" s="145">
        <v>0</v>
      </c>
      <c r="T372" s="145">
        <v>0</v>
      </c>
    </row>
    <row r="373" spans="1:21" ht="24" customHeight="1">
      <c r="A373" s="248" t="s">
        <v>878</v>
      </c>
      <c r="B373" s="250"/>
      <c r="C373" s="250"/>
      <c r="D373" s="247" t="s">
        <v>324</v>
      </c>
      <c r="E373" s="250"/>
      <c r="F373" s="250"/>
      <c r="G373" s="250"/>
      <c r="H373" s="250"/>
      <c r="I373" s="250"/>
      <c r="J373" s="250"/>
      <c r="K373" s="250"/>
      <c r="L373" s="223">
        <v>9645</v>
      </c>
      <c r="M373" s="223">
        <v>92125</v>
      </c>
      <c r="N373" s="176">
        <v>18000</v>
      </c>
      <c r="O373" s="176">
        <v>30000</v>
      </c>
      <c r="P373" s="377">
        <v>47180</v>
      </c>
      <c r="Q373" s="377">
        <v>47180</v>
      </c>
      <c r="R373" s="377">
        <v>47180</v>
      </c>
      <c r="S373" s="377">
        <v>47180</v>
      </c>
      <c r="T373" s="377">
        <v>47180</v>
      </c>
    </row>
    <row r="374" spans="1:21" s="183" customFormat="1" ht="24" customHeight="1">
      <c r="A374" s="261"/>
      <c r="L374" s="201">
        <f>SUM(L365:L373)</f>
        <v>86097</v>
      </c>
      <c r="M374" s="201">
        <f t="shared" ref="M374:T374" si="24">SUM(M365:M373)</f>
        <v>313335</v>
      </c>
      <c r="N374" s="202">
        <f t="shared" si="24"/>
        <v>554725</v>
      </c>
      <c r="O374" s="202">
        <f t="shared" si="24"/>
        <v>489136</v>
      </c>
      <c r="P374" s="201">
        <f t="shared" si="24"/>
        <v>458250</v>
      </c>
      <c r="Q374" s="201">
        <f t="shared" si="24"/>
        <v>273169</v>
      </c>
      <c r="R374" s="201">
        <f t="shared" si="24"/>
        <v>279708</v>
      </c>
      <c r="S374" s="201">
        <f>SUM(S365:S373)</f>
        <v>286640</v>
      </c>
      <c r="T374" s="201">
        <f t="shared" si="24"/>
        <v>293988</v>
      </c>
      <c r="U374" s="64"/>
    </row>
    <row r="375" spans="1:21" ht="15" customHeight="1">
      <c r="A375" s="261"/>
      <c r="B375" s="183"/>
      <c r="C375" s="183"/>
      <c r="D375" s="183"/>
      <c r="E375" s="183"/>
      <c r="F375" s="183"/>
      <c r="G375" s="183"/>
      <c r="H375" s="183"/>
      <c r="I375" s="183"/>
      <c r="J375" s="183"/>
      <c r="K375" s="183"/>
      <c r="L375" s="201"/>
      <c r="M375" s="201"/>
      <c r="N375" s="158"/>
      <c r="O375" s="158"/>
      <c r="P375" s="157"/>
      <c r="Q375" s="157"/>
      <c r="R375" s="157"/>
      <c r="S375" s="157"/>
      <c r="T375" s="157"/>
    </row>
    <row r="376" spans="1:21" ht="24" customHeight="1">
      <c r="A376" s="251" t="s">
        <v>828</v>
      </c>
      <c r="B376" s="183"/>
      <c r="C376" s="183"/>
      <c r="D376" s="183"/>
      <c r="E376" s="183"/>
      <c r="F376" s="183"/>
      <c r="G376" s="183"/>
      <c r="H376" s="183"/>
      <c r="I376" s="183"/>
      <c r="J376" s="183"/>
      <c r="K376" s="183"/>
      <c r="L376" s="199"/>
      <c r="M376" s="199"/>
      <c r="N376" s="155"/>
      <c r="O376" s="155"/>
      <c r="P376" s="154"/>
      <c r="Q376" s="154"/>
      <c r="R376" s="154"/>
      <c r="S376" s="154"/>
      <c r="T376" s="154"/>
    </row>
    <row r="377" spans="1:21" ht="24" customHeight="1">
      <c r="A377" s="183" t="s">
        <v>782</v>
      </c>
      <c r="B377" s="183"/>
      <c r="C377" s="183"/>
      <c r="D377" s="247" t="s">
        <v>756</v>
      </c>
      <c r="E377" s="248"/>
      <c r="F377" s="248"/>
      <c r="G377" s="248"/>
      <c r="H377" s="248"/>
      <c r="I377" s="250"/>
      <c r="J377" s="250"/>
      <c r="K377" s="250"/>
      <c r="L377" s="209">
        <f>56158+900</f>
        <v>57058</v>
      </c>
      <c r="M377" s="209">
        <v>85848</v>
      </c>
      <c r="N377" s="172">
        <v>0</v>
      </c>
      <c r="O377" s="172">
        <v>0</v>
      </c>
      <c r="P377" s="166">
        <v>0</v>
      </c>
      <c r="Q377" s="166"/>
      <c r="R377" s="166">
        <v>0</v>
      </c>
      <c r="S377" s="166">
        <v>0</v>
      </c>
      <c r="T377" s="166">
        <v>0</v>
      </c>
    </row>
    <row r="378" spans="1:21" ht="24" customHeight="1">
      <c r="A378" s="183" t="s">
        <v>1311</v>
      </c>
      <c r="B378" s="183"/>
      <c r="C378" s="183"/>
      <c r="D378" s="247" t="s">
        <v>10</v>
      </c>
      <c r="E378" s="248"/>
      <c r="F378" s="248"/>
      <c r="G378" s="248"/>
      <c r="H378" s="248"/>
      <c r="I378" s="250"/>
      <c r="J378" s="250"/>
      <c r="K378" s="250"/>
      <c r="L378" s="205">
        <v>8649</v>
      </c>
      <c r="M378" s="205">
        <v>5318</v>
      </c>
      <c r="N378" s="160">
        <v>5000</v>
      </c>
      <c r="O378" s="160">
        <v>5000</v>
      </c>
      <c r="P378" s="159">
        <v>5000</v>
      </c>
      <c r="Q378" s="159">
        <v>5000</v>
      </c>
      <c r="R378" s="159">
        <v>5000</v>
      </c>
      <c r="S378" s="159">
        <v>5000</v>
      </c>
      <c r="T378" s="159">
        <v>5000</v>
      </c>
    </row>
    <row r="379" spans="1:21" ht="24" customHeight="1">
      <c r="A379" s="247" t="s">
        <v>872</v>
      </c>
      <c r="B379" s="250"/>
      <c r="C379" s="250"/>
      <c r="D379" s="247" t="s">
        <v>236</v>
      </c>
      <c r="E379" s="250"/>
      <c r="F379" s="250"/>
      <c r="G379" s="250"/>
      <c r="H379" s="250"/>
      <c r="I379" s="250"/>
      <c r="J379" s="250"/>
      <c r="K379" s="250"/>
      <c r="L379" s="190">
        <v>0</v>
      </c>
      <c r="M379" s="190">
        <v>35063</v>
      </c>
      <c r="N379" s="171">
        <v>65000</v>
      </c>
      <c r="O379" s="171">
        <v>60000</v>
      </c>
      <c r="P379" s="170">
        <v>0</v>
      </c>
      <c r="Q379" s="170">
        <v>0</v>
      </c>
      <c r="R379" s="170">
        <v>0</v>
      </c>
      <c r="S379" s="170">
        <v>0</v>
      </c>
      <c r="T379" s="170">
        <v>0</v>
      </c>
    </row>
    <row r="380" spans="1:21" ht="24" customHeight="1">
      <c r="A380" s="247" t="s">
        <v>1268</v>
      </c>
      <c r="B380" s="250"/>
      <c r="C380" s="250"/>
      <c r="D380" s="247" t="s">
        <v>1269</v>
      </c>
      <c r="E380" s="250"/>
      <c r="F380" s="250"/>
      <c r="G380" s="250"/>
      <c r="H380" s="250"/>
      <c r="I380" s="250"/>
      <c r="J380" s="250"/>
      <c r="K380" s="250"/>
      <c r="L380" s="190">
        <v>0</v>
      </c>
      <c r="M380" s="190">
        <v>8054</v>
      </c>
      <c r="N380" s="171">
        <v>0</v>
      </c>
      <c r="O380" s="171">
        <v>1239</v>
      </c>
      <c r="P380" s="170">
        <v>0</v>
      </c>
      <c r="Q380" s="170">
        <v>0</v>
      </c>
      <c r="R380" s="170">
        <v>0</v>
      </c>
      <c r="S380" s="170">
        <v>0</v>
      </c>
      <c r="T380" s="170">
        <v>0</v>
      </c>
    </row>
    <row r="381" spans="1:21" ht="24" customHeight="1">
      <c r="A381" s="247" t="s">
        <v>1033</v>
      </c>
      <c r="B381" s="250"/>
      <c r="C381" s="250"/>
      <c r="D381" s="247" t="s">
        <v>270</v>
      </c>
      <c r="E381" s="250"/>
      <c r="F381" s="250"/>
      <c r="G381" s="250"/>
      <c r="H381" s="250"/>
      <c r="I381" s="250"/>
      <c r="J381" s="250"/>
      <c r="K381" s="250"/>
      <c r="L381" s="190">
        <v>475</v>
      </c>
      <c r="M381" s="190">
        <v>475</v>
      </c>
      <c r="N381" s="171">
        <v>475</v>
      </c>
      <c r="O381" s="171">
        <v>475</v>
      </c>
      <c r="P381" s="170">
        <v>475</v>
      </c>
      <c r="Q381" s="170">
        <v>475</v>
      </c>
      <c r="R381" s="170">
        <v>475</v>
      </c>
      <c r="S381" s="170">
        <v>475</v>
      </c>
      <c r="T381" s="170">
        <v>475</v>
      </c>
    </row>
    <row r="382" spans="1:21" ht="24" customHeight="1">
      <c r="A382" s="247" t="s">
        <v>1017</v>
      </c>
      <c r="B382" s="250"/>
      <c r="C382" s="250"/>
      <c r="D382" s="247" t="s">
        <v>18</v>
      </c>
      <c r="E382" s="250"/>
      <c r="F382" s="250"/>
      <c r="G382" s="250"/>
      <c r="H382" s="250"/>
      <c r="I382" s="250"/>
      <c r="J382" s="250"/>
      <c r="K382" s="250"/>
      <c r="L382" s="190">
        <v>1136</v>
      </c>
      <c r="M382" s="190">
        <v>1420</v>
      </c>
      <c r="N382" s="171">
        <v>1200</v>
      </c>
      <c r="O382" s="171">
        <v>1500</v>
      </c>
      <c r="P382" s="170">
        <v>1500</v>
      </c>
      <c r="Q382" s="170">
        <v>1500</v>
      </c>
      <c r="R382" s="170">
        <v>1500</v>
      </c>
      <c r="S382" s="170">
        <v>1500</v>
      </c>
      <c r="T382" s="170">
        <v>1500</v>
      </c>
    </row>
    <row r="383" spans="1:21" ht="24" customHeight="1">
      <c r="A383" s="247" t="s">
        <v>1281</v>
      </c>
      <c r="B383" s="248"/>
      <c r="C383" s="248"/>
      <c r="D383" s="247" t="s">
        <v>1264</v>
      </c>
      <c r="E383" s="248"/>
      <c r="F383" s="248"/>
      <c r="G383" s="248"/>
      <c r="H383" s="248"/>
      <c r="I383" s="248"/>
      <c r="J383" s="248"/>
      <c r="K383" s="248"/>
      <c r="L383" s="193">
        <v>0</v>
      </c>
      <c r="M383" s="193">
        <v>0</v>
      </c>
      <c r="N383" s="148">
        <v>0</v>
      </c>
      <c r="O383" s="148">
        <v>0</v>
      </c>
      <c r="P383" s="145">
        <v>35000</v>
      </c>
      <c r="Q383" s="145">
        <v>35000</v>
      </c>
      <c r="R383" s="145">
        <v>35000</v>
      </c>
      <c r="S383" s="145">
        <v>35000</v>
      </c>
      <c r="T383" s="145">
        <v>35000</v>
      </c>
    </row>
    <row r="384" spans="1:21" ht="24" customHeight="1">
      <c r="A384" s="248" t="s">
        <v>1320</v>
      </c>
      <c r="B384" s="250"/>
      <c r="C384" s="250"/>
      <c r="D384" s="247" t="s">
        <v>1319</v>
      </c>
      <c r="E384" s="250"/>
      <c r="F384" s="250"/>
      <c r="G384" s="250"/>
      <c r="H384" s="250"/>
      <c r="I384" s="250"/>
      <c r="J384" s="250"/>
      <c r="K384" s="250"/>
      <c r="L384" s="205">
        <v>806</v>
      </c>
      <c r="M384" s="205">
        <v>948</v>
      </c>
      <c r="N384" s="141">
        <v>5000</v>
      </c>
      <c r="O384" s="141">
        <v>20000</v>
      </c>
      <c r="P384" s="140">
        <v>5000</v>
      </c>
      <c r="Q384" s="140">
        <v>5000</v>
      </c>
      <c r="R384" s="140">
        <v>5000</v>
      </c>
      <c r="S384" s="140">
        <v>5000</v>
      </c>
      <c r="T384" s="140">
        <v>5000</v>
      </c>
    </row>
    <row r="385" spans="1:20" ht="24" customHeight="1">
      <c r="A385" s="247" t="s">
        <v>1083</v>
      </c>
      <c r="B385" s="248"/>
      <c r="C385" s="248"/>
      <c r="D385" s="1" t="s">
        <v>1080</v>
      </c>
      <c r="E385" s="248"/>
      <c r="F385" s="248"/>
      <c r="G385" s="248"/>
      <c r="H385" s="248"/>
      <c r="I385" s="248"/>
      <c r="J385" s="248"/>
      <c r="K385" s="248"/>
      <c r="L385" s="193">
        <v>454548</v>
      </c>
      <c r="M385" s="193">
        <v>0</v>
      </c>
      <c r="N385" s="148">
        <v>0</v>
      </c>
      <c r="O385" s="148">
        <v>32879</v>
      </c>
      <c r="P385" s="145">
        <v>0</v>
      </c>
      <c r="Q385" s="145">
        <v>0</v>
      </c>
      <c r="R385" s="145">
        <v>0</v>
      </c>
      <c r="S385" s="145">
        <v>0</v>
      </c>
      <c r="T385" s="145">
        <v>0</v>
      </c>
    </row>
    <row r="386" spans="1:20" ht="24" customHeight="1">
      <c r="A386" s="247" t="s">
        <v>1161</v>
      </c>
      <c r="B386" s="248"/>
      <c r="C386" s="248"/>
      <c r="D386" s="1" t="s">
        <v>1162</v>
      </c>
      <c r="E386" s="248"/>
      <c r="F386" s="248"/>
      <c r="G386" s="248"/>
      <c r="H386" s="248"/>
      <c r="I386" s="248"/>
      <c r="J386" s="248"/>
      <c r="K386" s="248"/>
      <c r="L386" s="193">
        <v>160877</v>
      </c>
      <c r="M386" s="193">
        <v>0</v>
      </c>
      <c r="N386" s="148">
        <v>0</v>
      </c>
      <c r="O386" s="148">
        <v>0</v>
      </c>
      <c r="P386" s="145">
        <v>0</v>
      </c>
      <c r="Q386" s="145">
        <v>0</v>
      </c>
      <c r="R386" s="145">
        <v>0</v>
      </c>
      <c r="S386" s="145">
        <v>0</v>
      </c>
      <c r="T386" s="145">
        <v>0</v>
      </c>
    </row>
    <row r="387" spans="1:20" ht="24" customHeight="1">
      <c r="A387" s="411" t="s">
        <v>1351</v>
      </c>
      <c r="B387" s="410"/>
      <c r="C387" s="410"/>
      <c r="D387" s="1" t="s">
        <v>1352</v>
      </c>
      <c r="E387" s="410"/>
      <c r="F387" s="410"/>
      <c r="G387" s="410"/>
      <c r="H387" s="410"/>
      <c r="I387" s="410"/>
      <c r="J387" s="410"/>
      <c r="K387" s="410"/>
      <c r="L387" s="193">
        <v>0</v>
      </c>
      <c r="M387" s="193">
        <v>0</v>
      </c>
      <c r="N387" s="148">
        <v>0</v>
      </c>
      <c r="O387" s="148">
        <v>215000</v>
      </c>
      <c r="P387" s="145">
        <v>3105000</v>
      </c>
      <c r="Q387" s="145">
        <v>0</v>
      </c>
      <c r="R387" s="145">
        <v>0</v>
      </c>
      <c r="S387" s="145">
        <v>0</v>
      </c>
      <c r="T387" s="145">
        <v>0</v>
      </c>
    </row>
    <row r="388" spans="1:20" ht="24" customHeight="1">
      <c r="A388" s="247" t="s">
        <v>1125</v>
      </c>
      <c r="B388" s="248"/>
      <c r="C388" s="248"/>
      <c r="D388" s="1" t="s">
        <v>369</v>
      </c>
      <c r="E388" s="248"/>
      <c r="F388" s="248"/>
      <c r="G388" s="248"/>
      <c r="H388" s="248"/>
      <c r="I388" s="248"/>
      <c r="J388" s="248"/>
      <c r="K388" s="248"/>
      <c r="L388" s="193">
        <v>131574</v>
      </c>
      <c r="M388" s="193">
        <v>7797</v>
      </c>
      <c r="N388" s="148">
        <v>7549</v>
      </c>
      <c r="O388" s="148">
        <v>7549</v>
      </c>
      <c r="P388" s="145">
        <v>7549</v>
      </c>
      <c r="Q388" s="145">
        <v>7549</v>
      </c>
      <c r="R388" s="145">
        <v>0</v>
      </c>
      <c r="S388" s="145">
        <v>0</v>
      </c>
      <c r="T388" s="145">
        <v>0</v>
      </c>
    </row>
    <row r="389" spans="1:20" ht="24" customHeight="1">
      <c r="A389" s="247" t="s">
        <v>1152</v>
      </c>
      <c r="B389" s="248"/>
      <c r="C389" s="248"/>
      <c r="D389" s="248" t="s">
        <v>1136</v>
      </c>
      <c r="E389" s="248"/>
      <c r="F389" s="248"/>
      <c r="G389" s="248"/>
      <c r="H389" s="248"/>
      <c r="I389" s="248"/>
      <c r="J389" s="248"/>
      <c r="K389" s="248"/>
      <c r="L389" s="193">
        <v>63304</v>
      </c>
      <c r="M389" s="193">
        <v>0</v>
      </c>
      <c r="N389" s="148">
        <v>0</v>
      </c>
      <c r="O389" s="148">
        <v>0</v>
      </c>
      <c r="P389" s="145">
        <v>0</v>
      </c>
      <c r="Q389" s="145">
        <v>0</v>
      </c>
      <c r="R389" s="145">
        <v>0</v>
      </c>
      <c r="S389" s="145">
        <v>0</v>
      </c>
      <c r="T389" s="145">
        <v>0</v>
      </c>
    </row>
    <row r="390" spans="1:20" ht="24" customHeight="1">
      <c r="A390" s="248" t="s">
        <v>1103</v>
      </c>
      <c r="B390" s="250"/>
      <c r="C390" s="250"/>
      <c r="D390" s="247" t="s">
        <v>1102</v>
      </c>
      <c r="E390" s="250"/>
      <c r="F390" s="250"/>
      <c r="G390" s="250"/>
      <c r="H390" s="250"/>
      <c r="I390" s="250"/>
      <c r="J390" s="250"/>
      <c r="K390" s="250"/>
      <c r="L390" s="205">
        <v>0</v>
      </c>
      <c r="M390" s="205">
        <v>19500</v>
      </c>
      <c r="N390" s="160">
        <v>110226</v>
      </c>
      <c r="O390" s="160">
        <v>110226</v>
      </c>
      <c r="P390" s="159">
        <v>110226</v>
      </c>
      <c r="Q390" s="159">
        <v>110226</v>
      </c>
      <c r="R390" s="159">
        <v>0</v>
      </c>
      <c r="S390" s="159">
        <v>0</v>
      </c>
      <c r="T390" s="159">
        <v>0</v>
      </c>
    </row>
    <row r="391" spans="1:20" ht="24" customHeight="1">
      <c r="A391" s="248" t="s">
        <v>1239</v>
      </c>
      <c r="B391" s="250"/>
      <c r="C391" s="250"/>
      <c r="D391" s="1" t="s">
        <v>1240</v>
      </c>
      <c r="E391" s="250"/>
      <c r="F391" s="250"/>
      <c r="G391" s="250"/>
      <c r="H391" s="250"/>
      <c r="I391" s="250"/>
      <c r="J391" s="250"/>
      <c r="K391" s="250"/>
      <c r="L391" s="205">
        <v>0</v>
      </c>
      <c r="M391" s="205">
        <v>40754</v>
      </c>
      <c r="N391" s="160">
        <v>0</v>
      </c>
      <c r="O391" s="160">
        <v>0</v>
      </c>
      <c r="P391" s="159">
        <v>0</v>
      </c>
      <c r="Q391" s="159">
        <v>0</v>
      </c>
      <c r="R391" s="159">
        <v>0</v>
      </c>
      <c r="S391" s="159">
        <v>0</v>
      </c>
      <c r="T391" s="159">
        <v>0</v>
      </c>
    </row>
    <row r="392" spans="1:20" ht="24" customHeight="1">
      <c r="A392" s="248" t="s">
        <v>1242</v>
      </c>
      <c r="B392" s="250"/>
      <c r="C392" s="250"/>
      <c r="D392" s="109" t="s">
        <v>1243</v>
      </c>
      <c r="E392" s="250"/>
      <c r="F392" s="250"/>
      <c r="G392" s="250"/>
      <c r="H392" s="250"/>
      <c r="I392" s="250"/>
      <c r="J392" s="250"/>
      <c r="K392" s="250"/>
      <c r="L392" s="205">
        <v>0</v>
      </c>
      <c r="M392" s="205">
        <v>0</v>
      </c>
      <c r="N392" s="160">
        <v>110000</v>
      </c>
      <c r="O392" s="160">
        <v>10000</v>
      </c>
      <c r="P392" s="159">
        <v>137500</v>
      </c>
      <c r="Q392" s="159">
        <v>0</v>
      </c>
      <c r="R392" s="159">
        <v>0</v>
      </c>
      <c r="S392" s="159">
        <v>0</v>
      </c>
      <c r="T392" s="159">
        <v>0</v>
      </c>
    </row>
    <row r="393" spans="1:20" ht="24" customHeight="1">
      <c r="A393" s="248" t="s">
        <v>1277</v>
      </c>
      <c r="B393" s="250"/>
      <c r="C393" s="250"/>
      <c r="D393" s="1" t="s">
        <v>1278</v>
      </c>
      <c r="E393" s="250"/>
      <c r="F393" s="250"/>
      <c r="G393" s="250"/>
      <c r="H393" s="250"/>
      <c r="I393" s="250"/>
      <c r="J393" s="250"/>
      <c r="K393" s="250"/>
      <c r="L393" s="205">
        <v>0</v>
      </c>
      <c r="M393" s="205">
        <v>19346</v>
      </c>
      <c r="N393" s="160">
        <v>256528</v>
      </c>
      <c r="O393" s="160">
        <v>256528</v>
      </c>
      <c r="P393" s="159">
        <v>0</v>
      </c>
      <c r="Q393" s="159">
        <v>0</v>
      </c>
      <c r="R393" s="159">
        <v>0</v>
      </c>
      <c r="S393" s="159">
        <v>0</v>
      </c>
      <c r="T393" s="159">
        <v>0</v>
      </c>
    </row>
    <row r="394" spans="1:20" ht="24" customHeight="1">
      <c r="A394" s="248" t="s">
        <v>909</v>
      </c>
      <c r="B394" s="250"/>
      <c r="C394" s="250"/>
      <c r="D394" s="249" t="s">
        <v>919</v>
      </c>
      <c r="E394" s="250"/>
      <c r="F394" s="250"/>
      <c r="G394" s="250"/>
      <c r="H394" s="250"/>
      <c r="I394" s="250"/>
      <c r="J394" s="250"/>
      <c r="K394" s="250"/>
      <c r="L394" s="205">
        <v>695767</v>
      </c>
      <c r="M394" s="205">
        <v>761759</v>
      </c>
      <c r="N394" s="160">
        <v>100000</v>
      </c>
      <c r="O394" s="160">
        <v>100000</v>
      </c>
      <c r="P394" s="159">
        <v>80000</v>
      </c>
      <c r="Q394" s="159">
        <v>80000</v>
      </c>
      <c r="R394" s="159">
        <v>80000</v>
      </c>
      <c r="S394" s="159">
        <v>80000</v>
      </c>
      <c r="T394" s="159">
        <v>80000</v>
      </c>
    </row>
    <row r="395" spans="1:20" ht="24" customHeight="1">
      <c r="A395" s="248" t="s">
        <v>1299</v>
      </c>
      <c r="B395" s="250"/>
      <c r="C395" s="250"/>
      <c r="D395" s="249" t="s">
        <v>1300</v>
      </c>
      <c r="E395" s="250"/>
      <c r="F395" s="250"/>
      <c r="G395" s="250"/>
      <c r="H395" s="250"/>
      <c r="I395" s="250"/>
      <c r="J395" s="250"/>
      <c r="K395" s="250"/>
      <c r="L395" s="205">
        <v>0</v>
      </c>
      <c r="M395" s="205">
        <v>2762</v>
      </c>
      <c r="N395" s="160">
        <v>1070000</v>
      </c>
      <c r="O395" s="160">
        <v>945000</v>
      </c>
      <c r="P395" s="159">
        <v>22500</v>
      </c>
      <c r="Q395" s="159">
        <v>0</v>
      </c>
      <c r="R395" s="159">
        <v>0</v>
      </c>
      <c r="S395" s="159">
        <v>0</v>
      </c>
      <c r="T395" s="159">
        <v>0</v>
      </c>
    </row>
    <row r="396" spans="1:20" ht="24" customHeight="1">
      <c r="A396" s="248" t="s">
        <v>900</v>
      </c>
      <c r="B396" s="250"/>
      <c r="C396" s="250"/>
      <c r="D396" s="249" t="s">
        <v>979</v>
      </c>
      <c r="E396" s="250"/>
      <c r="F396" s="250"/>
      <c r="G396" s="250"/>
      <c r="H396" s="250"/>
      <c r="I396" s="250"/>
      <c r="J396" s="250"/>
      <c r="K396" s="250"/>
      <c r="L396" s="205">
        <v>39088</v>
      </c>
      <c r="M396" s="205">
        <v>675</v>
      </c>
      <c r="N396" s="141">
        <v>0</v>
      </c>
      <c r="O396" s="141">
        <v>0</v>
      </c>
      <c r="P396" s="140">
        <v>0</v>
      </c>
      <c r="Q396" s="140">
        <v>0</v>
      </c>
      <c r="R396" s="140">
        <v>0</v>
      </c>
      <c r="S396" s="140">
        <v>0</v>
      </c>
      <c r="T396" s="140">
        <v>0</v>
      </c>
    </row>
    <row r="397" spans="1:20" ht="24" customHeight="1">
      <c r="A397" s="248" t="s">
        <v>799</v>
      </c>
      <c r="B397" s="250"/>
      <c r="C397" s="250"/>
      <c r="D397" s="427" t="s">
        <v>1357</v>
      </c>
      <c r="E397" s="124"/>
      <c r="F397" s="124"/>
      <c r="G397" s="124"/>
      <c r="H397" s="124"/>
      <c r="I397" s="124"/>
      <c r="J397" s="124"/>
      <c r="K397" s="124"/>
      <c r="L397" s="205">
        <v>0</v>
      </c>
      <c r="M397" s="205">
        <v>0</v>
      </c>
      <c r="N397" s="160">
        <v>30333</v>
      </c>
      <c r="O397" s="160">
        <v>30333</v>
      </c>
      <c r="P397" s="159">
        <v>30333</v>
      </c>
      <c r="Q397" s="159">
        <v>30333</v>
      </c>
      <c r="R397" s="159">
        <v>30334</v>
      </c>
      <c r="S397" s="159">
        <v>0</v>
      </c>
      <c r="T397" s="159">
        <v>0</v>
      </c>
    </row>
    <row r="398" spans="1:20" ht="24" customHeight="1">
      <c r="A398" s="248" t="s">
        <v>801</v>
      </c>
      <c r="B398" s="250"/>
      <c r="C398" s="250"/>
      <c r="D398" s="247" t="s">
        <v>800</v>
      </c>
      <c r="E398" s="250"/>
      <c r="F398" s="250"/>
      <c r="G398" s="250"/>
      <c r="H398" s="250"/>
      <c r="I398" s="250"/>
      <c r="J398" s="250"/>
      <c r="K398" s="250"/>
      <c r="L398" s="205">
        <v>16497</v>
      </c>
      <c r="M398" s="205">
        <v>78682</v>
      </c>
      <c r="N398" s="160">
        <v>98413</v>
      </c>
      <c r="O398" s="160">
        <v>90981</v>
      </c>
      <c r="P398" s="159">
        <v>90981</v>
      </c>
      <c r="Q398" s="159">
        <v>0</v>
      </c>
      <c r="R398" s="159">
        <v>0</v>
      </c>
      <c r="S398" s="159">
        <v>0</v>
      </c>
      <c r="T398" s="159">
        <v>0</v>
      </c>
    </row>
    <row r="399" spans="1:20" ht="24" customHeight="1">
      <c r="A399" s="248" t="s">
        <v>264</v>
      </c>
      <c r="B399" s="250"/>
      <c r="C399" s="250"/>
      <c r="D399" s="247" t="s">
        <v>250</v>
      </c>
      <c r="E399" s="250"/>
      <c r="F399" s="250"/>
      <c r="G399" s="250"/>
      <c r="H399" s="250"/>
      <c r="I399" s="250"/>
      <c r="J399" s="250"/>
      <c r="K399" s="250"/>
      <c r="L399" s="192">
        <v>13364</v>
      </c>
      <c r="M399" s="192">
        <v>328913</v>
      </c>
      <c r="N399" s="144">
        <v>0</v>
      </c>
      <c r="O399" s="144">
        <v>0</v>
      </c>
      <c r="P399" s="143">
        <v>0</v>
      </c>
      <c r="Q399" s="143">
        <v>0</v>
      </c>
      <c r="R399" s="143">
        <v>0</v>
      </c>
      <c r="S399" s="143">
        <v>0</v>
      </c>
      <c r="T399" s="143">
        <v>0</v>
      </c>
    </row>
    <row r="400" spans="1:20" ht="24" customHeight="1">
      <c r="A400" s="247" t="s">
        <v>1057</v>
      </c>
      <c r="B400" s="250"/>
      <c r="C400" s="250"/>
      <c r="D400" s="1" t="s">
        <v>1058</v>
      </c>
      <c r="E400" s="262"/>
      <c r="F400" s="262"/>
      <c r="G400" s="262"/>
      <c r="H400" s="262"/>
      <c r="I400" s="262"/>
      <c r="J400" s="262"/>
      <c r="K400" s="262"/>
      <c r="L400" s="193">
        <v>1211639</v>
      </c>
      <c r="M400" s="193">
        <v>561550</v>
      </c>
      <c r="N400" s="148">
        <v>0</v>
      </c>
      <c r="O400" s="148">
        <v>0</v>
      </c>
      <c r="P400" s="145">
        <v>0</v>
      </c>
      <c r="Q400" s="145">
        <v>0</v>
      </c>
      <c r="R400" s="145">
        <v>0</v>
      </c>
      <c r="S400" s="145">
        <v>0</v>
      </c>
      <c r="T400" s="145">
        <v>0</v>
      </c>
    </row>
    <row r="401" spans="1:21" ht="24" customHeight="1">
      <c r="A401" s="247" t="s">
        <v>1156</v>
      </c>
      <c r="B401" s="250"/>
      <c r="C401" s="250"/>
      <c r="D401" s="1" t="s">
        <v>1198</v>
      </c>
      <c r="E401" s="262"/>
      <c r="F401" s="262"/>
      <c r="G401" s="262"/>
      <c r="H401" s="262"/>
      <c r="I401" s="262"/>
      <c r="J401" s="262"/>
      <c r="K401" s="262"/>
      <c r="L401" s="193">
        <v>0</v>
      </c>
      <c r="M401" s="193">
        <v>227760</v>
      </c>
      <c r="N401" s="148">
        <v>0</v>
      </c>
      <c r="O401" s="148">
        <v>0</v>
      </c>
      <c r="P401" s="145">
        <v>0</v>
      </c>
      <c r="Q401" s="145">
        <v>0</v>
      </c>
      <c r="R401" s="145">
        <v>0</v>
      </c>
      <c r="S401" s="145">
        <v>0</v>
      </c>
      <c r="T401" s="145">
        <v>0</v>
      </c>
    </row>
    <row r="402" spans="1:21" ht="24" customHeight="1">
      <c r="A402" s="247" t="s">
        <v>1184</v>
      </c>
      <c r="B402" s="250"/>
      <c r="C402" s="250"/>
      <c r="D402" s="1" t="s">
        <v>1185</v>
      </c>
      <c r="E402" s="262"/>
      <c r="F402" s="262"/>
      <c r="G402" s="262"/>
      <c r="H402" s="262"/>
      <c r="I402" s="262"/>
      <c r="J402" s="262"/>
      <c r="K402" s="262"/>
      <c r="L402" s="193">
        <v>25753</v>
      </c>
      <c r="M402" s="193">
        <v>391763</v>
      </c>
      <c r="N402" s="148">
        <v>10000</v>
      </c>
      <c r="O402" s="148">
        <v>2500</v>
      </c>
      <c r="P402" s="145">
        <v>0</v>
      </c>
      <c r="Q402" s="145">
        <v>0</v>
      </c>
      <c r="R402" s="145">
        <v>0</v>
      </c>
      <c r="S402" s="145">
        <v>0</v>
      </c>
      <c r="T402" s="145">
        <v>0</v>
      </c>
    </row>
    <row r="403" spans="1:21" ht="24" customHeight="1">
      <c r="A403" s="247" t="s">
        <v>564</v>
      </c>
      <c r="B403" s="250"/>
      <c r="C403" s="250"/>
      <c r="D403" s="247" t="s">
        <v>1345</v>
      </c>
      <c r="E403" s="250"/>
      <c r="F403" s="250"/>
      <c r="G403" s="250"/>
      <c r="H403" s="250"/>
      <c r="I403" s="250"/>
      <c r="J403" s="250"/>
      <c r="K403" s="250"/>
      <c r="L403" s="190">
        <v>3894</v>
      </c>
      <c r="M403" s="190">
        <v>405370</v>
      </c>
      <c r="N403" s="141">
        <v>45000</v>
      </c>
      <c r="O403" s="141">
        <v>5722</v>
      </c>
      <c r="P403" s="140">
        <v>32000</v>
      </c>
      <c r="Q403" s="140">
        <v>0</v>
      </c>
      <c r="R403" s="140">
        <v>0</v>
      </c>
      <c r="S403" s="140">
        <v>0</v>
      </c>
      <c r="T403" s="140">
        <v>0</v>
      </c>
    </row>
    <row r="404" spans="1:21" ht="24" customHeight="1">
      <c r="A404" s="247" t="s">
        <v>1270</v>
      </c>
      <c r="B404" s="250"/>
      <c r="C404" s="250"/>
      <c r="D404" s="1" t="s">
        <v>1271</v>
      </c>
      <c r="E404" s="383"/>
      <c r="F404" s="383"/>
      <c r="G404" s="383"/>
      <c r="H404" s="383"/>
      <c r="I404" s="383"/>
      <c r="J404" s="383"/>
      <c r="K404" s="383"/>
      <c r="L404" s="190">
        <v>0</v>
      </c>
      <c r="M404" s="190">
        <v>0</v>
      </c>
      <c r="N404" s="148">
        <v>0</v>
      </c>
      <c r="O404" s="148">
        <v>0</v>
      </c>
      <c r="P404" s="140">
        <v>0</v>
      </c>
      <c r="Q404" s="140">
        <v>0</v>
      </c>
      <c r="R404" s="140">
        <v>0</v>
      </c>
      <c r="S404" s="140">
        <v>0</v>
      </c>
      <c r="T404" s="140">
        <v>171600</v>
      </c>
    </row>
    <row r="405" spans="1:21" ht="24" customHeight="1">
      <c r="A405" s="253" t="s">
        <v>1027</v>
      </c>
      <c r="B405" s="248"/>
      <c r="C405" s="248"/>
      <c r="D405" s="247"/>
      <c r="E405" s="248"/>
      <c r="F405" s="248"/>
      <c r="G405" s="248"/>
      <c r="H405" s="248"/>
      <c r="I405" s="248"/>
      <c r="J405" s="248"/>
      <c r="K405" s="248"/>
      <c r="L405" s="192"/>
      <c r="M405" s="192"/>
      <c r="N405" s="144"/>
      <c r="O405" s="144"/>
      <c r="P405" s="143"/>
      <c r="Q405" s="143"/>
      <c r="R405" s="143"/>
      <c r="S405" s="143"/>
      <c r="T405" s="143"/>
    </row>
    <row r="406" spans="1:21" ht="24" customHeight="1">
      <c r="A406" s="247" t="s">
        <v>1028</v>
      </c>
      <c r="B406" s="248"/>
      <c r="C406" s="248"/>
      <c r="D406" s="247" t="s">
        <v>879</v>
      </c>
      <c r="E406" s="248"/>
      <c r="F406" s="248"/>
      <c r="G406" s="248"/>
      <c r="H406" s="248"/>
      <c r="I406" s="248"/>
      <c r="J406" s="248"/>
      <c r="K406" s="248"/>
      <c r="L406" s="192">
        <v>185000</v>
      </c>
      <c r="M406" s="192">
        <v>190000</v>
      </c>
      <c r="N406" s="144">
        <v>190000</v>
      </c>
      <c r="O406" s="144">
        <v>190000</v>
      </c>
      <c r="P406" s="143">
        <v>195000</v>
      </c>
      <c r="Q406" s="143">
        <v>200000</v>
      </c>
      <c r="R406" s="143">
        <v>200000</v>
      </c>
      <c r="S406" s="143">
        <v>210000</v>
      </c>
      <c r="T406" s="143">
        <v>210000</v>
      </c>
    </row>
    <row r="407" spans="1:21" ht="24" customHeight="1">
      <c r="A407" s="247" t="s">
        <v>1029</v>
      </c>
      <c r="B407" s="248"/>
      <c r="C407" s="248"/>
      <c r="D407" s="247" t="s">
        <v>257</v>
      </c>
      <c r="E407" s="248"/>
      <c r="F407" s="248"/>
      <c r="G407" s="248"/>
      <c r="H407" s="248"/>
      <c r="I407" s="248"/>
      <c r="J407" s="248"/>
      <c r="K407" s="248"/>
      <c r="L407" s="193">
        <v>144138</v>
      </c>
      <c r="M407" s="193">
        <v>138588</v>
      </c>
      <c r="N407" s="148">
        <v>132888</v>
      </c>
      <c r="O407" s="148">
        <v>132888</v>
      </c>
      <c r="P407" s="145">
        <v>127188</v>
      </c>
      <c r="Q407" s="145">
        <v>121338</v>
      </c>
      <c r="R407" s="145">
        <v>115338</v>
      </c>
      <c r="S407" s="145">
        <v>109338</v>
      </c>
      <c r="T407" s="145">
        <v>103038</v>
      </c>
    </row>
    <row r="408" spans="1:21" ht="24" customHeight="1">
      <c r="A408" s="253" t="s">
        <v>771</v>
      </c>
      <c r="B408" s="248"/>
      <c r="C408" s="248"/>
      <c r="D408" s="247"/>
      <c r="E408" s="248"/>
      <c r="F408" s="248"/>
      <c r="G408" s="248"/>
      <c r="H408" s="248"/>
      <c r="I408" s="248"/>
      <c r="J408" s="248"/>
      <c r="K408" s="248"/>
      <c r="L408" s="192"/>
      <c r="M408" s="192"/>
      <c r="N408" s="144"/>
      <c r="O408" s="144"/>
      <c r="P408" s="143"/>
      <c r="Q408" s="143"/>
      <c r="R408" s="143"/>
      <c r="S408" s="143"/>
      <c r="T408" s="143"/>
    </row>
    <row r="409" spans="1:21" ht="24" customHeight="1">
      <c r="A409" s="247" t="s">
        <v>265</v>
      </c>
      <c r="B409" s="248"/>
      <c r="C409" s="248"/>
      <c r="D409" s="247" t="s">
        <v>879</v>
      </c>
      <c r="E409" s="248"/>
      <c r="F409" s="248"/>
      <c r="G409" s="248"/>
      <c r="H409" s="248"/>
      <c r="I409" s="248"/>
      <c r="J409" s="248"/>
      <c r="K409" s="248"/>
      <c r="L409" s="192">
        <v>75000</v>
      </c>
      <c r="M409" s="192">
        <v>75000</v>
      </c>
      <c r="N409" s="144">
        <v>84675</v>
      </c>
      <c r="O409" s="144">
        <v>84675</v>
      </c>
      <c r="P409" s="143">
        <v>0</v>
      </c>
      <c r="Q409" s="143">
        <v>0</v>
      </c>
      <c r="R409" s="143">
        <v>0</v>
      </c>
      <c r="S409" s="143">
        <v>0</v>
      </c>
      <c r="T409" s="143">
        <v>0</v>
      </c>
    </row>
    <row r="410" spans="1:21" ht="6.9" customHeight="1">
      <c r="A410" s="247"/>
      <c r="B410" s="248"/>
      <c r="C410" s="248"/>
      <c r="D410" s="247"/>
      <c r="E410" s="248"/>
      <c r="F410" s="248"/>
      <c r="G410" s="248"/>
      <c r="H410" s="248"/>
      <c r="I410" s="248"/>
      <c r="J410" s="248"/>
      <c r="K410" s="248"/>
      <c r="L410" s="193"/>
      <c r="M410" s="193"/>
      <c r="N410" s="148"/>
      <c r="O410" s="148"/>
      <c r="P410" s="145"/>
      <c r="Q410" s="145"/>
      <c r="R410" s="145"/>
      <c r="S410" s="145"/>
      <c r="T410" s="145"/>
    </row>
    <row r="411" spans="1:21" ht="24" customHeight="1">
      <c r="A411" s="248" t="s">
        <v>1157</v>
      </c>
      <c r="B411" s="250"/>
      <c r="C411" s="250"/>
      <c r="D411" s="247" t="s">
        <v>199</v>
      </c>
      <c r="E411" s="250"/>
      <c r="F411" s="250"/>
      <c r="G411" s="250"/>
      <c r="H411" s="250"/>
      <c r="I411" s="250"/>
      <c r="J411" s="250"/>
      <c r="K411" s="248"/>
      <c r="L411" s="198">
        <v>0</v>
      </c>
      <c r="M411" s="198">
        <v>65241</v>
      </c>
      <c r="N411" s="153">
        <v>64866</v>
      </c>
      <c r="O411" s="153">
        <v>65030</v>
      </c>
      <c r="P411" s="152">
        <v>104906</v>
      </c>
      <c r="Q411" s="152">
        <v>103895</v>
      </c>
      <c r="R411" s="152">
        <v>104558</v>
      </c>
      <c r="S411" s="152">
        <v>104209</v>
      </c>
      <c r="T411" s="152">
        <v>104627</v>
      </c>
    </row>
    <row r="412" spans="1:21" s="183" customFormat="1" ht="24" customHeight="1">
      <c r="L412" s="201">
        <f t="shared" ref="L412:T412" si="25">SUM(L377:L411)</f>
        <v>3288567</v>
      </c>
      <c r="M412" s="201">
        <f t="shared" si="25"/>
        <v>3452586</v>
      </c>
      <c r="N412" s="202">
        <f t="shared" si="25"/>
        <v>2387153</v>
      </c>
      <c r="O412" s="202">
        <f t="shared" si="25"/>
        <v>2367525</v>
      </c>
      <c r="P412" s="201">
        <f t="shared" si="25"/>
        <v>4090158</v>
      </c>
      <c r="Q412" s="201">
        <f t="shared" si="25"/>
        <v>700316</v>
      </c>
      <c r="R412" s="201">
        <f t="shared" si="25"/>
        <v>577205</v>
      </c>
      <c r="S412" s="201">
        <f t="shared" si="25"/>
        <v>550522</v>
      </c>
      <c r="T412" s="201">
        <f t="shared" si="25"/>
        <v>716240</v>
      </c>
      <c r="U412" s="64"/>
    </row>
    <row r="413" spans="1:21" s="183" customFormat="1" ht="15" customHeight="1">
      <c r="L413" s="201"/>
      <c r="M413" s="201"/>
      <c r="N413" s="202"/>
      <c r="O413" s="202"/>
      <c r="P413" s="201"/>
      <c r="Q413" s="201"/>
      <c r="R413" s="201"/>
      <c r="S413" s="201"/>
      <c r="T413" s="201"/>
      <c r="U413" s="64"/>
    </row>
    <row r="414" spans="1:21" s="183" customFormat="1" ht="24" customHeight="1">
      <c r="K414" s="251" t="s">
        <v>457</v>
      </c>
      <c r="L414" s="201">
        <f t="shared" ref="L414:T414" si="26">L374+L412</f>
        <v>3374664</v>
      </c>
      <c r="M414" s="201">
        <f t="shared" si="26"/>
        <v>3765921</v>
      </c>
      <c r="N414" s="202">
        <f t="shared" si="26"/>
        <v>2941878</v>
      </c>
      <c r="O414" s="202">
        <f t="shared" si="26"/>
        <v>2856661</v>
      </c>
      <c r="P414" s="201">
        <f t="shared" si="26"/>
        <v>4548408</v>
      </c>
      <c r="Q414" s="201">
        <f t="shared" si="26"/>
        <v>973485</v>
      </c>
      <c r="R414" s="201">
        <f t="shared" si="26"/>
        <v>856913</v>
      </c>
      <c r="S414" s="201">
        <f t="shared" si="26"/>
        <v>837162</v>
      </c>
      <c r="T414" s="201">
        <f t="shared" si="26"/>
        <v>1010228</v>
      </c>
      <c r="U414" s="64"/>
    </row>
    <row r="415" spans="1:21" s="183" customFormat="1" ht="15" customHeight="1">
      <c r="L415" s="199"/>
      <c r="M415" s="199"/>
      <c r="N415" s="200"/>
      <c r="O415" s="200"/>
      <c r="P415" s="199"/>
      <c r="Q415" s="199"/>
      <c r="R415" s="199"/>
      <c r="S415" s="199"/>
      <c r="T415" s="199"/>
      <c r="U415" s="64"/>
    </row>
    <row r="416" spans="1:21" s="183" customFormat="1" ht="24" customHeight="1">
      <c r="K416" s="251" t="s">
        <v>458</v>
      </c>
      <c r="L416" s="218">
        <f t="shared" ref="L416:T416" si="27">L362-L414</f>
        <v>-1648379</v>
      </c>
      <c r="M416" s="218">
        <f t="shared" si="27"/>
        <v>-966633</v>
      </c>
      <c r="N416" s="219">
        <f t="shared" si="27"/>
        <v>-438576</v>
      </c>
      <c r="O416" s="219">
        <f t="shared" si="27"/>
        <v>165825</v>
      </c>
      <c r="P416" s="218">
        <f t="shared" si="27"/>
        <v>-626379</v>
      </c>
      <c r="Q416" s="218">
        <f t="shared" si="27"/>
        <v>39000</v>
      </c>
      <c r="R416" s="218">
        <f t="shared" si="27"/>
        <v>57267</v>
      </c>
      <c r="S416" s="218">
        <f t="shared" si="27"/>
        <v>77018</v>
      </c>
      <c r="T416" s="218">
        <f t="shared" si="27"/>
        <v>80552</v>
      </c>
      <c r="U416" s="64"/>
    </row>
    <row r="417" spans="1:21" s="183" customFormat="1" ht="15" customHeight="1">
      <c r="K417" s="251"/>
      <c r="L417" s="218"/>
      <c r="M417" s="218"/>
      <c r="N417" s="219"/>
      <c r="O417" s="219"/>
      <c r="P417" s="218"/>
      <c r="Q417" s="218"/>
      <c r="R417" s="218"/>
      <c r="S417" s="218"/>
      <c r="T417" s="218"/>
      <c r="U417" s="64"/>
    </row>
    <row r="418" spans="1:21" s="183" customFormat="1" ht="24" customHeight="1">
      <c r="K418" s="256" t="s">
        <v>460</v>
      </c>
      <c r="L418" s="400">
        <v>1355530</v>
      </c>
      <c r="M418" s="400">
        <v>388897</v>
      </c>
      <c r="N418" s="401">
        <v>-30817</v>
      </c>
      <c r="O418" s="401">
        <f>M418+O416</f>
        <v>554722</v>
      </c>
      <c r="P418" s="400">
        <f>O418+P416</f>
        <v>-71657</v>
      </c>
      <c r="Q418" s="400">
        <f>Q416+P418</f>
        <v>-32657</v>
      </c>
      <c r="R418" s="400">
        <f>R416+Q418</f>
        <v>24610</v>
      </c>
      <c r="S418" s="400">
        <f>S416+R418</f>
        <v>101628</v>
      </c>
      <c r="T418" s="400">
        <f>T416+S418</f>
        <v>182180</v>
      </c>
      <c r="U418" s="64"/>
    </row>
    <row r="419" spans="1:21" ht="15" customHeight="1">
      <c r="A419" s="183"/>
      <c r="B419" s="183"/>
      <c r="C419" s="183"/>
      <c r="D419" s="183"/>
      <c r="E419" s="183"/>
      <c r="F419" s="183"/>
      <c r="G419" s="183"/>
      <c r="H419" s="183"/>
      <c r="I419" s="183"/>
      <c r="J419" s="183"/>
      <c r="K419" s="256"/>
      <c r="L419" s="303"/>
      <c r="M419" s="303"/>
      <c r="N419" s="308"/>
      <c r="O419" s="308"/>
      <c r="P419" s="309"/>
      <c r="Q419" s="309"/>
      <c r="R419" s="309"/>
      <c r="S419" s="309"/>
      <c r="T419" s="309"/>
    </row>
    <row r="420" spans="1:21" ht="15" customHeight="1">
      <c r="A420" s="439"/>
      <c r="B420" s="441"/>
      <c r="C420" s="441"/>
      <c r="D420" s="441"/>
      <c r="E420" s="441"/>
      <c r="F420" s="441"/>
      <c r="G420" s="441"/>
      <c r="H420" s="441"/>
      <c r="I420" s="440"/>
      <c r="J420" s="440"/>
      <c r="K420" s="440"/>
      <c r="L420" s="417"/>
      <c r="M420" s="417"/>
      <c r="N420" s="443"/>
      <c r="O420" s="443"/>
      <c r="P420" s="417"/>
      <c r="Q420" s="417"/>
      <c r="R420" s="417"/>
      <c r="S420" s="417"/>
      <c r="T420" s="417"/>
    </row>
    <row r="421" spans="1:21" ht="24" customHeight="1">
      <c r="A421" s="258" t="s">
        <v>806</v>
      </c>
      <c r="B421" s="414"/>
      <c r="C421" s="414"/>
      <c r="D421" s="414"/>
      <c r="E421" s="183"/>
      <c r="F421" s="183"/>
      <c r="G421" s="183"/>
      <c r="H421" s="183"/>
      <c r="I421" s="183"/>
      <c r="J421" s="183"/>
      <c r="K421" s="256"/>
      <c r="L421" s="303"/>
      <c r="M421" s="303"/>
      <c r="N421" s="308"/>
      <c r="O421" s="308"/>
      <c r="P421" s="309"/>
      <c r="Q421" s="309"/>
      <c r="R421" s="309"/>
      <c r="S421" s="309"/>
      <c r="T421" s="309"/>
    </row>
    <row r="422" spans="1:21" ht="15" customHeight="1">
      <c r="A422" s="183"/>
      <c r="B422" s="183"/>
      <c r="C422" s="183"/>
      <c r="D422" s="183"/>
      <c r="E422" s="183"/>
      <c r="F422" s="183"/>
      <c r="G422" s="183"/>
      <c r="H422" s="183"/>
      <c r="I422" s="183"/>
      <c r="J422" s="183"/>
      <c r="K422" s="256"/>
      <c r="L422" s="303"/>
      <c r="M422" s="303"/>
      <c r="N422" s="308"/>
      <c r="O422" s="308"/>
      <c r="P422" s="309"/>
      <c r="Q422" s="309"/>
      <c r="R422" s="309"/>
      <c r="S422" s="309"/>
      <c r="T422" s="309"/>
    </row>
    <row r="423" spans="1:21" ht="24" customHeight="1">
      <c r="A423" s="247" t="s">
        <v>1000</v>
      </c>
      <c r="B423" s="248"/>
      <c r="C423" s="183"/>
      <c r="D423" s="247" t="s">
        <v>807</v>
      </c>
      <c r="E423" s="248"/>
      <c r="F423" s="183"/>
      <c r="G423" s="183"/>
      <c r="H423" s="183"/>
      <c r="I423" s="183"/>
      <c r="J423" s="183"/>
      <c r="K423" s="183"/>
      <c r="L423" s="205">
        <v>32100</v>
      </c>
      <c r="M423" s="205">
        <v>51511</v>
      </c>
      <c r="N423" s="160">
        <v>55000</v>
      </c>
      <c r="O423" s="160">
        <v>65000</v>
      </c>
      <c r="P423" s="159">
        <v>30000</v>
      </c>
      <c r="Q423" s="159">
        <v>30000</v>
      </c>
      <c r="R423" s="159">
        <v>30000</v>
      </c>
      <c r="S423" s="159">
        <v>30000</v>
      </c>
      <c r="T423" s="159">
        <v>30000</v>
      </c>
    </row>
    <row r="424" spans="1:21" ht="24" customHeight="1">
      <c r="A424" s="247" t="s">
        <v>967</v>
      </c>
      <c r="B424" s="248"/>
      <c r="C424" s="183"/>
      <c r="D424" s="247" t="s">
        <v>781</v>
      </c>
      <c r="E424" s="248"/>
      <c r="F424" s="183"/>
      <c r="G424" s="183"/>
      <c r="H424" s="183"/>
      <c r="I424" s="183"/>
      <c r="J424" s="183"/>
      <c r="K424" s="183"/>
      <c r="L424" s="205">
        <v>28700</v>
      </c>
      <c r="M424" s="205">
        <v>44935</v>
      </c>
      <c r="N424" s="160">
        <v>0</v>
      </c>
      <c r="O424" s="160">
        <v>0</v>
      </c>
      <c r="P424" s="159">
        <v>0</v>
      </c>
      <c r="Q424" s="159">
        <v>0</v>
      </c>
      <c r="R424" s="159">
        <v>0</v>
      </c>
      <c r="S424" s="159">
        <v>0</v>
      </c>
      <c r="T424" s="159">
        <v>0</v>
      </c>
    </row>
    <row r="425" spans="1:21" ht="24" customHeight="1">
      <c r="A425" s="247" t="s">
        <v>1340</v>
      </c>
      <c r="B425" s="248"/>
      <c r="C425" s="183"/>
      <c r="D425" s="247" t="s">
        <v>1341</v>
      </c>
      <c r="E425" s="248"/>
      <c r="F425" s="183"/>
      <c r="G425" s="183"/>
      <c r="H425" s="183"/>
      <c r="I425" s="183"/>
      <c r="J425" s="183"/>
      <c r="K425" s="183"/>
      <c r="L425" s="205">
        <v>0</v>
      </c>
      <c r="M425" s="205">
        <v>224</v>
      </c>
      <c r="N425" s="160">
        <v>0</v>
      </c>
      <c r="O425" s="160">
        <v>163</v>
      </c>
      <c r="P425" s="159">
        <v>0</v>
      </c>
      <c r="Q425" s="159">
        <v>0</v>
      </c>
      <c r="R425" s="159">
        <v>0</v>
      </c>
      <c r="S425" s="159">
        <v>0</v>
      </c>
      <c r="T425" s="159">
        <v>0</v>
      </c>
    </row>
    <row r="426" spans="1:21" ht="24" customHeight="1">
      <c r="A426" s="183" t="s">
        <v>998</v>
      </c>
      <c r="B426" s="183"/>
      <c r="C426" s="183"/>
      <c r="D426" s="247" t="s">
        <v>259</v>
      </c>
      <c r="E426" s="183"/>
      <c r="F426" s="183"/>
      <c r="G426" s="183"/>
      <c r="H426" s="183"/>
      <c r="I426" s="183"/>
      <c r="J426" s="183"/>
      <c r="K426" s="183"/>
      <c r="L426" s="205">
        <v>8600</v>
      </c>
      <c r="M426" s="205">
        <v>11000</v>
      </c>
      <c r="N426" s="160">
        <v>12000</v>
      </c>
      <c r="O426" s="160">
        <v>20000</v>
      </c>
      <c r="P426" s="159">
        <v>10000</v>
      </c>
      <c r="Q426" s="159">
        <v>10000</v>
      </c>
      <c r="R426" s="159">
        <v>10000</v>
      </c>
      <c r="S426" s="159">
        <v>10000</v>
      </c>
      <c r="T426" s="159">
        <v>10000</v>
      </c>
    </row>
    <row r="427" spans="1:21" ht="24" customHeight="1">
      <c r="A427" s="247" t="s">
        <v>999</v>
      </c>
      <c r="B427" s="248"/>
      <c r="C427" s="183"/>
      <c r="D427" s="247" t="s">
        <v>808</v>
      </c>
      <c r="E427" s="248"/>
      <c r="F427" s="183"/>
      <c r="G427" s="183"/>
      <c r="H427" s="183"/>
      <c r="I427" s="183"/>
      <c r="J427" s="183"/>
      <c r="K427" s="183"/>
      <c r="L427" s="190">
        <v>60350</v>
      </c>
      <c r="M427" s="190">
        <v>116205</v>
      </c>
      <c r="N427" s="160">
        <v>72000</v>
      </c>
      <c r="O427" s="160">
        <v>160000</v>
      </c>
      <c r="P427" s="159">
        <v>64500</v>
      </c>
      <c r="Q427" s="159">
        <v>64500</v>
      </c>
      <c r="R427" s="159">
        <v>64500</v>
      </c>
      <c r="S427" s="159">
        <v>64500</v>
      </c>
      <c r="T427" s="159">
        <v>64500</v>
      </c>
    </row>
    <row r="428" spans="1:21" ht="24" customHeight="1">
      <c r="A428" s="247" t="s">
        <v>1001</v>
      </c>
      <c r="B428" s="248"/>
      <c r="C428" s="183"/>
      <c r="D428" s="247" t="s">
        <v>839</v>
      </c>
      <c r="E428" s="248"/>
      <c r="F428" s="183"/>
      <c r="G428" s="183"/>
      <c r="H428" s="183"/>
      <c r="I428" s="183"/>
      <c r="J428" s="183"/>
      <c r="K428" s="183"/>
      <c r="L428" s="205">
        <v>4300</v>
      </c>
      <c r="M428" s="205">
        <v>5700</v>
      </c>
      <c r="N428" s="160">
        <v>6000</v>
      </c>
      <c r="O428" s="160">
        <v>10500</v>
      </c>
      <c r="P428" s="159">
        <v>5000</v>
      </c>
      <c r="Q428" s="159">
        <v>5000</v>
      </c>
      <c r="R428" s="159">
        <v>5000</v>
      </c>
      <c r="S428" s="159">
        <v>5000</v>
      </c>
      <c r="T428" s="159">
        <v>5000</v>
      </c>
    </row>
    <row r="429" spans="1:21" ht="24" customHeight="1">
      <c r="A429" s="247" t="s">
        <v>1002</v>
      </c>
      <c r="B429" s="248"/>
      <c r="C429" s="183"/>
      <c r="D429" s="489" t="s">
        <v>253</v>
      </c>
      <c r="E429" s="489"/>
      <c r="F429" s="489"/>
      <c r="G429" s="489"/>
      <c r="H429" s="489"/>
      <c r="I429" s="489"/>
      <c r="J429" s="489"/>
      <c r="K429" s="489"/>
      <c r="L429" s="190">
        <v>5865</v>
      </c>
      <c r="M429" s="190">
        <v>8130</v>
      </c>
      <c r="N429" s="141">
        <v>6000</v>
      </c>
      <c r="O429" s="141">
        <v>8250</v>
      </c>
      <c r="P429" s="140">
        <v>8000</v>
      </c>
      <c r="Q429" s="140">
        <v>8000</v>
      </c>
      <c r="R429" s="140">
        <v>8000</v>
      </c>
      <c r="S429" s="140">
        <v>8000</v>
      </c>
      <c r="T429" s="140">
        <v>8000</v>
      </c>
    </row>
    <row r="430" spans="1:21" ht="24" customHeight="1">
      <c r="A430" s="247" t="s">
        <v>1003</v>
      </c>
      <c r="B430" s="248"/>
      <c r="C430" s="183"/>
      <c r="D430" s="489" t="s">
        <v>773</v>
      </c>
      <c r="E430" s="489"/>
      <c r="F430" s="489"/>
      <c r="G430" s="489"/>
      <c r="H430" s="489"/>
      <c r="I430" s="489"/>
      <c r="J430" s="489"/>
      <c r="K430" s="489"/>
      <c r="L430" s="190">
        <v>743</v>
      </c>
      <c r="M430" s="190">
        <v>600</v>
      </c>
      <c r="N430" s="141">
        <v>700</v>
      </c>
      <c r="O430" s="141">
        <v>650</v>
      </c>
      <c r="P430" s="140">
        <v>650</v>
      </c>
      <c r="Q430" s="140">
        <v>650</v>
      </c>
      <c r="R430" s="140">
        <v>650</v>
      </c>
      <c r="S430" s="140">
        <v>650</v>
      </c>
      <c r="T430" s="140">
        <v>650</v>
      </c>
    </row>
    <row r="431" spans="1:21" ht="24" customHeight="1">
      <c r="A431" s="247" t="s">
        <v>1004</v>
      </c>
      <c r="B431" s="248"/>
      <c r="C431" s="183"/>
      <c r="D431" s="489" t="s">
        <v>557</v>
      </c>
      <c r="E431" s="489"/>
      <c r="F431" s="489"/>
      <c r="G431" s="489"/>
      <c r="H431" s="489"/>
      <c r="I431" s="489"/>
      <c r="J431" s="489"/>
      <c r="K431" s="489"/>
      <c r="L431" s="190">
        <v>0</v>
      </c>
      <c r="M431" s="190">
        <v>0</v>
      </c>
      <c r="N431" s="141">
        <v>0</v>
      </c>
      <c r="O431" s="141">
        <v>0</v>
      </c>
      <c r="P431" s="140">
        <v>0</v>
      </c>
      <c r="Q431" s="140">
        <v>0</v>
      </c>
      <c r="R431" s="140">
        <v>0</v>
      </c>
      <c r="S431" s="140">
        <v>0</v>
      </c>
      <c r="T431" s="140">
        <v>0</v>
      </c>
    </row>
    <row r="432" spans="1:21" ht="24" customHeight="1">
      <c r="A432" s="247" t="s">
        <v>1005</v>
      </c>
      <c r="B432" s="183"/>
      <c r="C432" s="183"/>
      <c r="D432" s="247" t="s">
        <v>256</v>
      </c>
      <c r="E432" s="183"/>
      <c r="F432" s="183"/>
      <c r="G432" s="183"/>
      <c r="H432" s="183"/>
      <c r="I432" s="183"/>
      <c r="J432" s="183"/>
      <c r="K432" s="183"/>
      <c r="L432" s="205">
        <v>1955</v>
      </c>
      <c r="M432" s="205">
        <v>894</v>
      </c>
      <c r="N432" s="160">
        <v>2000</v>
      </c>
      <c r="O432" s="160">
        <v>2167</v>
      </c>
      <c r="P432" s="159">
        <v>2000</v>
      </c>
      <c r="Q432" s="159">
        <v>2000</v>
      </c>
      <c r="R432" s="159">
        <v>2000</v>
      </c>
      <c r="S432" s="159">
        <v>2000</v>
      </c>
      <c r="T432" s="159">
        <v>2000</v>
      </c>
    </row>
    <row r="433" spans="1:21" ht="24" customHeight="1">
      <c r="A433" s="247" t="s">
        <v>1229</v>
      </c>
      <c r="B433" s="183"/>
      <c r="C433" s="183"/>
      <c r="D433" s="247" t="s">
        <v>1230</v>
      </c>
      <c r="E433" s="183"/>
      <c r="F433" s="183"/>
      <c r="G433" s="183"/>
      <c r="H433" s="183"/>
      <c r="I433" s="183"/>
      <c r="J433" s="183"/>
      <c r="K433" s="183"/>
      <c r="L433" s="205">
        <v>0</v>
      </c>
      <c r="M433" s="205">
        <v>0</v>
      </c>
      <c r="N433" s="160">
        <v>40000</v>
      </c>
      <c r="O433" s="160">
        <v>44985</v>
      </c>
      <c r="P433" s="159">
        <v>0</v>
      </c>
      <c r="Q433" s="159">
        <v>0</v>
      </c>
      <c r="R433" s="159">
        <v>0</v>
      </c>
      <c r="S433" s="159">
        <v>0</v>
      </c>
      <c r="T433" s="159">
        <v>0</v>
      </c>
    </row>
    <row r="434" spans="1:21" ht="24" customHeight="1">
      <c r="A434" s="247" t="s">
        <v>1006</v>
      </c>
      <c r="B434" s="183"/>
      <c r="C434" s="183"/>
      <c r="D434" s="247" t="s">
        <v>867</v>
      </c>
      <c r="E434" s="183"/>
      <c r="F434" s="183"/>
      <c r="G434" s="183"/>
      <c r="H434" s="183"/>
      <c r="I434" s="183"/>
      <c r="J434" s="183"/>
      <c r="K434" s="183"/>
      <c r="L434" s="205">
        <v>97459</v>
      </c>
      <c r="M434" s="205">
        <v>130208</v>
      </c>
      <c r="N434" s="160">
        <v>140241</v>
      </c>
      <c r="O434" s="160">
        <v>94687</v>
      </c>
      <c r="P434" s="159">
        <v>24032</v>
      </c>
      <c r="Q434" s="159">
        <v>25100</v>
      </c>
      <c r="R434" s="159">
        <v>25100</v>
      </c>
      <c r="S434" s="159">
        <v>25100</v>
      </c>
      <c r="T434" s="159">
        <v>25100</v>
      </c>
    </row>
    <row r="435" spans="1:21" ht="24" customHeight="1">
      <c r="A435" s="247" t="s">
        <v>1007</v>
      </c>
      <c r="B435" s="183"/>
      <c r="C435" s="183"/>
      <c r="D435" s="247" t="s">
        <v>868</v>
      </c>
      <c r="E435" s="183"/>
      <c r="F435" s="183"/>
      <c r="G435" s="183"/>
      <c r="H435" s="183"/>
      <c r="I435" s="183"/>
      <c r="J435" s="183"/>
      <c r="K435" s="183"/>
      <c r="L435" s="205">
        <v>63626</v>
      </c>
      <c r="M435" s="205">
        <v>0</v>
      </c>
      <c r="N435" s="160">
        <v>0</v>
      </c>
      <c r="O435" s="160">
        <v>0</v>
      </c>
      <c r="P435" s="159">
        <v>0</v>
      </c>
      <c r="Q435" s="159">
        <v>0</v>
      </c>
      <c r="R435" s="159">
        <v>0</v>
      </c>
      <c r="S435" s="159">
        <v>2826</v>
      </c>
      <c r="T435" s="159">
        <v>4635</v>
      </c>
    </row>
    <row r="436" spans="1:21" ht="24" customHeight="1">
      <c r="A436" s="247" t="s">
        <v>1008</v>
      </c>
      <c r="B436" s="183"/>
      <c r="C436" s="183"/>
      <c r="D436" s="247" t="s">
        <v>953</v>
      </c>
      <c r="E436" s="183"/>
      <c r="F436" s="183"/>
      <c r="G436" s="183"/>
      <c r="H436" s="183"/>
      <c r="I436" s="183"/>
      <c r="J436" s="183"/>
      <c r="K436" s="183"/>
      <c r="L436" s="205">
        <v>73908</v>
      </c>
      <c r="M436" s="205">
        <v>70000</v>
      </c>
      <c r="N436" s="160">
        <v>0</v>
      </c>
      <c r="O436" s="160">
        <v>0</v>
      </c>
      <c r="P436" s="159">
        <v>0</v>
      </c>
      <c r="Q436" s="159">
        <v>0</v>
      </c>
      <c r="R436" s="159">
        <v>0</v>
      </c>
      <c r="S436" s="159">
        <v>0</v>
      </c>
      <c r="T436" s="159">
        <v>0</v>
      </c>
    </row>
    <row r="437" spans="1:21" ht="24" customHeight="1">
      <c r="A437" s="247" t="s">
        <v>1254</v>
      </c>
      <c r="B437" s="183"/>
      <c r="C437" s="183"/>
      <c r="D437" s="1" t="s">
        <v>1255</v>
      </c>
      <c r="E437" s="183"/>
      <c r="F437" s="183"/>
      <c r="G437" s="183"/>
      <c r="H437" s="183"/>
      <c r="I437" s="183"/>
      <c r="J437" s="183"/>
      <c r="K437" s="183"/>
      <c r="L437" s="205">
        <f>L74+L100+L130+L165+L192+L558+L664+L797+L828</f>
        <v>0</v>
      </c>
      <c r="M437" s="205">
        <v>0</v>
      </c>
      <c r="N437" s="380">
        <v>34411</v>
      </c>
      <c r="O437" s="380">
        <f>O74+O100+O130+O165+O192+O558+O664+O797+O828</f>
        <v>34411</v>
      </c>
      <c r="P437" s="205">
        <v>14080</v>
      </c>
      <c r="Q437" s="205">
        <v>16154</v>
      </c>
      <c r="R437" s="205">
        <v>20421</v>
      </c>
      <c r="S437" s="205">
        <v>37924</v>
      </c>
      <c r="T437" s="205">
        <v>43700</v>
      </c>
    </row>
    <row r="438" spans="1:21" ht="24" customHeight="1">
      <c r="A438" s="247" t="s">
        <v>1009</v>
      </c>
      <c r="B438" s="248"/>
      <c r="C438" s="183"/>
      <c r="D438" s="495" t="s">
        <v>841</v>
      </c>
      <c r="E438" s="495"/>
      <c r="F438" s="495"/>
      <c r="G438" s="495"/>
      <c r="H438" s="495"/>
      <c r="I438" s="495"/>
      <c r="J438" s="495"/>
      <c r="K438" s="495"/>
      <c r="L438" s="192">
        <v>86</v>
      </c>
      <c r="M438" s="192">
        <v>350</v>
      </c>
      <c r="N438" s="144">
        <v>150</v>
      </c>
      <c r="O438" s="144">
        <v>850</v>
      </c>
      <c r="P438" s="143">
        <v>850</v>
      </c>
      <c r="Q438" s="143">
        <v>850</v>
      </c>
      <c r="R438" s="143">
        <v>850</v>
      </c>
      <c r="S438" s="143">
        <v>850</v>
      </c>
      <c r="T438" s="143">
        <v>850</v>
      </c>
    </row>
    <row r="439" spans="1:21" ht="24" customHeight="1">
      <c r="A439" s="247" t="s">
        <v>1312</v>
      </c>
      <c r="B439" s="248"/>
      <c r="C439" s="183"/>
      <c r="D439" s="125" t="s">
        <v>1308</v>
      </c>
      <c r="E439" s="125"/>
      <c r="F439" s="125"/>
      <c r="G439" s="125"/>
      <c r="H439" s="125"/>
      <c r="I439" s="125"/>
      <c r="J439" s="125"/>
      <c r="K439" s="125"/>
      <c r="L439" s="193">
        <v>0</v>
      </c>
      <c r="M439" s="193">
        <v>246</v>
      </c>
      <c r="N439" s="148">
        <v>0</v>
      </c>
      <c r="O439" s="148">
        <v>0</v>
      </c>
      <c r="P439" s="145">
        <v>0</v>
      </c>
      <c r="Q439" s="145">
        <v>0</v>
      </c>
      <c r="R439" s="145">
        <v>0</v>
      </c>
      <c r="S439" s="145">
        <v>0</v>
      </c>
      <c r="T439" s="145">
        <v>0</v>
      </c>
    </row>
    <row r="440" spans="1:21" ht="24" customHeight="1">
      <c r="A440" s="247" t="s">
        <v>1010</v>
      </c>
      <c r="B440" s="183"/>
      <c r="C440" s="183"/>
      <c r="D440" s="247" t="s">
        <v>842</v>
      </c>
      <c r="E440" s="183"/>
      <c r="F440" s="183"/>
      <c r="G440" s="183"/>
      <c r="H440" s="183"/>
      <c r="I440" s="183"/>
      <c r="J440" s="183"/>
      <c r="K440" s="183"/>
      <c r="L440" s="193">
        <v>435</v>
      </c>
      <c r="M440" s="193">
        <v>214</v>
      </c>
      <c r="N440" s="148">
        <v>0</v>
      </c>
      <c r="O440" s="148">
        <v>0</v>
      </c>
      <c r="P440" s="145">
        <v>0</v>
      </c>
      <c r="Q440" s="145">
        <v>0</v>
      </c>
      <c r="R440" s="145">
        <v>0</v>
      </c>
      <c r="S440" s="145">
        <v>0</v>
      </c>
      <c r="T440" s="145">
        <v>0</v>
      </c>
    </row>
    <row r="441" spans="1:21" ht="24" customHeight="1">
      <c r="A441" s="247" t="s">
        <v>1011</v>
      </c>
      <c r="B441" s="183"/>
      <c r="C441" s="183"/>
      <c r="D441" s="247" t="s">
        <v>840</v>
      </c>
      <c r="E441" s="183"/>
      <c r="F441" s="183"/>
      <c r="G441" s="183"/>
      <c r="H441" s="183"/>
      <c r="I441" s="183"/>
      <c r="J441" s="183"/>
      <c r="K441" s="183"/>
      <c r="L441" s="196">
        <v>5100</v>
      </c>
      <c r="M441" s="196">
        <v>1761</v>
      </c>
      <c r="N441" s="150">
        <v>2000</v>
      </c>
      <c r="O441" s="150">
        <v>0</v>
      </c>
      <c r="P441" s="149">
        <v>2000</v>
      </c>
      <c r="Q441" s="149">
        <v>2000</v>
      </c>
      <c r="R441" s="149">
        <v>2000</v>
      </c>
      <c r="S441" s="149">
        <v>2000</v>
      </c>
      <c r="T441" s="149">
        <v>2000</v>
      </c>
    </row>
    <row r="442" spans="1:21" ht="24" customHeight="1">
      <c r="A442" s="247" t="s">
        <v>1126</v>
      </c>
      <c r="B442" s="183"/>
      <c r="C442" s="183"/>
      <c r="D442" s="247" t="s">
        <v>1127</v>
      </c>
      <c r="E442" s="183"/>
      <c r="F442" s="183"/>
      <c r="G442" s="183"/>
      <c r="H442" s="183"/>
      <c r="I442" s="183"/>
      <c r="J442" s="183"/>
      <c r="K442" s="183"/>
      <c r="L442" s="196">
        <v>0</v>
      </c>
      <c r="M442" s="196">
        <v>0</v>
      </c>
      <c r="N442" s="150">
        <v>0</v>
      </c>
      <c r="O442" s="150">
        <v>0</v>
      </c>
      <c r="P442" s="149">
        <v>0</v>
      </c>
      <c r="Q442" s="149">
        <v>0</v>
      </c>
      <c r="R442" s="149">
        <v>0</v>
      </c>
      <c r="S442" s="149">
        <v>0</v>
      </c>
      <c r="T442" s="149">
        <v>0</v>
      </c>
    </row>
    <row r="443" spans="1:21" ht="24" customHeight="1">
      <c r="A443" s="247" t="s">
        <v>1012</v>
      </c>
      <c r="B443" s="183"/>
      <c r="C443" s="183"/>
      <c r="D443" s="247" t="s">
        <v>929</v>
      </c>
      <c r="E443" s="183"/>
      <c r="F443" s="183"/>
      <c r="G443" s="183"/>
      <c r="H443" s="183"/>
      <c r="I443" s="183"/>
      <c r="J443" s="183"/>
      <c r="K443" s="183"/>
      <c r="L443" s="192">
        <v>5990</v>
      </c>
      <c r="M443" s="192">
        <v>0</v>
      </c>
      <c r="N443" s="144">
        <v>0</v>
      </c>
      <c r="O443" s="144">
        <v>6068</v>
      </c>
      <c r="P443" s="143">
        <v>0</v>
      </c>
      <c r="Q443" s="143">
        <v>0</v>
      </c>
      <c r="R443" s="143">
        <v>0</v>
      </c>
      <c r="S443" s="143">
        <v>0</v>
      </c>
      <c r="T443" s="143">
        <v>0</v>
      </c>
    </row>
    <row r="444" spans="1:21" ht="24" customHeight="1">
      <c r="A444" s="247" t="s">
        <v>1013</v>
      </c>
      <c r="B444" s="183"/>
      <c r="C444" s="183"/>
      <c r="D444" s="247" t="s">
        <v>942</v>
      </c>
      <c r="E444" s="183"/>
      <c r="F444" s="183"/>
      <c r="G444" s="183"/>
      <c r="H444" s="183"/>
      <c r="I444" s="183"/>
      <c r="J444" s="183"/>
      <c r="K444" s="183"/>
      <c r="L444" s="193">
        <v>0</v>
      </c>
      <c r="M444" s="193">
        <v>0</v>
      </c>
      <c r="N444" s="148">
        <v>0</v>
      </c>
      <c r="O444" s="148">
        <v>0</v>
      </c>
      <c r="P444" s="145">
        <v>0</v>
      </c>
      <c r="Q444" s="145">
        <v>0</v>
      </c>
      <c r="R444" s="145">
        <v>0</v>
      </c>
      <c r="S444" s="145">
        <v>0</v>
      </c>
      <c r="T444" s="145">
        <v>0</v>
      </c>
    </row>
    <row r="445" spans="1:21" ht="24" customHeight="1">
      <c r="A445" s="247" t="s">
        <v>1108</v>
      </c>
      <c r="B445" s="183"/>
      <c r="C445" s="183"/>
      <c r="D445" s="247" t="s">
        <v>1109</v>
      </c>
      <c r="E445" s="183"/>
      <c r="F445" s="183"/>
      <c r="G445" s="183"/>
      <c r="H445" s="183"/>
      <c r="I445" s="183"/>
      <c r="J445" s="183"/>
      <c r="K445" s="183"/>
      <c r="L445" s="198">
        <v>248172</v>
      </c>
      <c r="M445" s="198">
        <v>0</v>
      </c>
      <c r="N445" s="153">
        <v>0</v>
      </c>
      <c r="O445" s="153">
        <v>0</v>
      </c>
      <c r="P445" s="152">
        <v>0</v>
      </c>
      <c r="Q445" s="152">
        <v>0</v>
      </c>
      <c r="R445" s="152">
        <v>0</v>
      </c>
      <c r="S445" s="152">
        <v>0</v>
      </c>
      <c r="T445" s="152">
        <v>0</v>
      </c>
    </row>
    <row r="446" spans="1:21" ht="15" customHeight="1">
      <c r="A446" s="183"/>
      <c r="B446" s="183"/>
      <c r="C446" s="183"/>
      <c r="D446" s="183"/>
      <c r="E446" s="183"/>
      <c r="F446" s="183"/>
      <c r="G446" s="183"/>
      <c r="H446" s="183"/>
      <c r="I446" s="183"/>
      <c r="J446" s="183"/>
      <c r="K446" s="183"/>
      <c r="L446" s="199"/>
      <c r="M446" s="199"/>
      <c r="N446" s="155"/>
      <c r="O446" s="155"/>
      <c r="P446" s="154"/>
      <c r="Q446" s="154"/>
      <c r="R446" s="154"/>
      <c r="S446" s="154"/>
      <c r="T446" s="154"/>
    </row>
    <row r="447" spans="1:21" s="183" customFormat="1" ht="24" customHeight="1">
      <c r="K447" s="251" t="s">
        <v>454</v>
      </c>
      <c r="L447" s="201">
        <f t="shared" ref="L447:T447" si="28">SUM(L423:L446)</f>
        <v>637389</v>
      </c>
      <c r="M447" s="201">
        <f t="shared" si="28"/>
        <v>441978</v>
      </c>
      <c r="N447" s="202">
        <f t="shared" si="28"/>
        <v>370502</v>
      </c>
      <c r="O447" s="202">
        <f t="shared" si="28"/>
        <v>447731</v>
      </c>
      <c r="P447" s="201">
        <f t="shared" si="28"/>
        <v>161112</v>
      </c>
      <c r="Q447" s="201">
        <f t="shared" si="28"/>
        <v>164254</v>
      </c>
      <c r="R447" s="201">
        <f t="shared" si="28"/>
        <v>168521</v>
      </c>
      <c r="S447" s="201">
        <f t="shared" si="28"/>
        <v>188850</v>
      </c>
      <c r="T447" s="201">
        <f t="shared" si="28"/>
        <v>196435</v>
      </c>
      <c r="U447" s="64"/>
    </row>
    <row r="448" spans="1:21" ht="15" customHeight="1">
      <c r="A448" s="183"/>
      <c r="B448" s="183"/>
      <c r="C448" s="183"/>
      <c r="D448" s="183"/>
      <c r="E448" s="183"/>
      <c r="F448" s="183"/>
      <c r="G448" s="183"/>
      <c r="H448" s="183"/>
      <c r="I448" s="183"/>
      <c r="J448" s="183"/>
      <c r="K448" s="183"/>
      <c r="L448" s="199"/>
      <c r="M448" s="199"/>
      <c r="N448" s="155"/>
      <c r="O448" s="155"/>
      <c r="P448" s="154"/>
      <c r="Q448" s="154"/>
      <c r="R448" s="154"/>
      <c r="S448" s="154"/>
      <c r="T448" s="154"/>
    </row>
    <row r="449" spans="1:21" ht="24" customHeight="1">
      <c r="A449" s="251" t="s">
        <v>625</v>
      </c>
      <c r="B449" s="183"/>
      <c r="C449" s="183"/>
      <c r="D449" s="183"/>
      <c r="E449" s="183"/>
      <c r="F449" s="183"/>
      <c r="G449" s="183"/>
      <c r="H449" s="183"/>
      <c r="I449" s="183"/>
      <c r="J449" s="183"/>
      <c r="K449" s="183"/>
      <c r="L449" s="199"/>
      <c r="M449" s="199"/>
      <c r="N449" s="155"/>
      <c r="O449" s="155"/>
      <c r="P449" s="154"/>
      <c r="Q449" s="154"/>
      <c r="R449" s="154"/>
      <c r="S449" s="154"/>
      <c r="T449" s="154"/>
    </row>
    <row r="450" spans="1:21" ht="24" customHeight="1">
      <c r="A450" s="247" t="s">
        <v>963</v>
      </c>
      <c r="B450" s="183"/>
      <c r="C450" s="183"/>
      <c r="D450" s="183" t="s">
        <v>756</v>
      </c>
      <c r="E450" s="183"/>
      <c r="F450" s="183"/>
      <c r="G450" s="183"/>
      <c r="H450" s="183"/>
      <c r="I450" s="183"/>
      <c r="J450" s="183"/>
      <c r="K450" s="183"/>
      <c r="L450" s="199">
        <v>2700</v>
      </c>
      <c r="M450" s="199">
        <v>9915</v>
      </c>
      <c r="N450" s="155">
        <v>0</v>
      </c>
      <c r="O450" s="155">
        <v>0</v>
      </c>
      <c r="P450" s="154">
        <v>0</v>
      </c>
      <c r="Q450" s="154">
        <v>0</v>
      </c>
      <c r="R450" s="154">
        <v>0</v>
      </c>
      <c r="S450" s="154">
        <v>0</v>
      </c>
      <c r="T450" s="154">
        <v>0</v>
      </c>
    </row>
    <row r="451" spans="1:21" ht="24" customHeight="1">
      <c r="A451" s="247" t="s">
        <v>809</v>
      </c>
      <c r="B451" s="248"/>
      <c r="C451" s="248"/>
      <c r="D451" s="448" t="s">
        <v>914</v>
      </c>
      <c r="E451" s="447"/>
      <c r="F451" s="447"/>
      <c r="G451" s="447"/>
      <c r="H451" s="447"/>
      <c r="I451" s="447"/>
      <c r="J451" s="447"/>
      <c r="K451" s="447"/>
      <c r="L451" s="209">
        <v>760</v>
      </c>
      <c r="M451" s="209">
        <v>8570</v>
      </c>
      <c r="N451" s="172">
        <v>8750</v>
      </c>
      <c r="O451" s="172">
        <v>8750</v>
      </c>
      <c r="P451" s="166">
        <v>8750</v>
      </c>
      <c r="Q451" s="166">
        <v>8750</v>
      </c>
      <c r="R451" s="166">
        <v>8750</v>
      </c>
      <c r="S451" s="166">
        <v>8750</v>
      </c>
      <c r="T451" s="166">
        <v>8750</v>
      </c>
    </row>
    <row r="452" spans="1:21" ht="24" customHeight="1">
      <c r="A452" s="247" t="s">
        <v>810</v>
      </c>
      <c r="B452" s="250"/>
      <c r="C452" s="250"/>
      <c r="D452" s="247" t="s">
        <v>254</v>
      </c>
      <c r="E452" s="250"/>
      <c r="F452" s="250"/>
      <c r="G452" s="250"/>
      <c r="H452" s="250"/>
      <c r="I452" s="250"/>
      <c r="J452" s="250"/>
      <c r="K452" s="250"/>
      <c r="L452" s="190">
        <v>0</v>
      </c>
      <c r="M452" s="190">
        <v>28278</v>
      </c>
      <c r="N452" s="141">
        <v>5000</v>
      </c>
      <c r="O452" s="141">
        <v>5000</v>
      </c>
      <c r="P452" s="140">
        <v>5000</v>
      </c>
      <c r="Q452" s="140">
        <v>0</v>
      </c>
      <c r="R452" s="140">
        <v>0</v>
      </c>
      <c r="S452" s="140">
        <v>0</v>
      </c>
      <c r="T452" s="140">
        <v>0</v>
      </c>
    </row>
    <row r="453" spans="1:21" ht="24" customHeight="1">
      <c r="A453" s="247" t="s">
        <v>811</v>
      </c>
      <c r="B453" s="250"/>
      <c r="C453" s="250"/>
      <c r="D453" s="492" t="s">
        <v>255</v>
      </c>
      <c r="E453" s="492"/>
      <c r="F453" s="492"/>
      <c r="G453" s="492"/>
      <c r="H453" s="492"/>
      <c r="I453" s="492"/>
      <c r="J453" s="492"/>
      <c r="K453" s="492"/>
      <c r="L453" s="207">
        <v>141832</v>
      </c>
      <c r="M453" s="207">
        <v>154039</v>
      </c>
      <c r="N453" s="163">
        <v>155000</v>
      </c>
      <c r="O453" s="163">
        <v>155000</v>
      </c>
      <c r="P453" s="162">
        <v>55000</v>
      </c>
      <c r="Q453" s="162">
        <v>55000</v>
      </c>
      <c r="R453" s="162">
        <v>55000</v>
      </c>
      <c r="S453" s="162">
        <v>55000</v>
      </c>
      <c r="T453" s="162">
        <v>55000</v>
      </c>
    </row>
    <row r="454" spans="1:21" s="183" customFormat="1" ht="24" customHeight="1">
      <c r="K454" s="251"/>
      <c r="L454" s="218">
        <f>SUM(L450:L453)</f>
        <v>145292</v>
      </c>
      <c r="M454" s="218">
        <f t="shared" ref="M454:T454" si="29">SUM(M450:M453)</f>
        <v>200802</v>
      </c>
      <c r="N454" s="219">
        <f t="shared" si="29"/>
        <v>168750</v>
      </c>
      <c r="O454" s="219">
        <f t="shared" si="29"/>
        <v>168750</v>
      </c>
      <c r="P454" s="218">
        <f t="shared" si="29"/>
        <v>68750</v>
      </c>
      <c r="Q454" s="218">
        <f t="shared" si="29"/>
        <v>63750</v>
      </c>
      <c r="R454" s="218">
        <f t="shared" si="29"/>
        <v>63750</v>
      </c>
      <c r="S454" s="218">
        <f>SUM(S450:S453)</f>
        <v>63750</v>
      </c>
      <c r="T454" s="218">
        <f t="shared" si="29"/>
        <v>63750</v>
      </c>
      <c r="U454" s="64"/>
    </row>
    <row r="455" spans="1:21" ht="15" customHeight="1">
      <c r="A455" s="183"/>
      <c r="B455" s="183"/>
      <c r="C455" s="183"/>
      <c r="D455" s="183"/>
      <c r="E455" s="183"/>
      <c r="F455" s="183"/>
      <c r="G455" s="183"/>
      <c r="H455" s="183"/>
      <c r="I455" s="183"/>
      <c r="J455" s="183"/>
      <c r="K455" s="183"/>
      <c r="L455" s="218"/>
      <c r="M455" s="218"/>
      <c r="N455" s="174"/>
      <c r="O455" s="174"/>
      <c r="P455" s="173"/>
      <c r="Q455" s="173"/>
      <c r="R455" s="173"/>
      <c r="S455" s="173"/>
      <c r="T455" s="173"/>
    </row>
    <row r="456" spans="1:21" ht="24" customHeight="1">
      <c r="A456" s="251" t="s">
        <v>1228</v>
      </c>
      <c r="B456" s="183"/>
      <c r="C456" s="183"/>
      <c r="D456" s="183"/>
      <c r="E456" s="183"/>
      <c r="F456" s="183"/>
      <c r="G456" s="183"/>
      <c r="H456" s="183"/>
      <c r="I456" s="183"/>
      <c r="J456" s="183"/>
      <c r="K456" s="183"/>
      <c r="L456" s="218"/>
      <c r="M456" s="218"/>
      <c r="N456" s="174"/>
      <c r="O456" s="174"/>
      <c r="P456" s="173"/>
      <c r="Q456" s="173"/>
      <c r="R456" s="173"/>
      <c r="S456" s="173"/>
      <c r="T456" s="173"/>
    </row>
    <row r="457" spans="1:21" ht="24" customHeight="1">
      <c r="A457" s="247" t="s">
        <v>1272</v>
      </c>
      <c r="B457" s="248"/>
      <c r="C457" s="248"/>
      <c r="D457" s="247" t="s">
        <v>224</v>
      </c>
      <c r="E457" s="248"/>
      <c r="F457" s="248"/>
      <c r="G457" s="248"/>
      <c r="H457" s="248"/>
      <c r="I457" s="248"/>
      <c r="J457" s="248"/>
      <c r="K457" s="248"/>
      <c r="L457" s="218">
        <f>L437</f>
        <v>0</v>
      </c>
      <c r="M457" s="213">
        <v>0</v>
      </c>
      <c r="N457" s="214">
        <f>N437</f>
        <v>34411</v>
      </c>
      <c r="O457" s="214">
        <v>34411</v>
      </c>
      <c r="P457" s="213">
        <v>14080</v>
      </c>
      <c r="Q457" s="213">
        <v>16154</v>
      </c>
      <c r="R457" s="213">
        <v>20421</v>
      </c>
      <c r="S457" s="213">
        <v>37924</v>
      </c>
      <c r="T457" s="213">
        <v>43700</v>
      </c>
    </row>
    <row r="458" spans="1:21" ht="24" customHeight="1">
      <c r="A458" s="247" t="s">
        <v>1273</v>
      </c>
      <c r="B458" s="250"/>
      <c r="C458" s="250"/>
      <c r="D458" s="492" t="s">
        <v>255</v>
      </c>
      <c r="E458" s="492"/>
      <c r="F458" s="492"/>
      <c r="G458" s="492"/>
      <c r="H458" s="492"/>
      <c r="I458" s="492"/>
      <c r="J458" s="492"/>
      <c r="K458" s="492"/>
      <c r="L458" s="207">
        <v>0</v>
      </c>
      <c r="M458" s="207">
        <v>0</v>
      </c>
      <c r="N458" s="163">
        <v>40000</v>
      </c>
      <c r="O458" s="163">
        <v>44985</v>
      </c>
      <c r="P458" s="162">
        <v>0</v>
      </c>
      <c r="Q458" s="162">
        <v>0</v>
      </c>
      <c r="R458" s="162">
        <v>0</v>
      </c>
      <c r="S458" s="162">
        <v>0</v>
      </c>
      <c r="T458" s="162">
        <v>0</v>
      </c>
    </row>
    <row r="459" spans="1:21" ht="24" customHeight="1">
      <c r="A459" s="183"/>
      <c r="B459" s="183"/>
      <c r="C459" s="183"/>
      <c r="D459" s="183"/>
      <c r="E459" s="183"/>
      <c r="F459" s="183"/>
      <c r="G459" s="183"/>
      <c r="H459" s="183"/>
      <c r="I459" s="183"/>
      <c r="J459" s="183"/>
      <c r="K459" s="251"/>
      <c r="L459" s="218">
        <f t="shared" ref="L459:T459" si="30">SUM(L457:L458)</f>
        <v>0</v>
      </c>
      <c r="M459" s="218">
        <f t="shared" si="30"/>
        <v>0</v>
      </c>
      <c r="N459" s="219">
        <f t="shared" si="30"/>
        <v>74411</v>
      </c>
      <c r="O459" s="219">
        <f t="shared" si="30"/>
        <v>79396</v>
      </c>
      <c r="P459" s="218">
        <f t="shared" si="30"/>
        <v>14080</v>
      </c>
      <c r="Q459" s="218">
        <f t="shared" si="30"/>
        <v>16154</v>
      </c>
      <c r="R459" s="218">
        <f t="shared" si="30"/>
        <v>20421</v>
      </c>
      <c r="S459" s="218">
        <f t="shared" si="30"/>
        <v>37924</v>
      </c>
      <c r="T459" s="218">
        <f t="shared" si="30"/>
        <v>43700</v>
      </c>
      <c r="U459" s="64"/>
    </row>
    <row r="460" spans="1:21" ht="15" customHeight="1">
      <c r="A460" s="183"/>
      <c r="B460" s="183"/>
      <c r="C460" s="183"/>
      <c r="D460" s="183"/>
      <c r="E460" s="183"/>
      <c r="F460" s="183"/>
      <c r="G460" s="183"/>
      <c r="H460" s="183"/>
      <c r="I460" s="183"/>
      <c r="J460" s="183"/>
      <c r="K460" s="183"/>
      <c r="L460" s="218"/>
      <c r="M460" s="218"/>
      <c r="N460" s="174"/>
      <c r="O460" s="174"/>
      <c r="P460" s="173"/>
      <c r="Q460" s="173"/>
      <c r="R460" s="173"/>
      <c r="S460" s="173"/>
      <c r="T460" s="173"/>
    </row>
    <row r="461" spans="1:21" ht="24" customHeight="1">
      <c r="A461" s="251" t="s">
        <v>703</v>
      </c>
      <c r="B461" s="183"/>
      <c r="C461" s="183"/>
      <c r="D461" s="183"/>
      <c r="E461" s="183"/>
      <c r="F461" s="183"/>
      <c r="G461" s="183"/>
      <c r="H461" s="183"/>
      <c r="I461" s="183"/>
      <c r="J461" s="183"/>
      <c r="K461" s="183"/>
      <c r="L461" s="218"/>
      <c r="M461" s="218"/>
      <c r="N461" s="174"/>
      <c r="O461" s="174"/>
      <c r="P461" s="173"/>
      <c r="Q461" s="173"/>
      <c r="R461" s="173"/>
      <c r="S461" s="173"/>
      <c r="T461" s="173"/>
    </row>
    <row r="462" spans="1:21" ht="24" customHeight="1">
      <c r="A462" s="247" t="s">
        <v>812</v>
      </c>
      <c r="B462" s="183"/>
      <c r="C462" s="183"/>
      <c r="D462" s="183" t="s">
        <v>756</v>
      </c>
      <c r="E462" s="183"/>
      <c r="F462" s="183"/>
      <c r="G462" s="183"/>
      <c r="H462" s="183"/>
      <c r="I462" s="183"/>
      <c r="J462" s="183"/>
      <c r="K462" s="183"/>
      <c r="L462" s="193">
        <v>25950</v>
      </c>
      <c r="M462" s="193">
        <v>34170</v>
      </c>
      <c r="N462" s="148">
        <v>0</v>
      </c>
      <c r="O462" s="148">
        <v>0</v>
      </c>
      <c r="P462" s="145">
        <v>0</v>
      </c>
      <c r="Q462" s="145">
        <v>0</v>
      </c>
      <c r="R462" s="145">
        <v>0</v>
      </c>
      <c r="S462" s="145">
        <v>0</v>
      </c>
      <c r="T462" s="145">
        <v>0</v>
      </c>
    </row>
    <row r="463" spans="1:21" ht="24" customHeight="1">
      <c r="A463" s="247" t="s">
        <v>813</v>
      </c>
      <c r="B463" s="248"/>
      <c r="C463" s="248"/>
      <c r="D463" s="247" t="s">
        <v>49</v>
      </c>
      <c r="E463" s="248"/>
      <c r="F463" s="248"/>
      <c r="G463" s="248"/>
      <c r="H463" s="248"/>
      <c r="I463" s="248"/>
      <c r="J463" s="248"/>
      <c r="K463" s="248"/>
      <c r="L463" s="193">
        <v>294</v>
      </c>
      <c r="M463" s="193">
        <v>294</v>
      </c>
      <c r="N463" s="148">
        <v>1750</v>
      </c>
      <c r="O463" s="148">
        <v>784</v>
      </c>
      <c r="P463" s="145">
        <v>750</v>
      </c>
      <c r="Q463" s="145">
        <v>750</v>
      </c>
      <c r="R463" s="145">
        <v>750</v>
      </c>
      <c r="S463" s="145">
        <v>750</v>
      </c>
      <c r="T463" s="145">
        <v>750</v>
      </c>
      <c r="U463" s="287"/>
    </row>
    <row r="464" spans="1:21" ht="24" customHeight="1">
      <c r="A464" s="247" t="s">
        <v>814</v>
      </c>
      <c r="B464" s="248"/>
      <c r="C464" s="248"/>
      <c r="D464" s="247" t="s">
        <v>12</v>
      </c>
      <c r="E464" s="248"/>
      <c r="F464" s="248"/>
      <c r="G464" s="248"/>
      <c r="H464" s="248"/>
      <c r="I464" s="248"/>
      <c r="J464" s="248"/>
      <c r="K464" s="248"/>
      <c r="L464" s="205">
        <v>0</v>
      </c>
      <c r="M464" s="205">
        <v>0</v>
      </c>
      <c r="N464" s="160">
        <v>2000</v>
      </c>
      <c r="O464" s="160">
        <v>0</v>
      </c>
      <c r="P464" s="159">
        <v>2000</v>
      </c>
      <c r="Q464" s="159">
        <v>2000</v>
      </c>
      <c r="R464" s="159">
        <v>2000</v>
      </c>
      <c r="S464" s="159">
        <v>2000</v>
      </c>
      <c r="T464" s="159">
        <v>2000</v>
      </c>
    </row>
    <row r="465" spans="1:21" ht="24" customHeight="1">
      <c r="A465" s="247" t="s">
        <v>815</v>
      </c>
      <c r="B465" s="250"/>
      <c r="C465" s="250"/>
      <c r="D465" s="247" t="s">
        <v>254</v>
      </c>
      <c r="E465" s="250"/>
      <c r="F465" s="250"/>
      <c r="G465" s="250"/>
      <c r="H465" s="250"/>
      <c r="I465" s="250"/>
      <c r="J465" s="250"/>
      <c r="K465" s="250"/>
      <c r="L465" s="193">
        <v>24098</v>
      </c>
      <c r="M465" s="193">
        <v>0</v>
      </c>
      <c r="N465" s="144">
        <v>13200</v>
      </c>
      <c r="O465" s="144">
        <v>13200</v>
      </c>
      <c r="P465" s="143">
        <v>7000</v>
      </c>
      <c r="Q465" s="143">
        <v>7000</v>
      </c>
      <c r="R465" s="143">
        <v>7000</v>
      </c>
      <c r="S465" s="143">
        <v>14000</v>
      </c>
      <c r="T465" s="143">
        <v>0</v>
      </c>
    </row>
    <row r="466" spans="1:21" ht="24" customHeight="1">
      <c r="A466" s="247" t="s">
        <v>816</v>
      </c>
      <c r="B466" s="250"/>
      <c r="C466" s="250"/>
      <c r="D466" s="492" t="s">
        <v>255</v>
      </c>
      <c r="E466" s="492"/>
      <c r="F466" s="492"/>
      <c r="G466" s="492"/>
      <c r="H466" s="492"/>
      <c r="I466" s="492"/>
      <c r="J466" s="492"/>
      <c r="K466" s="492"/>
      <c r="L466" s="192">
        <v>44424</v>
      </c>
      <c r="M466" s="192">
        <v>20821</v>
      </c>
      <c r="N466" s="144">
        <v>35000</v>
      </c>
      <c r="O466" s="144">
        <v>35000</v>
      </c>
      <c r="P466" s="143">
        <v>0</v>
      </c>
      <c r="Q466" s="143">
        <v>0</v>
      </c>
      <c r="R466" s="143">
        <v>0</v>
      </c>
      <c r="S466" s="143">
        <v>0</v>
      </c>
      <c r="T466" s="143">
        <v>0</v>
      </c>
    </row>
    <row r="467" spans="1:21" ht="24" customHeight="1">
      <c r="A467" s="289" t="s">
        <v>832</v>
      </c>
      <c r="B467" s="250"/>
      <c r="C467" s="250"/>
      <c r="D467" s="247"/>
      <c r="E467" s="250"/>
      <c r="F467" s="250"/>
      <c r="G467" s="250"/>
      <c r="H467" s="250"/>
      <c r="I467" s="250"/>
      <c r="J467" s="250"/>
      <c r="L467" s="192"/>
      <c r="M467" s="192"/>
      <c r="N467" s="144"/>
      <c r="O467" s="144"/>
      <c r="P467" s="143"/>
      <c r="Q467" s="143"/>
      <c r="R467" s="143"/>
      <c r="S467" s="143"/>
      <c r="T467" s="143"/>
    </row>
    <row r="468" spans="1:21" ht="24" customHeight="1">
      <c r="A468" s="247" t="s">
        <v>817</v>
      </c>
      <c r="B468" s="250"/>
      <c r="C468" s="250"/>
      <c r="D468" s="247" t="s">
        <v>879</v>
      </c>
      <c r="E468" s="250"/>
      <c r="F468" s="250"/>
      <c r="G468" s="250"/>
      <c r="H468" s="250"/>
      <c r="I468" s="250"/>
      <c r="J468" s="250"/>
      <c r="K468" s="250"/>
      <c r="L468" s="192">
        <v>41430</v>
      </c>
      <c r="M468" s="192">
        <v>43303</v>
      </c>
      <c r="N468" s="144">
        <v>43303</v>
      </c>
      <c r="O468" s="144">
        <v>43922</v>
      </c>
      <c r="P468" s="143">
        <v>44429</v>
      </c>
      <c r="Q468" s="143">
        <v>47089</v>
      </c>
      <c r="R468" s="143">
        <v>49909</v>
      </c>
      <c r="S468" s="143">
        <v>52898</v>
      </c>
      <c r="T468" s="143">
        <v>56065</v>
      </c>
    </row>
    <row r="469" spans="1:21" ht="24" customHeight="1">
      <c r="A469" s="247" t="s">
        <v>818</v>
      </c>
      <c r="B469" s="250"/>
      <c r="C469" s="250"/>
      <c r="D469" s="247" t="s">
        <v>257</v>
      </c>
      <c r="E469" s="250"/>
      <c r="F469" s="250"/>
      <c r="G469" s="250"/>
      <c r="H469" s="250"/>
      <c r="I469" s="250"/>
      <c r="J469" s="250"/>
      <c r="K469" s="250"/>
      <c r="L469" s="207">
        <v>29385</v>
      </c>
      <c r="M469" s="207">
        <v>27512</v>
      </c>
      <c r="N469" s="163">
        <v>27512</v>
      </c>
      <c r="O469" s="163">
        <v>28856</v>
      </c>
      <c r="P469" s="162">
        <v>31095</v>
      </c>
      <c r="Q469" s="162">
        <v>28434</v>
      </c>
      <c r="R469" s="162">
        <v>25614</v>
      </c>
      <c r="S469" s="162">
        <v>22626</v>
      </c>
      <c r="T469" s="162">
        <v>19458</v>
      </c>
    </row>
    <row r="470" spans="1:21" s="183" customFormat="1" ht="24" customHeight="1">
      <c r="K470" s="251"/>
      <c r="L470" s="218">
        <f t="shared" ref="L470:T470" si="31">SUM(L462:L469)</f>
        <v>165581</v>
      </c>
      <c r="M470" s="218">
        <f t="shared" si="31"/>
        <v>126100</v>
      </c>
      <c r="N470" s="219">
        <f t="shared" si="31"/>
        <v>122765</v>
      </c>
      <c r="O470" s="219">
        <f t="shared" si="31"/>
        <v>121762</v>
      </c>
      <c r="P470" s="218">
        <f t="shared" si="31"/>
        <v>85274</v>
      </c>
      <c r="Q470" s="218">
        <f t="shared" si="31"/>
        <v>85273</v>
      </c>
      <c r="R470" s="218">
        <f t="shared" si="31"/>
        <v>85273</v>
      </c>
      <c r="S470" s="218">
        <f t="shared" si="31"/>
        <v>92274</v>
      </c>
      <c r="T470" s="218">
        <f t="shared" si="31"/>
        <v>78273</v>
      </c>
      <c r="U470" s="64"/>
    </row>
    <row r="471" spans="1:21" ht="15" customHeight="1">
      <c r="A471" s="183"/>
      <c r="B471" s="183"/>
      <c r="C471" s="183"/>
      <c r="D471" s="183"/>
      <c r="E471" s="183"/>
      <c r="F471" s="183"/>
      <c r="G471" s="183"/>
      <c r="H471" s="183"/>
      <c r="I471" s="183"/>
      <c r="J471" s="183"/>
      <c r="K471" s="183"/>
      <c r="L471" s="218"/>
      <c r="M471" s="218"/>
      <c r="N471" s="174"/>
      <c r="O471" s="174"/>
      <c r="P471" s="173"/>
      <c r="Q471" s="173"/>
      <c r="R471" s="173"/>
      <c r="S471" s="173"/>
      <c r="T471" s="173"/>
    </row>
    <row r="472" spans="1:21" ht="24" customHeight="1">
      <c r="A472" s="251" t="s">
        <v>833</v>
      </c>
      <c r="B472" s="183"/>
      <c r="C472" s="183"/>
      <c r="D472" s="183"/>
      <c r="E472" s="183"/>
      <c r="F472" s="183"/>
      <c r="G472" s="183"/>
      <c r="H472" s="183"/>
      <c r="I472" s="183"/>
      <c r="J472" s="183"/>
      <c r="K472" s="183"/>
      <c r="L472" s="218"/>
      <c r="M472" s="218"/>
      <c r="N472" s="174"/>
      <c r="O472" s="174"/>
      <c r="P472" s="173"/>
      <c r="Q472" s="173"/>
      <c r="R472" s="173"/>
      <c r="S472" s="173"/>
      <c r="T472" s="173"/>
    </row>
    <row r="473" spans="1:21" ht="24" customHeight="1">
      <c r="A473" s="247" t="s">
        <v>964</v>
      </c>
      <c r="B473" s="183"/>
      <c r="C473" s="183"/>
      <c r="D473" s="183" t="s">
        <v>756</v>
      </c>
      <c r="E473" s="183"/>
      <c r="F473" s="183"/>
      <c r="G473" s="183"/>
      <c r="H473" s="183"/>
      <c r="I473" s="183"/>
      <c r="J473" s="183"/>
      <c r="K473" s="183"/>
      <c r="L473" s="213">
        <v>50</v>
      </c>
      <c r="M473" s="213">
        <v>850</v>
      </c>
      <c r="N473" s="171">
        <v>0</v>
      </c>
      <c r="O473" s="171">
        <v>0</v>
      </c>
      <c r="P473" s="170">
        <v>0</v>
      </c>
      <c r="Q473" s="170">
        <v>0</v>
      </c>
      <c r="R473" s="170">
        <v>0</v>
      </c>
      <c r="S473" s="170">
        <v>0</v>
      </c>
      <c r="T473" s="170">
        <v>0</v>
      </c>
    </row>
    <row r="474" spans="1:21" ht="24" customHeight="1">
      <c r="A474" s="247" t="s">
        <v>1153</v>
      </c>
      <c r="B474" s="183"/>
      <c r="C474" s="183"/>
      <c r="D474" s="183" t="s">
        <v>10</v>
      </c>
      <c r="E474" s="183"/>
      <c r="F474" s="183"/>
      <c r="G474" s="183"/>
      <c r="H474" s="183"/>
      <c r="I474" s="183"/>
      <c r="J474" s="183"/>
      <c r="K474" s="183"/>
      <c r="L474" s="213">
        <v>1772</v>
      </c>
      <c r="M474" s="213">
        <v>0</v>
      </c>
      <c r="N474" s="171">
        <v>0</v>
      </c>
      <c r="O474" s="171">
        <v>0</v>
      </c>
      <c r="P474" s="170">
        <v>0</v>
      </c>
      <c r="Q474" s="170">
        <v>0</v>
      </c>
      <c r="R474" s="170">
        <v>0</v>
      </c>
      <c r="S474" s="170">
        <v>0</v>
      </c>
      <c r="T474" s="170">
        <v>0</v>
      </c>
    </row>
    <row r="475" spans="1:21" ht="24" customHeight="1">
      <c r="A475" s="247" t="s">
        <v>1339</v>
      </c>
      <c r="B475" s="183"/>
      <c r="C475" s="183"/>
      <c r="D475" s="454" t="s">
        <v>914</v>
      </c>
      <c r="E475" s="453"/>
      <c r="F475" s="453"/>
      <c r="G475" s="453"/>
      <c r="H475" s="453"/>
      <c r="I475" s="453"/>
      <c r="J475" s="453"/>
      <c r="K475" s="453"/>
      <c r="L475" s="213">
        <v>0</v>
      </c>
      <c r="M475" s="213">
        <v>0</v>
      </c>
      <c r="N475" s="171">
        <v>0</v>
      </c>
      <c r="O475" s="171">
        <v>0</v>
      </c>
      <c r="P475" s="170">
        <v>5000</v>
      </c>
      <c r="Q475" s="170">
        <v>2000</v>
      </c>
      <c r="R475" s="170">
        <v>2000</v>
      </c>
      <c r="S475" s="170">
        <v>2000</v>
      </c>
      <c r="T475" s="170">
        <v>2000</v>
      </c>
    </row>
    <row r="476" spans="1:21" ht="24" customHeight="1">
      <c r="A476" s="247" t="s">
        <v>819</v>
      </c>
      <c r="B476" s="250"/>
      <c r="C476" s="250"/>
      <c r="D476" s="247" t="s">
        <v>254</v>
      </c>
      <c r="E476" s="250"/>
      <c r="F476" s="250"/>
      <c r="G476" s="250"/>
      <c r="H476" s="250"/>
      <c r="I476" s="250"/>
      <c r="J476" s="250"/>
      <c r="K476" s="250"/>
      <c r="L476" s="193">
        <v>53908</v>
      </c>
      <c r="M476" s="193">
        <v>5264</v>
      </c>
      <c r="N476" s="141">
        <v>50000</v>
      </c>
      <c r="O476" s="141">
        <v>50000</v>
      </c>
      <c r="P476" s="140">
        <v>50000</v>
      </c>
      <c r="Q476" s="140">
        <v>0</v>
      </c>
      <c r="R476" s="140">
        <v>0</v>
      </c>
      <c r="S476" s="140">
        <v>0</v>
      </c>
      <c r="T476" s="140">
        <v>0</v>
      </c>
    </row>
    <row r="477" spans="1:21" ht="24" customHeight="1">
      <c r="A477" s="247" t="s">
        <v>943</v>
      </c>
      <c r="B477" s="250"/>
      <c r="C477" s="250"/>
      <c r="D477" s="247" t="s">
        <v>255</v>
      </c>
      <c r="E477" s="250"/>
      <c r="F477" s="250"/>
      <c r="G477" s="250"/>
      <c r="H477" s="250"/>
      <c r="I477" s="250"/>
      <c r="J477" s="250"/>
      <c r="K477" s="250"/>
      <c r="L477" s="193">
        <v>0</v>
      </c>
      <c r="M477" s="193">
        <v>19903</v>
      </c>
      <c r="N477" s="141">
        <v>0</v>
      </c>
      <c r="O477" s="141">
        <v>0</v>
      </c>
      <c r="P477" s="140">
        <v>0</v>
      </c>
      <c r="Q477" s="140">
        <v>0</v>
      </c>
      <c r="R477" s="140">
        <v>0</v>
      </c>
      <c r="S477" s="140">
        <v>0</v>
      </c>
      <c r="T477" s="140">
        <v>0</v>
      </c>
    </row>
    <row r="478" spans="1:21" ht="24" customHeight="1">
      <c r="A478" s="289" t="s">
        <v>832</v>
      </c>
      <c r="B478" s="250"/>
      <c r="C478" s="250"/>
      <c r="D478" s="247"/>
      <c r="E478" s="250"/>
      <c r="F478" s="250"/>
      <c r="G478" s="250"/>
      <c r="H478" s="250"/>
      <c r="I478" s="250"/>
      <c r="J478" s="250"/>
      <c r="K478" s="250"/>
      <c r="L478" s="192"/>
      <c r="M478" s="192"/>
      <c r="N478" s="144"/>
      <c r="O478" s="144"/>
      <c r="P478" s="143"/>
      <c r="Q478" s="143"/>
      <c r="R478" s="143"/>
      <c r="S478" s="143"/>
      <c r="T478" s="143"/>
    </row>
    <row r="479" spans="1:21" ht="24" customHeight="1">
      <c r="A479" s="247" t="s">
        <v>820</v>
      </c>
      <c r="B479" s="250"/>
      <c r="C479" s="250"/>
      <c r="D479" s="247" t="s">
        <v>879</v>
      </c>
      <c r="E479" s="250"/>
      <c r="F479" s="250"/>
      <c r="G479" s="250"/>
      <c r="H479" s="250"/>
      <c r="I479" s="250"/>
      <c r="J479" s="250"/>
      <c r="K479" s="250"/>
      <c r="L479" s="192">
        <v>1298</v>
      </c>
      <c r="M479" s="192">
        <v>1357</v>
      </c>
      <c r="N479" s="144">
        <v>1418</v>
      </c>
      <c r="O479" s="144">
        <v>1376</v>
      </c>
      <c r="P479" s="143">
        <v>1392</v>
      </c>
      <c r="Q479" s="143">
        <v>1475</v>
      </c>
      <c r="R479" s="143">
        <v>1564</v>
      </c>
      <c r="S479" s="143">
        <v>1657</v>
      </c>
      <c r="T479" s="143">
        <v>1757</v>
      </c>
    </row>
    <row r="480" spans="1:21" ht="24" customHeight="1">
      <c r="A480" s="247" t="s">
        <v>821</v>
      </c>
      <c r="B480" s="250"/>
      <c r="C480" s="250"/>
      <c r="D480" s="247" t="s">
        <v>257</v>
      </c>
      <c r="E480" s="250"/>
      <c r="F480" s="250"/>
      <c r="G480" s="250"/>
      <c r="H480" s="250"/>
      <c r="I480" s="250"/>
      <c r="J480" s="250"/>
      <c r="K480" s="250"/>
      <c r="L480" s="207">
        <v>921</v>
      </c>
      <c r="M480" s="207">
        <v>862</v>
      </c>
      <c r="N480" s="163">
        <v>801</v>
      </c>
      <c r="O480" s="163">
        <v>904</v>
      </c>
      <c r="P480" s="162">
        <v>974</v>
      </c>
      <c r="Q480" s="162">
        <v>891</v>
      </c>
      <c r="R480" s="162">
        <v>803</v>
      </c>
      <c r="S480" s="162">
        <v>709</v>
      </c>
      <c r="T480" s="162">
        <v>610</v>
      </c>
    </row>
    <row r="481" spans="1:21" s="183" customFormat="1" ht="24" customHeight="1">
      <c r="K481" s="251"/>
      <c r="L481" s="201">
        <f t="shared" ref="L481:T481" si="32">SUM(L473:L480)</f>
        <v>57949</v>
      </c>
      <c r="M481" s="201">
        <f t="shared" si="32"/>
        <v>28236</v>
      </c>
      <c r="N481" s="202">
        <f t="shared" si="32"/>
        <v>52219</v>
      </c>
      <c r="O481" s="202">
        <f t="shared" si="32"/>
        <v>52280</v>
      </c>
      <c r="P481" s="201">
        <f t="shared" si="32"/>
        <v>57366</v>
      </c>
      <c r="Q481" s="201">
        <f t="shared" si="32"/>
        <v>4366</v>
      </c>
      <c r="R481" s="201">
        <f t="shared" si="32"/>
        <v>4367</v>
      </c>
      <c r="S481" s="201">
        <f t="shared" si="32"/>
        <v>4366</v>
      </c>
      <c r="T481" s="201">
        <f t="shared" si="32"/>
        <v>4367</v>
      </c>
      <c r="U481" s="64"/>
    </row>
    <row r="482" spans="1:21" s="183" customFormat="1" ht="24" customHeight="1">
      <c r="K482" s="251"/>
      <c r="L482" s="201"/>
      <c r="M482" s="201"/>
      <c r="N482" s="202"/>
      <c r="O482" s="202"/>
      <c r="P482" s="201"/>
      <c r="Q482" s="201"/>
      <c r="R482" s="201"/>
      <c r="S482" s="201"/>
      <c r="T482" s="201"/>
      <c r="U482" s="64"/>
    </row>
    <row r="483" spans="1:21" s="183" customFormat="1" ht="24" customHeight="1">
      <c r="K483" s="251" t="s">
        <v>457</v>
      </c>
      <c r="L483" s="218">
        <f t="shared" ref="L483:T483" si="33">L454+L470+L481+L459</f>
        <v>368822</v>
      </c>
      <c r="M483" s="218">
        <f t="shared" si="33"/>
        <v>355138</v>
      </c>
      <c r="N483" s="219">
        <f t="shared" si="33"/>
        <v>418145</v>
      </c>
      <c r="O483" s="219">
        <f t="shared" si="33"/>
        <v>422188</v>
      </c>
      <c r="P483" s="218">
        <f t="shared" si="33"/>
        <v>225470</v>
      </c>
      <c r="Q483" s="218">
        <f t="shared" si="33"/>
        <v>169543</v>
      </c>
      <c r="R483" s="218">
        <f t="shared" si="33"/>
        <v>173811</v>
      </c>
      <c r="S483" s="218">
        <f t="shared" si="33"/>
        <v>198314</v>
      </c>
      <c r="T483" s="218">
        <f t="shared" si="33"/>
        <v>190090</v>
      </c>
      <c r="U483" s="64"/>
    </row>
    <row r="484" spans="1:21" s="183" customFormat="1" ht="15" customHeight="1">
      <c r="A484" s="279"/>
      <c r="B484" s="279"/>
      <c r="C484" s="279"/>
      <c r="D484" s="279"/>
      <c r="E484" s="279"/>
      <c r="F484" s="279"/>
      <c r="G484" s="279"/>
      <c r="H484" s="279"/>
      <c r="I484" s="279"/>
      <c r="J484" s="279"/>
      <c r="K484" s="279"/>
      <c r="L484" s="369"/>
      <c r="M484" s="369"/>
      <c r="N484" s="370"/>
      <c r="O484" s="370"/>
      <c r="P484" s="369"/>
      <c r="Q484" s="369"/>
      <c r="R484" s="369"/>
      <c r="S484" s="369"/>
      <c r="T484" s="369"/>
      <c r="U484" s="64"/>
    </row>
    <row r="485" spans="1:21" s="183" customFormat="1" ht="24" customHeight="1">
      <c r="K485" s="251" t="s">
        <v>458</v>
      </c>
      <c r="L485" s="218">
        <f t="shared" ref="L485:T485" si="34">L447-L483</f>
        <v>268567</v>
      </c>
      <c r="M485" s="218">
        <f t="shared" si="34"/>
        <v>86840</v>
      </c>
      <c r="N485" s="219">
        <f t="shared" si="34"/>
        <v>-47643</v>
      </c>
      <c r="O485" s="219">
        <f t="shared" si="34"/>
        <v>25543</v>
      </c>
      <c r="P485" s="218">
        <f t="shared" si="34"/>
        <v>-64358</v>
      </c>
      <c r="Q485" s="218">
        <f t="shared" si="34"/>
        <v>-5289</v>
      </c>
      <c r="R485" s="218">
        <f t="shared" si="34"/>
        <v>-5290</v>
      </c>
      <c r="S485" s="218">
        <f t="shared" si="34"/>
        <v>-9464</v>
      </c>
      <c r="T485" s="218">
        <f t="shared" si="34"/>
        <v>6345</v>
      </c>
      <c r="U485" s="64"/>
    </row>
    <row r="486" spans="1:21" s="183" customFormat="1" ht="15" customHeight="1">
      <c r="A486" s="279"/>
      <c r="B486" s="279"/>
      <c r="C486" s="279"/>
      <c r="D486" s="279"/>
      <c r="E486" s="279"/>
      <c r="F486" s="279"/>
      <c r="G486" s="279"/>
      <c r="H486" s="279"/>
      <c r="I486" s="279"/>
      <c r="J486" s="279"/>
      <c r="K486" s="280"/>
      <c r="L486" s="369"/>
      <c r="M486" s="369"/>
      <c r="N486" s="370"/>
      <c r="O486" s="370"/>
      <c r="P486" s="369"/>
      <c r="Q486" s="369"/>
      <c r="R486" s="369"/>
      <c r="S486" s="369"/>
      <c r="T486" s="369"/>
      <c r="U486" s="64"/>
    </row>
    <row r="487" spans="1:21" s="183" customFormat="1" ht="24" customHeight="1">
      <c r="C487" s="490" t="s">
        <v>859</v>
      </c>
      <c r="D487" s="490"/>
      <c r="E487" s="490"/>
      <c r="F487" s="490"/>
      <c r="G487" s="490"/>
      <c r="H487" s="490"/>
      <c r="I487" s="490"/>
      <c r="J487" s="490"/>
      <c r="K487" s="490"/>
      <c r="L487" s="224">
        <v>0</v>
      </c>
      <c r="M487" s="224">
        <v>0</v>
      </c>
      <c r="N487" s="225">
        <v>0</v>
      </c>
      <c r="O487" s="225">
        <f>M487+(O447-O426-O427-O424-O428-O432-O438-O441-O435-O444-O436-O445-O442-O437-O433-O439)-O451-O452-O453</f>
        <v>6068</v>
      </c>
      <c r="P487" s="224">
        <f>O487+(P447-P426-P427-P424-P428-P432-P438-P441-P435-P444-P436-P445-P442-P437-P433-P439)-P451-P452-P453</f>
        <v>0</v>
      </c>
      <c r="Q487" s="224">
        <f>P487+(Q447-Q426-Q427-Q424-Q428-Q432-Q438-Q441-Q435-Q444-Q436-Q445-Q442-Q437-Q433-Q439)-Q451-Q452-Q453</f>
        <v>0</v>
      </c>
      <c r="R487" s="224">
        <f>Q487+(R447-R426-R427-R424-R428-R432-R438-R441-R435-R444-R436-R445-R442-R437-R433-R439)-R451-R452-R453</f>
        <v>0</v>
      </c>
      <c r="S487" s="224">
        <f>R487+(S447-S426-S427-S424-S428-S432-S438-S441-S435-S444-S436-S445-S442-S437-S433-S439)-S451-S452-S453</f>
        <v>0</v>
      </c>
      <c r="T487" s="224">
        <f>S487+(T447-T426-T427-T424-T428-T432-T438-T441-T435-T444-T436-T445-T442-T437-T433-T439)-T451-T452-T453</f>
        <v>0</v>
      </c>
      <c r="U487" s="190"/>
    </row>
    <row r="488" spans="1:21" s="183" customFormat="1" ht="15" customHeight="1">
      <c r="K488" s="251"/>
      <c r="L488" s="224"/>
      <c r="M488" s="224"/>
      <c r="N488" s="225"/>
      <c r="O488" s="225"/>
      <c r="P488" s="224"/>
      <c r="Q488" s="224"/>
      <c r="R488" s="224"/>
      <c r="S488" s="224"/>
      <c r="T488" s="224"/>
      <c r="U488" s="64"/>
    </row>
    <row r="489" spans="1:21" s="183" customFormat="1" ht="24" customHeight="1">
      <c r="C489" s="490" t="s">
        <v>1231</v>
      </c>
      <c r="D489" s="490"/>
      <c r="E489" s="490"/>
      <c r="F489" s="490"/>
      <c r="G489" s="490"/>
      <c r="H489" s="490"/>
      <c r="I489" s="490"/>
      <c r="J489" s="490"/>
      <c r="K489" s="490"/>
      <c r="L489" s="224">
        <v>0</v>
      </c>
      <c r="M489" s="224">
        <v>0</v>
      </c>
      <c r="N489" s="225">
        <v>0</v>
      </c>
      <c r="O489" s="225">
        <f>M489+(O433+O437)-O458-O457</f>
        <v>0</v>
      </c>
      <c r="P489" s="224">
        <f>O489+(P433+P437)-P458-P457</f>
        <v>0</v>
      </c>
      <c r="Q489" s="224">
        <f>P489+(Q433+Q437)-Q458-Q457</f>
        <v>0</v>
      </c>
      <c r="R489" s="224">
        <f>Q489+(R433+R437)-R458-R457</f>
        <v>0</v>
      </c>
      <c r="S489" s="224">
        <f>R489+(S433+S437)-S458-S457</f>
        <v>0</v>
      </c>
      <c r="T489" s="224">
        <f>S489+(T433+T437)-T458-T457</f>
        <v>0</v>
      </c>
      <c r="U489" s="190"/>
    </row>
    <row r="490" spans="1:21" s="183" customFormat="1" ht="15" customHeight="1">
      <c r="K490" s="251"/>
      <c r="L490" s="224"/>
      <c r="M490" s="224"/>
      <c r="N490" s="225"/>
      <c r="O490" s="225"/>
      <c r="P490" s="224"/>
      <c r="Q490" s="224"/>
      <c r="R490" s="224"/>
      <c r="S490" s="224"/>
      <c r="T490" s="224"/>
      <c r="U490" s="64"/>
    </row>
    <row r="491" spans="1:21" s="183" customFormat="1" ht="24" customHeight="1">
      <c r="C491" s="490" t="s">
        <v>860</v>
      </c>
      <c r="D491" s="490"/>
      <c r="E491" s="490"/>
      <c r="F491" s="490"/>
      <c r="G491" s="490"/>
      <c r="H491" s="490"/>
      <c r="I491" s="490"/>
      <c r="J491" s="490"/>
      <c r="K491" s="490"/>
      <c r="L491" s="224">
        <v>0</v>
      </c>
      <c r="M491" s="224">
        <v>37930</v>
      </c>
      <c r="N491" s="225">
        <v>6435</v>
      </c>
      <c r="O491" s="225">
        <f>M491+(O447-O423-O428-O429-O430-O431-O438-O443-O440-O434-O436-O424-O445-O442-O437-O433-O439-O425)-O463-O464-O465-O466-O468-O469</f>
        <v>98335</v>
      </c>
      <c r="P491" s="224">
        <f>O491+(P447-P423-P428-P429-P430-P431-P438-P443-P440-P434-P436-P424-P445-P442-P437-P433-P439-P425)-P463-P464-P465-P466-P468-P469</f>
        <v>91561</v>
      </c>
      <c r="Q491" s="224">
        <f>P491+(Q447-Q423-Q428-Q429-Q430-Q431-Q438-Q443-Q440-Q434-Q436-Q424-Q445-Q442-Q437-Q433-Q439-Q425)-Q463-Q464-Q465-Q466-Q468-Q469</f>
        <v>84788</v>
      </c>
      <c r="R491" s="224">
        <f>Q491+(R447-R423-R428-R429-R430-R431-R438-R443-R440-R434-R436-R424-R445-R442-R437-R433-R439-R425)-R463-R464-R465-R466-R468-R469</f>
        <v>78015</v>
      </c>
      <c r="S491" s="224">
        <f>R491+(S447-S423-S428-S429-S430-S431-S438-S443-S440-S434-S436-S424-S445-S442-S437-S433-S439-S425)-S463-S464-S465-S466-S468-S469</f>
        <v>67067</v>
      </c>
      <c r="T491" s="224">
        <f>S491+(T447-T423-T428-T429-T430-T431-T438-T443-T440-T434-T436-T424-T445-T442-T437-T433-T439-T425)-T463-T464-T465-T466-T468-T469</f>
        <v>71929</v>
      </c>
      <c r="U491" s="64"/>
    </row>
    <row r="492" spans="1:21" s="183" customFormat="1" ht="15" customHeight="1">
      <c r="K492" s="251"/>
      <c r="L492" s="224"/>
      <c r="M492" s="224"/>
      <c r="N492" s="225"/>
      <c r="O492" s="225"/>
      <c r="P492" s="224"/>
      <c r="Q492" s="224"/>
      <c r="R492" s="224"/>
      <c r="S492" s="224"/>
      <c r="T492" s="224"/>
      <c r="U492" s="64"/>
    </row>
    <row r="493" spans="1:21" s="183" customFormat="1" ht="24" customHeight="1">
      <c r="C493" s="490" t="s">
        <v>861</v>
      </c>
      <c r="D493" s="490"/>
      <c r="E493" s="490"/>
      <c r="F493" s="490"/>
      <c r="G493" s="490"/>
      <c r="H493" s="490"/>
      <c r="I493" s="490"/>
      <c r="J493" s="490"/>
      <c r="K493" s="490"/>
      <c r="L493" s="224">
        <v>270407</v>
      </c>
      <c r="M493" s="224">
        <v>319316</v>
      </c>
      <c r="N493" s="225">
        <v>257366</v>
      </c>
      <c r="O493" s="225">
        <f>M493+(O447-O423-O426-O427-O424-O429-O430-O431-O432-O443-O441-O440-O434-O435-O444-O437-O433-O425)-O474-O476-O477-O479-O480-O475</f>
        <v>278386</v>
      </c>
      <c r="P493" s="224">
        <f>O493+(P447-P423-P426-P427-P424-P429-P430-P431-P432-P443-P441-P440-P434-P435-P444-P437-P433-P425)-P474-P476-P477-P479-P480-P475</f>
        <v>226870</v>
      </c>
      <c r="Q493" s="224">
        <f>P493+(Q447-Q423-Q426-Q427-Q424-Q429-Q430-Q431-Q432-Q443-Q441-Q440-Q434-Q435-Q444-Q437-Q433-Q425)-Q474-Q476-Q477-Q479-Q480-Q475</f>
        <v>228354</v>
      </c>
      <c r="R493" s="224">
        <f>Q493+(R447-R423-R426-R427-R424-R429-R430-R431-R432-R443-R441-R440-R434-R435-R444-R437-R433-R425)-R474-R476-R477-R479-R480-R475</f>
        <v>229837</v>
      </c>
      <c r="S493" s="224">
        <f>R493+(S447-S423-S426-S427-S424-S429-S430-S431-S432-S443-S441-S440-S434-S435-S444-S437-S433-S425)-S474-S476-S477-S479-S480-S475</f>
        <v>231321</v>
      </c>
      <c r="T493" s="224">
        <f>S493+(T447-T423-T426-T427-T424-T429-T430-T431-T432-T443-T441-T440-T434-T435-T444-T437-T433-T425)-T474-T476-T477-T479-T480-T475</f>
        <v>232804</v>
      </c>
      <c r="U493" s="352"/>
    </row>
    <row r="494" spans="1:21" s="183" customFormat="1" ht="15" customHeight="1">
      <c r="K494" s="251"/>
      <c r="L494" s="218"/>
      <c r="M494" s="218"/>
      <c r="N494" s="219"/>
      <c r="O494" s="219"/>
      <c r="P494" s="218"/>
      <c r="Q494" s="218"/>
      <c r="R494" s="218"/>
      <c r="S494" s="218"/>
      <c r="T494" s="218"/>
      <c r="U494" s="64"/>
    </row>
    <row r="495" spans="1:21" s="183" customFormat="1" ht="24" customHeight="1" thickBot="1">
      <c r="K495" s="256" t="s">
        <v>460</v>
      </c>
      <c r="L495" s="226">
        <v>270407</v>
      </c>
      <c r="M495" s="226">
        <v>357246</v>
      </c>
      <c r="N495" s="227">
        <v>263801</v>
      </c>
      <c r="O495" s="227">
        <f t="shared" ref="O495:T495" si="35">O487+O491+O493+O489</f>
        <v>382789</v>
      </c>
      <c r="P495" s="226">
        <f t="shared" si="35"/>
        <v>318431</v>
      </c>
      <c r="Q495" s="226">
        <f t="shared" si="35"/>
        <v>313142</v>
      </c>
      <c r="R495" s="226">
        <f t="shared" si="35"/>
        <v>307852</v>
      </c>
      <c r="S495" s="226">
        <f t="shared" si="35"/>
        <v>298388</v>
      </c>
      <c r="T495" s="226">
        <f t="shared" si="35"/>
        <v>304733</v>
      </c>
      <c r="U495" s="64"/>
    </row>
    <row r="496" spans="1:21" ht="15" customHeight="1" thickTop="1">
      <c r="A496" s="183"/>
      <c r="B496" s="183"/>
      <c r="C496" s="183"/>
      <c r="D496" s="183"/>
      <c r="E496" s="183"/>
      <c r="F496" s="183"/>
      <c r="G496" s="183"/>
      <c r="H496" s="183"/>
      <c r="I496" s="183"/>
      <c r="J496" s="183"/>
      <c r="K496" s="183"/>
      <c r="L496" s="303"/>
      <c r="M496" s="303"/>
      <c r="N496" s="308"/>
      <c r="O496" s="308"/>
      <c r="P496" s="309"/>
      <c r="Q496" s="309"/>
      <c r="R496" s="309"/>
      <c r="S496" s="309"/>
      <c r="T496" s="309"/>
    </row>
    <row r="497" spans="1:21" ht="15" customHeight="1">
      <c r="A497" s="183"/>
      <c r="B497" s="183"/>
      <c r="C497" s="183"/>
      <c r="D497" s="183"/>
      <c r="E497" s="183"/>
      <c r="F497" s="183"/>
      <c r="G497" s="183"/>
      <c r="H497" s="183"/>
      <c r="I497" s="183"/>
      <c r="J497" s="183"/>
      <c r="K497" s="256"/>
      <c r="L497" s="303"/>
      <c r="M497" s="303"/>
      <c r="N497" s="310"/>
      <c r="O497" s="310"/>
      <c r="P497" s="311"/>
      <c r="Q497" s="311"/>
      <c r="R497" s="311"/>
      <c r="S497" s="311"/>
      <c r="T497" s="311"/>
    </row>
    <row r="498" spans="1:21" ht="24" customHeight="1">
      <c r="A498" s="258" t="s">
        <v>470</v>
      </c>
      <c r="B498" s="183"/>
      <c r="C498" s="183"/>
      <c r="D498" s="183"/>
      <c r="E498" s="183"/>
      <c r="F498" s="183"/>
      <c r="G498" s="183"/>
      <c r="H498" s="183"/>
      <c r="I498" s="183"/>
      <c r="J498" s="183"/>
      <c r="K498" s="183"/>
      <c r="L498" s="302"/>
      <c r="M498" s="302"/>
      <c r="N498" s="306"/>
      <c r="O498" s="306"/>
      <c r="P498" s="307"/>
      <c r="Q498" s="307"/>
      <c r="R498" s="307"/>
      <c r="S498" s="307"/>
      <c r="T498" s="307"/>
    </row>
    <row r="499" spans="1:21" ht="15" customHeight="1">
      <c r="A499" s="183"/>
      <c r="B499" s="183"/>
      <c r="C499" s="183"/>
      <c r="D499" s="183"/>
      <c r="E499" s="183"/>
      <c r="F499" s="183"/>
      <c r="G499" s="183"/>
      <c r="H499" s="183"/>
      <c r="I499" s="183"/>
      <c r="J499" s="183"/>
      <c r="K499" s="183"/>
      <c r="L499" s="302"/>
      <c r="M499" s="302"/>
      <c r="N499" s="306"/>
      <c r="O499" s="306"/>
      <c r="P499" s="307"/>
      <c r="Q499" s="307"/>
      <c r="R499" s="307"/>
      <c r="S499" s="307"/>
      <c r="T499" s="307"/>
    </row>
    <row r="500" spans="1:21" ht="24" customHeight="1">
      <c r="A500" s="183" t="s">
        <v>948</v>
      </c>
      <c r="B500" s="183"/>
      <c r="C500" s="183"/>
      <c r="D500" s="183" t="s">
        <v>1065</v>
      </c>
      <c r="E500" s="183"/>
      <c r="F500" s="183"/>
      <c r="G500" s="183"/>
      <c r="H500" s="183"/>
      <c r="I500" s="183"/>
      <c r="J500" s="183"/>
      <c r="K500" s="183"/>
      <c r="L500" s="193">
        <v>47070</v>
      </c>
      <c r="M500" s="193">
        <v>0</v>
      </c>
      <c r="N500" s="148">
        <v>0</v>
      </c>
      <c r="O500" s="148">
        <v>0</v>
      </c>
      <c r="P500" s="145">
        <v>0</v>
      </c>
      <c r="Q500" s="145">
        <v>0</v>
      </c>
      <c r="R500" s="145">
        <v>0</v>
      </c>
      <c r="S500" s="145">
        <v>0</v>
      </c>
      <c r="T500" s="145">
        <v>0</v>
      </c>
    </row>
    <row r="501" spans="1:21" ht="24" customHeight="1">
      <c r="A501" s="183" t="s">
        <v>266</v>
      </c>
      <c r="B501" s="183"/>
      <c r="C501" s="183"/>
      <c r="D501" s="183" t="s">
        <v>267</v>
      </c>
      <c r="E501" s="183"/>
      <c r="F501" s="183"/>
      <c r="G501" s="183"/>
      <c r="H501" s="183"/>
      <c r="I501" s="183"/>
      <c r="J501" s="183"/>
      <c r="K501" s="183"/>
      <c r="L501" s="192">
        <v>6577</v>
      </c>
      <c r="M501" s="192">
        <v>10253</v>
      </c>
      <c r="N501" s="144">
        <v>6000</v>
      </c>
      <c r="O501" s="144">
        <v>10000</v>
      </c>
      <c r="P501" s="159">
        <v>4646</v>
      </c>
      <c r="Q501" s="159">
        <v>4646</v>
      </c>
      <c r="R501" s="159">
        <v>4646</v>
      </c>
      <c r="S501" s="159">
        <v>4646</v>
      </c>
      <c r="T501" s="159">
        <v>0</v>
      </c>
    </row>
    <row r="502" spans="1:21" ht="24" customHeight="1">
      <c r="A502" s="247" t="s">
        <v>968</v>
      </c>
      <c r="B502" s="248"/>
      <c r="C502" s="183"/>
      <c r="D502" s="247" t="s">
        <v>781</v>
      </c>
      <c r="E502" s="248"/>
      <c r="F502" s="183"/>
      <c r="G502" s="183"/>
      <c r="H502" s="183"/>
      <c r="I502" s="183"/>
      <c r="J502" s="183"/>
      <c r="K502" s="183"/>
      <c r="L502" s="192">
        <f>425+13</f>
        <v>438</v>
      </c>
      <c r="M502" s="192">
        <v>1050</v>
      </c>
      <c r="N502" s="144">
        <v>0</v>
      </c>
      <c r="O502" s="144">
        <v>0</v>
      </c>
      <c r="P502" s="143">
        <v>0</v>
      </c>
      <c r="Q502" s="143">
        <v>0</v>
      </c>
      <c r="R502" s="143">
        <v>0</v>
      </c>
      <c r="S502" s="143">
        <v>0</v>
      </c>
      <c r="T502" s="143">
        <v>0</v>
      </c>
    </row>
    <row r="503" spans="1:21" ht="24" customHeight="1">
      <c r="A503" s="247" t="s">
        <v>268</v>
      </c>
      <c r="B503" s="248"/>
      <c r="C503" s="248"/>
      <c r="D503" s="247" t="s">
        <v>245</v>
      </c>
      <c r="E503" s="248"/>
      <c r="F503" s="248"/>
      <c r="G503" s="248"/>
      <c r="H503" s="248"/>
      <c r="I503" s="248"/>
      <c r="J503" s="248"/>
      <c r="K503" s="248"/>
      <c r="L503" s="198">
        <v>266979</v>
      </c>
      <c r="M503" s="198">
        <v>309972</v>
      </c>
      <c r="N503" s="153">
        <v>318725</v>
      </c>
      <c r="O503" s="153">
        <v>314725</v>
      </c>
      <c r="P503" s="152">
        <v>319379</v>
      </c>
      <c r="Q503" s="152">
        <v>318579</v>
      </c>
      <c r="R503" s="152">
        <v>324729</v>
      </c>
      <c r="S503" s="152">
        <v>325429</v>
      </c>
      <c r="T503" s="152">
        <v>0</v>
      </c>
    </row>
    <row r="504" spans="1:21" ht="15" customHeight="1">
      <c r="A504" s="183"/>
      <c r="B504" s="263"/>
      <c r="C504" s="263"/>
      <c r="D504" s="263"/>
      <c r="E504" s="183"/>
      <c r="F504" s="250"/>
      <c r="G504" s="250"/>
      <c r="H504" s="250"/>
      <c r="I504" s="250"/>
      <c r="J504" s="250"/>
      <c r="K504" s="250"/>
      <c r="L504" s="199"/>
      <c r="M504" s="199"/>
      <c r="N504" s="155"/>
      <c r="O504" s="155"/>
      <c r="P504" s="154"/>
      <c r="Q504" s="154"/>
      <c r="R504" s="154"/>
      <c r="S504" s="154"/>
      <c r="T504" s="154"/>
    </row>
    <row r="505" spans="1:21" s="183" customFormat="1" ht="24" customHeight="1">
      <c r="K505" s="251" t="s">
        <v>454</v>
      </c>
      <c r="L505" s="201">
        <f t="shared" ref="L505:T505" si="36">SUM(L500:L504)</f>
        <v>321064</v>
      </c>
      <c r="M505" s="201">
        <f t="shared" si="36"/>
        <v>321275</v>
      </c>
      <c r="N505" s="202">
        <f t="shared" si="36"/>
        <v>324725</v>
      </c>
      <c r="O505" s="202">
        <f t="shared" si="36"/>
        <v>324725</v>
      </c>
      <c r="P505" s="201">
        <f t="shared" si="36"/>
        <v>324025</v>
      </c>
      <c r="Q505" s="201">
        <f t="shared" si="36"/>
        <v>323225</v>
      </c>
      <c r="R505" s="201">
        <f t="shared" si="36"/>
        <v>329375</v>
      </c>
      <c r="S505" s="201">
        <f t="shared" si="36"/>
        <v>330075</v>
      </c>
      <c r="T505" s="201">
        <f t="shared" si="36"/>
        <v>0</v>
      </c>
      <c r="U505" s="64"/>
    </row>
    <row r="506" spans="1:21" ht="15" customHeight="1">
      <c r="A506" s="183"/>
      <c r="B506" s="183"/>
      <c r="C506" s="183"/>
      <c r="D506" s="183"/>
      <c r="E506" s="183"/>
      <c r="F506" s="183"/>
      <c r="G506" s="183"/>
      <c r="H506" s="183"/>
      <c r="I506" s="183"/>
      <c r="J506" s="183"/>
      <c r="K506" s="183"/>
      <c r="L506" s="199"/>
      <c r="M506" s="199"/>
      <c r="N506" s="155"/>
      <c r="O506" s="155"/>
      <c r="P506" s="154"/>
      <c r="Q506" s="154"/>
      <c r="R506" s="154"/>
      <c r="S506" s="154"/>
      <c r="T506" s="154"/>
    </row>
    <row r="507" spans="1:21" ht="24" customHeight="1">
      <c r="A507" s="247" t="s">
        <v>965</v>
      </c>
      <c r="B507" s="248"/>
      <c r="C507" s="248"/>
      <c r="D507" s="183" t="s">
        <v>756</v>
      </c>
      <c r="E507" s="248"/>
      <c r="F507" s="248"/>
      <c r="G507" s="248"/>
      <c r="H507" s="248"/>
      <c r="I507" s="248"/>
      <c r="J507" s="248"/>
      <c r="K507" s="248"/>
      <c r="L507" s="192">
        <f>425+13</f>
        <v>438</v>
      </c>
      <c r="M507" s="193">
        <v>1050</v>
      </c>
      <c r="N507" s="148">
        <v>0</v>
      </c>
      <c r="O507" s="148">
        <v>0</v>
      </c>
      <c r="P507" s="145">
        <v>0</v>
      </c>
      <c r="Q507" s="145">
        <v>0</v>
      </c>
      <c r="R507" s="145">
        <v>0</v>
      </c>
      <c r="S507" s="145">
        <v>0</v>
      </c>
      <c r="T507" s="145">
        <v>0</v>
      </c>
    </row>
    <row r="508" spans="1:21" ht="24" customHeight="1">
      <c r="A508" s="247" t="s">
        <v>269</v>
      </c>
      <c r="B508" s="248"/>
      <c r="C508" s="248"/>
      <c r="D508" s="247" t="s">
        <v>270</v>
      </c>
      <c r="E508" s="248"/>
      <c r="F508" s="248"/>
      <c r="G508" s="248"/>
      <c r="H508" s="248"/>
      <c r="I508" s="248"/>
      <c r="J508" s="248"/>
      <c r="K508" s="248"/>
      <c r="L508" s="193">
        <v>476</v>
      </c>
      <c r="M508" s="193">
        <v>475</v>
      </c>
      <c r="N508" s="148">
        <v>475</v>
      </c>
      <c r="O508" s="148">
        <v>475</v>
      </c>
      <c r="P508" s="145">
        <v>475</v>
      </c>
      <c r="Q508" s="145">
        <v>475</v>
      </c>
      <c r="R508" s="145">
        <v>475</v>
      </c>
      <c r="S508" s="145">
        <v>475</v>
      </c>
      <c r="T508" s="145">
        <v>0</v>
      </c>
    </row>
    <row r="509" spans="1:21" ht="24" customHeight="1">
      <c r="A509" s="253" t="s">
        <v>1078</v>
      </c>
      <c r="B509" s="248"/>
      <c r="C509" s="248"/>
      <c r="D509" s="247"/>
      <c r="E509" s="248"/>
      <c r="F509" s="248"/>
      <c r="G509" s="248"/>
      <c r="H509" s="248"/>
      <c r="I509" s="248"/>
      <c r="J509" s="248"/>
      <c r="K509" s="248"/>
      <c r="L509" s="193"/>
      <c r="M509" s="193"/>
      <c r="N509" s="148"/>
      <c r="O509" s="148"/>
      <c r="P509" s="145"/>
      <c r="Q509" s="145"/>
      <c r="R509" s="145"/>
      <c r="S509" s="145"/>
      <c r="T509" s="145"/>
    </row>
    <row r="510" spans="1:21" ht="24" customHeight="1">
      <c r="A510" s="247" t="s">
        <v>1025</v>
      </c>
      <c r="B510" s="248"/>
      <c r="C510" s="248"/>
      <c r="D510" s="247" t="s">
        <v>879</v>
      </c>
      <c r="E510" s="248"/>
      <c r="F510" s="248"/>
      <c r="G510" s="248"/>
      <c r="H510" s="248"/>
      <c r="I510" s="248"/>
      <c r="J510" s="248"/>
      <c r="K510" s="248"/>
      <c r="L510" s="192">
        <v>270000</v>
      </c>
      <c r="M510" s="192">
        <v>275000</v>
      </c>
      <c r="N510" s="144">
        <v>285000</v>
      </c>
      <c r="O510" s="144">
        <v>285000</v>
      </c>
      <c r="P510" s="143">
        <v>290000</v>
      </c>
      <c r="Q510" s="143">
        <v>295000</v>
      </c>
      <c r="R510" s="143">
        <v>310000</v>
      </c>
      <c r="S510" s="143">
        <v>320000</v>
      </c>
      <c r="T510" s="143">
        <v>0</v>
      </c>
    </row>
    <row r="511" spans="1:21" ht="24" customHeight="1">
      <c r="A511" s="247" t="s">
        <v>1026</v>
      </c>
      <c r="B511" s="248"/>
      <c r="C511" s="248"/>
      <c r="D511" s="247" t="s">
        <v>257</v>
      </c>
      <c r="E511" s="248"/>
      <c r="F511" s="248"/>
      <c r="G511" s="248"/>
      <c r="H511" s="248"/>
      <c r="I511" s="248"/>
      <c r="J511" s="248"/>
      <c r="K511" s="248"/>
      <c r="L511" s="210">
        <v>50150</v>
      </c>
      <c r="M511" s="210">
        <v>44750</v>
      </c>
      <c r="N511" s="163">
        <v>39250</v>
      </c>
      <c r="O511" s="163">
        <v>39250</v>
      </c>
      <c r="P511" s="162">
        <v>33550</v>
      </c>
      <c r="Q511" s="162">
        <v>27750</v>
      </c>
      <c r="R511" s="162">
        <v>18900</v>
      </c>
      <c r="S511" s="162">
        <v>9600</v>
      </c>
      <c r="T511" s="162">
        <v>0</v>
      </c>
    </row>
    <row r="512" spans="1:21" ht="15" customHeight="1">
      <c r="A512" s="247"/>
      <c r="B512" s="248"/>
      <c r="C512" s="248"/>
      <c r="D512" s="247"/>
      <c r="E512" s="248"/>
      <c r="F512" s="248"/>
      <c r="G512" s="248"/>
      <c r="H512" s="248"/>
      <c r="I512" s="248"/>
      <c r="J512" s="248"/>
      <c r="K512" s="248"/>
      <c r="L512" s="193"/>
      <c r="M512" s="193"/>
      <c r="N512" s="148"/>
      <c r="O512" s="148"/>
      <c r="P512" s="145"/>
      <c r="Q512" s="145"/>
      <c r="R512" s="145"/>
      <c r="S512" s="145"/>
      <c r="T512" s="145"/>
    </row>
    <row r="513" spans="1:21" s="183" customFormat="1" ht="24" customHeight="1">
      <c r="K513" s="251" t="s">
        <v>457</v>
      </c>
      <c r="L513" s="201">
        <f t="shared" ref="L513:T513" si="37">SUM(L507:L511)</f>
        <v>321064</v>
      </c>
      <c r="M513" s="201">
        <f t="shared" si="37"/>
        <v>321275</v>
      </c>
      <c r="N513" s="202">
        <f t="shared" si="37"/>
        <v>324725</v>
      </c>
      <c r="O513" s="202">
        <f t="shared" si="37"/>
        <v>324725</v>
      </c>
      <c r="P513" s="201">
        <f t="shared" si="37"/>
        <v>324025</v>
      </c>
      <c r="Q513" s="201">
        <f t="shared" si="37"/>
        <v>323225</v>
      </c>
      <c r="R513" s="201">
        <f t="shared" si="37"/>
        <v>329375</v>
      </c>
      <c r="S513" s="201">
        <f t="shared" si="37"/>
        <v>330075</v>
      </c>
      <c r="T513" s="201">
        <f t="shared" si="37"/>
        <v>0</v>
      </c>
      <c r="U513" s="64"/>
    </row>
    <row r="514" spans="1:21" s="183" customFormat="1" ht="15" customHeight="1">
      <c r="L514" s="199"/>
      <c r="M514" s="199"/>
      <c r="N514" s="200"/>
      <c r="O514" s="200"/>
      <c r="P514" s="199"/>
      <c r="Q514" s="199"/>
      <c r="R514" s="199"/>
      <c r="S514" s="199"/>
      <c r="T514" s="199"/>
      <c r="U514" s="64"/>
    </row>
    <row r="515" spans="1:21" s="183" customFormat="1" ht="24" customHeight="1">
      <c r="K515" s="251" t="s">
        <v>458</v>
      </c>
      <c r="L515" s="218">
        <f t="shared" ref="L515:T515" si="38">L505-L513</f>
        <v>0</v>
      </c>
      <c r="M515" s="218">
        <f t="shared" si="38"/>
        <v>0</v>
      </c>
      <c r="N515" s="219">
        <f t="shared" si="38"/>
        <v>0</v>
      </c>
      <c r="O515" s="219">
        <f t="shared" si="38"/>
        <v>0</v>
      </c>
      <c r="P515" s="218">
        <f t="shared" si="38"/>
        <v>0</v>
      </c>
      <c r="Q515" s="218">
        <f t="shared" si="38"/>
        <v>0</v>
      </c>
      <c r="R515" s="218">
        <f t="shared" si="38"/>
        <v>0</v>
      </c>
      <c r="S515" s="218">
        <f t="shared" si="38"/>
        <v>0</v>
      </c>
      <c r="T515" s="218">
        <f t="shared" si="38"/>
        <v>0</v>
      </c>
      <c r="U515" s="64"/>
    </row>
    <row r="516" spans="1:21" s="183" customFormat="1" ht="15" customHeight="1">
      <c r="L516" s="218"/>
      <c r="M516" s="218"/>
      <c r="N516" s="219"/>
      <c r="O516" s="219"/>
      <c r="P516" s="218"/>
      <c r="Q516" s="218"/>
      <c r="R516" s="218"/>
      <c r="S516" s="218"/>
      <c r="T516" s="218"/>
      <c r="U516" s="64"/>
    </row>
    <row r="517" spans="1:21" s="183" customFormat="1" ht="24" customHeight="1">
      <c r="K517" s="256" t="s">
        <v>460</v>
      </c>
      <c r="L517" s="218">
        <v>0</v>
      </c>
      <c r="M517" s="218">
        <v>0</v>
      </c>
      <c r="N517" s="219">
        <v>0</v>
      </c>
      <c r="O517" s="219">
        <f>M517+O515</f>
        <v>0</v>
      </c>
      <c r="P517" s="218">
        <f>O517+P515</f>
        <v>0</v>
      </c>
      <c r="Q517" s="218">
        <f>P517+Q515</f>
        <v>0</v>
      </c>
      <c r="R517" s="218">
        <f>Q517+R515</f>
        <v>0</v>
      </c>
      <c r="S517" s="218">
        <f>R517+S515</f>
        <v>0</v>
      </c>
      <c r="T517" s="218">
        <f>S517+T515</f>
        <v>0</v>
      </c>
      <c r="U517" s="64"/>
    </row>
    <row r="518" spans="1:21" ht="15" customHeight="1">
      <c r="A518" s="183"/>
      <c r="B518" s="183"/>
      <c r="C518" s="183"/>
      <c r="D518" s="183"/>
      <c r="E518" s="183"/>
      <c r="F518" s="183"/>
      <c r="G518" s="183"/>
      <c r="H518" s="183"/>
      <c r="I518" s="183"/>
      <c r="J518" s="183"/>
      <c r="K518" s="183"/>
      <c r="L518" s="302"/>
      <c r="M518" s="302"/>
      <c r="N518" s="306"/>
      <c r="O518" s="306"/>
      <c r="P518" s="307"/>
      <c r="Q518" s="307"/>
      <c r="R518" s="307"/>
      <c r="S518" s="307"/>
      <c r="T518" s="307"/>
    </row>
    <row r="519" spans="1:21" ht="24" customHeight="1">
      <c r="A519" s="258" t="s">
        <v>473</v>
      </c>
      <c r="B519" s="183"/>
      <c r="C519" s="183"/>
      <c r="D519" s="183"/>
      <c r="E519" s="183"/>
      <c r="F519" s="183"/>
      <c r="G519" s="183"/>
      <c r="H519" s="183"/>
      <c r="I519" s="183"/>
      <c r="J519" s="183"/>
      <c r="K519" s="183"/>
      <c r="L519" s="245"/>
      <c r="M519" s="245"/>
      <c r="N519" s="300"/>
      <c r="O519" s="300"/>
      <c r="P519" s="301"/>
      <c r="Q519" s="301"/>
      <c r="R519" s="301"/>
      <c r="S519" s="301"/>
      <c r="T519" s="301"/>
    </row>
    <row r="520" spans="1:21" ht="15" customHeight="1">
      <c r="A520" s="183"/>
      <c r="B520" s="183"/>
      <c r="C520" s="183"/>
      <c r="D520" s="183"/>
      <c r="E520" s="183"/>
      <c r="F520" s="183"/>
      <c r="G520" s="183"/>
      <c r="H520" s="183"/>
      <c r="I520" s="183"/>
      <c r="J520" s="183"/>
      <c r="K520" s="183"/>
      <c r="L520" s="245"/>
      <c r="M520" s="245"/>
      <c r="N520" s="300"/>
      <c r="O520" s="300"/>
      <c r="P520" s="301"/>
      <c r="Q520" s="301"/>
      <c r="R520" s="301"/>
      <c r="S520" s="301"/>
      <c r="T520" s="301"/>
    </row>
    <row r="521" spans="1:21" ht="24" customHeight="1">
      <c r="A521" s="247" t="s">
        <v>757</v>
      </c>
      <c r="B521" s="248"/>
      <c r="C521" s="248"/>
      <c r="D521" s="247" t="s">
        <v>781</v>
      </c>
      <c r="E521" s="248"/>
      <c r="F521" s="183"/>
      <c r="G521" s="248"/>
      <c r="H521" s="248"/>
      <c r="I521" s="248"/>
      <c r="J521" s="248"/>
      <c r="K521" s="248"/>
      <c r="L521" s="193">
        <v>171840</v>
      </c>
      <c r="M521" s="193">
        <v>165755</v>
      </c>
      <c r="N521" s="148">
        <v>0</v>
      </c>
      <c r="O521" s="148">
        <v>0</v>
      </c>
      <c r="P521" s="145">
        <v>0</v>
      </c>
      <c r="Q521" s="145">
        <v>0</v>
      </c>
      <c r="R521" s="145">
        <v>0</v>
      </c>
      <c r="S521" s="145">
        <v>0</v>
      </c>
      <c r="T521" s="145">
        <v>0</v>
      </c>
    </row>
    <row r="522" spans="1:21" ht="24" customHeight="1">
      <c r="A522" s="247" t="s">
        <v>271</v>
      </c>
      <c r="B522" s="248"/>
      <c r="C522" s="248"/>
      <c r="D522" s="247" t="s">
        <v>272</v>
      </c>
      <c r="E522" s="248"/>
      <c r="F522" s="248"/>
      <c r="G522" s="248"/>
      <c r="H522" s="248"/>
      <c r="I522" s="248"/>
      <c r="J522" s="248"/>
      <c r="K522" s="248"/>
      <c r="L522" s="193">
        <v>2952074</v>
      </c>
      <c r="M522" s="193">
        <v>3094564</v>
      </c>
      <c r="N522" s="148">
        <v>3105000</v>
      </c>
      <c r="O522" s="148">
        <v>3165000</v>
      </c>
      <c r="P522" s="145">
        <v>3228300</v>
      </c>
      <c r="Q522" s="145">
        <v>3389715</v>
      </c>
      <c r="R522" s="145">
        <v>3559201</v>
      </c>
      <c r="S522" s="145">
        <v>3737161</v>
      </c>
      <c r="T522" s="145">
        <v>3924019</v>
      </c>
    </row>
    <row r="523" spans="1:21" ht="24" customHeight="1">
      <c r="A523" s="247" t="s">
        <v>273</v>
      </c>
      <c r="B523" s="183"/>
      <c r="C523" s="183"/>
      <c r="D523" s="247" t="s">
        <v>274</v>
      </c>
      <c r="E523" s="183"/>
      <c r="F523" s="183"/>
      <c r="G523" s="183"/>
      <c r="H523" s="183"/>
      <c r="I523" s="183"/>
      <c r="J523" s="183"/>
      <c r="K523" s="183"/>
      <c r="L523" s="193">
        <v>5250</v>
      </c>
      <c r="M523" s="193">
        <v>4250</v>
      </c>
      <c r="N523" s="148">
        <v>5000</v>
      </c>
      <c r="O523" s="148">
        <v>2800</v>
      </c>
      <c r="P523" s="145">
        <v>5000</v>
      </c>
      <c r="Q523" s="145">
        <v>5000</v>
      </c>
      <c r="R523" s="145">
        <v>5000</v>
      </c>
      <c r="S523" s="145">
        <v>5000</v>
      </c>
      <c r="T523" s="145">
        <v>5000</v>
      </c>
    </row>
    <row r="524" spans="1:21" ht="24" customHeight="1">
      <c r="A524" s="247" t="s">
        <v>874</v>
      </c>
      <c r="B524" s="183"/>
      <c r="C524" s="183"/>
      <c r="D524" s="247" t="s">
        <v>845</v>
      </c>
      <c r="E524" s="248"/>
      <c r="F524" s="248"/>
      <c r="G524" s="248"/>
      <c r="H524" s="248"/>
      <c r="I524" s="248"/>
      <c r="J524" s="248"/>
      <c r="K524" s="248"/>
      <c r="L524" s="193">
        <v>104425</v>
      </c>
      <c r="M524" s="193">
        <v>116805</v>
      </c>
      <c r="N524" s="148">
        <v>120000</v>
      </c>
      <c r="O524" s="148">
        <v>110000</v>
      </c>
      <c r="P524" s="145">
        <v>110000</v>
      </c>
      <c r="Q524" s="145">
        <v>115500</v>
      </c>
      <c r="R524" s="145">
        <v>121275</v>
      </c>
      <c r="S524" s="145">
        <v>127339</v>
      </c>
      <c r="T524" s="145">
        <v>133706</v>
      </c>
    </row>
    <row r="525" spans="1:21" ht="24" customHeight="1">
      <c r="A525" s="247" t="s">
        <v>275</v>
      </c>
      <c r="B525" s="248"/>
      <c r="C525" s="248"/>
      <c r="D525" s="247" t="s">
        <v>276</v>
      </c>
      <c r="E525" s="248"/>
      <c r="F525" s="248"/>
      <c r="G525" s="248"/>
      <c r="H525" s="248"/>
      <c r="I525" s="248"/>
      <c r="J525" s="248"/>
      <c r="K525" s="248"/>
      <c r="L525" s="193">
        <v>66280</v>
      </c>
      <c r="M525" s="193">
        <v>127345</v>
      </c>
      <c r="N525" s="148">
        <v>58206</v>
      </c>
      <c r="O525" s="148">
        <v>175000</v>
      </c>
      <c r="P525" s="159">
        <v>60000</v>
      </c>
      <c r="Q525" s="159">
        <v>60000</v>
      </c>
      <c r="R525" s="159">
        <v>60000</v>
      </c>
      <c r="S525" s="159">
        <v>60000</v>
      </c>
      <c r="T525" s="159">
        <v>60000</v>
      </c>
    </row>
    <row r="526" spans="1:21" ht="24" customHeight="1">
      <c r="A526" s="247" t="s">
        <v>277</v>
      </c>
      <c r="B526" s="183"/>
      <c r="C526" s="183"/>
      <c r="D526" s="247" t="s">
        <v>278</v>
      </c>
      <c r="E526" s="183"/>
      <c r="F526" s="183"/>
      <c r="G526" s="183"/>
      <c r="H526" s="183"/>
      <c r="I526" s="183"/>
      <c r="J526" s="183"/>
      <c r="K526" s="183"/>
      <c r="L526" s="193">
        <v>734552</v>
      </c>
      <c r="M526" s="193">
        <v>749613</v>
      </c>
      <c r="N526" s="191">
        <v>745000</v>
      </c>
      <c r="O526" s="191">
        <v>768000</v>
      </c>
      <c r="P526" s="190">
        <v>768000</v>
      </c>
      <c r="Q526" s="190">
        <v>770000</v>
      </c>
      <c r="R526" s="190">
        <v>775000</v>
      </c>
      <c r="S526" s="190">
        <v>775000</v>
      </c>
      <c r="T526" s="190">
        <v>780000</v>
      </c>
    </row>
    <row r="527" spans="1:21" ht="24" customHeight="1">
      <c r="A527" s="247" t="s">
        <v>279</v>
      </c>
      <c r="B527" s="248"/>
      <c r="C527" s="248"/>
      <c r="D527" s="125" t="s">
        <v>280</v>
      </c>
      <c r="E527" s="248"/>
      <c r="F527" s="248"/>
      <c r="G527" s="248"/>
      <c r="H527" s="248"/>
      <c r="I527" s="248"/>
      <c r="J527" s="248"/>
      <c r="K527" s="248"/>
      <c r="L527" s="190">
        <v>93363</v>
      </c>
      <c r="M527" s="190">
        <v>397418</v>
      </c>
      <c r="N527" s="148">
        <v>293280</v>
      </c>
      <c r="O527" s="148">
        <v>375000</v>
      </c>
      <c r="P527" s="159">
        <v>230000</v>
      </c>
      <c r="Q527" s="159">
        <v>230000</v>
      </c>
      <c r="R527" s="159">
        <v>230000</v>
      </c>
      <c r="S527" s="159">
        <v>230000</v>
      </c>
      <c r="T527" s="159">
        <v>230000</v>
      </c>
    </row>
    <row r="528" spans="1:21" ht="24" customHeight="1">
      <c r="A528" s="247" t="s">
        <v>281</v>
      </c>
      <c r="B528" s="248"/>
      <c r="C528" s="248"/>
      <c r="D528" s="489" t="s">
        <v>6</v>
      </c>
      <c r="E528" s="489"/>
      <c r="F528" s="489"/>
      <c r="G528" s="489"/>
      <c r="H528" s="489"/>
      <c r="I528" s="489"/>
      <c r="J528" s="489"/>
      <c r="K528" s="489"/>
      <c r="L528" s="192">
        <v>9729</v>
      </c>
      <c r="M528" s="192">
        <v>10296</v>
      </c>
      <c r="N528" s="144">
        <v>7000</v>
      </c>
      <c r="O528" s="144">
        <v>18000</v>
      </c>
      <c r="P528" s="145">
        <v>23851</v>
      </c>
      <c r="Q528" s="145">
        <v>19150</v>
      </c>
      <c r="R528" s="145">
        <v>19183</v>
      </c>
      <c r="S528" s="145">
        <v>21780</v>
      </c>
      <c r="T528" s="145">
        <v>43986</v>
      </c>
      <c r="U528" s="350"/>
    </row>
    <row r="529" spans="1:21" ht="24" customHeight="1">
      <c r="A529" s="247" t="s">
        <v>1313</v>
      </c>
      <c r="B529" s="248"/>
      <c r="C529" s="248"/>
      <c r="D529" s="125" t="s">
        <v>1308</v>
      </c>
      <c r="E529" s="248"/>
      <c r="F529" s="248"/>
      <c r="G529" s="248"/>
      <c r="H529" s="248"/>
      <c r="I529" s="248"/>
      <c r="J529" s="248"/>
      <c r="K529" s="248"/>
      <c r="L529" s="193">
        <v>0</v>
      </c>
      <c r="M529" s="193">
        <v>1431</v>
      </c>
      <c r="N529" s="148">
        <v>0</v>
      </c>
      <c r="O529" s="148">
        <v>0</v>
      </c>
      <c r="P529" s="145">
        <v>0</v>
      </c>
      <c r="Q529" s="145">
        <v>0</v>
      </c>
      <c r="R529" s="145">
        <v>0</v>
      </c>
      <c r="S529" s="145">
        <v>0</v>
      </c>
      <c r="T529" s="145">
        <v>0</v>
      </c>
    </row>
    <row r="530" spans="1:21" ht="24" customHeight="1">
      <c r="A530" s="247" t="s">
        <v>562</v>
      </c>
      <c r="B530" s="248"/>
      <c r="C530" s="248"/>
      <c r="D530" s="247" t="s">
        <v>61</v>
      </c>
      <c r="E530" s="248"/>
      <c r="F530" s="248"/>
      <c r="G530" s="248"/>
      <c r="H530" s="248"/>
      <c r="I530" s="248"/>
      <c r="J530" s="248"/>
      <c r="K530" s="248"/>
      <c r="L530" s="193">
        <v>27256</v>
      </c>
      <c r="M530" s="193">
        <v>388</v>
      </c>
      <c r="N530" s="150">
        <v>0</v>
      </c>
      <c r="O530" s="150">
        <v>15753</v>
      </c>
      <c r="P530" s="149">
        <v>0</v>
      </c>
      <c r="Q530" s="149">
        <v>0</v>
      </c>
      <c r="R530" s="149">
        <v>0</v>
      </c>
      <c r="S530" s="149">
        <v>0</v>
      </c>
      <c r="T530" s="149">
        <v>0</v>
      </c>
    </row>
    <row r="531" spans="1:21" ht="24" customHeight="1">
      <c r="A531" s="247" t="s">
        <v>768</v>
      </c>
      <c r="B531" s="183"/>
      <c r="C531" s="183"/>
      <c r="D531" s="247" t="s">
        <v>769</v>
      </c>
      <c r="E531" s="183"/>
      <c r="F531" s="183"/>
      <c r="G531" s="250"/>
      <c r="H531" s="250"/>
      <c r="I531" s="250"/>
      <c r="J531" s="250"/>
      <c r="K531" s="250"/>
      <c r="L531" s="205">
        <v>60495</v>
      </c>
      <c r="M531" s="205">
        <v>61082</v>
      </c>
      <c r="N531" s="160">
        <v>62491</v>
      </c>
      <c r="O531" s="160">
        <v>62597</v>
      </c>
      <c r="P531" s="159">
        <v>95749</v>
      </c>
      <c r="Q531" s="159">
        <v>98143</v>
      </c>
      <c r="R531" s="159">
        <v>100597</v>
      </c>
      <c r="S531" s="159">
        <v>103112</v>
      </c>
      <c r="T531" s="159">
        <v>105690</v>
      </c>
    </row>
    <row r="532" spans="1:21" ht="24" customHeight="1">
      <c r="A532" s="247" t="s">
        <v>282</v>
      </c>
      <c r="B532" s="183"/>
      <c r="C532" s="183"/>
      <c r="D532" s="247" t="s">
        <v>7</v>
      </c>
      <c r="E532" s="183"/>
      <c r="F532" s="183"/>
      <c r="G532" s="183"/>
      <c r="H532" s="183"/>
      <c r="I532" s="183"/>
      <c r="J532" s="183"/>
      <c r="K532" s="183"/>
      <c r="L532" s="192">
        <v>370</v>
      </c>
      <c r="M532" s="192">
        <v>139</v>
      </c>
      <c r="N532" s="144">
        <v>0</v>
      </c>
      <c r="O532" s="144">
        <v>250</v>
      </c>
      <c r="P532" s="143">
        <v>250</v>
      </c>
      <c r="Q532" s="143">
        <v>250</v>
      </c>
      <c r="R532" s="143">
        <v>250</v>
      </c>
      <c r="S532" s="143">
        <v>250</v>
      </c>
      <c r="T532" s="143">
        <v>250</v>
      </c>
    </row>
    <row r="533" spans="1:21" ht="24" customHeight="1">
      <c r="A533" s="247" t="s">
        <v>1092</v>
      </c>
      <c r="B533" s="248"/>
      <c r="C533" s="248"/>
      <c r="D533" s="247" t="s">
        <v>1020</v>
      </c>
      <c r="E533" s="183"/>
      <c r="F533" s="183"/>
      <c r="G533" s="183"/>
      <c r="H533" s="183"/>
      <c r="I533" s="183"/>
      <c r="J533" s="183"/>
      <c r="K533" s="183"/>
      <c r="L533" s="194">
        <v>5800000</v>
      </c>
      <c r="M533" s="194">
        <v>0</v>
      </c>
      <c r="N533" s="147">
        <v>0</v>
      </c>
      <c r="O533" s="147">
        <v>0</v>
      </c>
      <c r="P533" s="146">
        <v>0</v>
      </c>
      <c r="Q533" s="146">
        <v>0</v>
      </c>
      <c r="R533" s="146">
        <v>0</v>
      </c>
      <c r="S533" s="146">
        <v>0</v>
      </c>
      <c r="T533" s="146">
        <v>0</v>
      </c>
    </row>
    <row r="534" spans="1:21" ht="24" customHeight="1">
      <c r="A534" s="247" t="s">
        <v>1093</v>
      </c>
      <c r="B534" s="248"/>
      <c r="C534" s="248"/>
      <c r="D534" s="247" t="s">
        <v>1036</v>
      </c>
      <c r="E534" s="183"/>
      <c r="F534" s="183"/>
      <c r="G534" s="183"/>
      <c r="H534" s="183"/>
      <c r="I534" s="183"/>
      <c r="J534" s="183"/>
      <c r="K534" s="183"/>
      <c r="L534" s="194">
        <v>449023</v>
      </c>
      <c r="M534" s="194">
        <v>0</v>
      </c>
      <c r="N534" s="147">
        <v>0</v>
      </c>
      <c r="O534" s="147">
        <v>0</v>
      </c>
      <c r="P534" s="146">
        <v>0</v>
      </c>
      <c r="Q534" s="146">
        <v>0</v>
      </c>
      <c r="R534" s="146">
        <v>0</v>
      </c>
      <c r="S534" s="146">
        <v>0</v>
      </c>
      <c r="T534" s="146">
        <v>0</v>
      </c>
    </row>
    <row r="535" spans="1:21" ht="24" customHeight="1">
      <c r="A535" s="247" t="s">
        <v>1204</v>
      </c>
      <c r="B535" s="248"/>
      <c r="C535" s="248"/>
      <c r="D535" s="247" t="s">
        <v>930</v>
      </c>
      <c r="E535" s="183"/>
      <c r="F535" s="183"/>
      <c r="G535" s="183"/>
      <c r="H535" s="183"/>
      <c r="I535" s="183"/>
      <c r="J535" s="183"/>
      <c r="K535" s="183"/>
      <c r="L535" s="194">
        <v>1894</v>
      </c>
      <c r="M535" s="194">
        <v>0</v>
      </c>
      <c r="N535" s="147">
        <v>0</v>
      </c>
      <c r="O535" s="147">
        <v>0</v>
      </c>
      <c r="P535" s="146">
        <v>0</v>
      </c>
      <c r="Q535" s="146">
        <v>0</v>
      </c>
      <c r="R535" s="146">
        <v>0</v>
      </c>
      <c r="S535" s="146">
        <v>0</v>
      </c>
      <c r="T535" s="146">
        <v>0</v>
      </c>
    </row>
    <row r="536" spans="1:21" ht="24" customHeight="1">
      <c r="A536" s="247" t="s">
        <v>1158</v>
      </c>
      <c r="B536" s="248"/>
      <c r="C536" s="248"/>
      <c r="D536" s="247" t="s">
        <v>1071</v>
      </c>
      <c r="E536" s="183"/>
      <c r="F536" s="183"/>
      <c r="G536" s="183"/>
      <c r="H536" s="183"/>
      <c r="I536" s="183"/>
      <c r="J536" s="183"/>
      <c r="K536" s="183"/>
      <c r="L536" s="194">
        <v>0</v>
      </c>
      <c r="M536" s="194">
        <v>65241</v>
      </c>
      <c r="N536" s="147">
        <v>64866</v>
      </c>
      <c r="O536" s="147">
        <v>65030</v>
      </c>
      <c r="P536" s="146">
        <v>104906</v>
      </c>
      <c r="Q536" s="146">
        <v>103895</v>
      </c>
      <c r="R536" s="146">
        <v>104558</v>
      </c>
      <c r="S536" s="146">
        <v>104209</v>
      </c>
      <c r="T536" s="146">
        <v>104627</v>
      </c>
    </row>
    <row r="537" spans="1:21" ht="24" customHeight="1">
      <c r="A537" s="247" t="s">
        <v>283</v>
      </c>
      <c r="B537" s="248"/>
      <c r="C537" s="248"/>
      <c r="D537" s="247" t="s">
        <v>201</v>
      </c>
      <c r="E537" s="248"/>
      <c r="F537" s="248"/>
      <c r="G537" s="248"/>
      <c r="H537" s="248"/>
      <c r="I537" s="248"/>
      <c r="J537" s="248"/>
      <c r="K537" s="248"/>
      <c r="L537" s="210">
        <v>75075</v>
      </c>
      <c r="M537" s="210">
        <v>73875</v>
      </c>
      <c r="N537" s="168">
        <v>77675</v>
      </c>
      <c r="O537" s="168">
        <v>77675</v>
      </c>
      <c r="P537" s="167">
        <v>73875</v>
      </c>
      <c r="Q537" s="167">
        <v>75125</v>
      </c>
      <c r="R537" s="167">
        <v>75675</v>
      </c>
      <c r="S537" s="167">
        <v>73650</v>
      </c>
      <c r="T537" s="167">
        <v>74125</v>
      </c>
    </row>
    <row r="538" spans="1:21" ht="15" customHeight="1">
      <c r="A538" s="183"/>
      <c r="B538" s="183"/>
      <c r="C538" s="183"/>
      <c r="D538" s="183"/>
      <c r="E538" s="183"/>
      <c r="F538" s="183"/>
      <c r="G538" s="183"/>
      <c r="H538" s="183"/>
      <c r="I538" s="183"/>
      <c r="J538" s="183"/>
      <c r="K538" s="183"/>
      <c r="L538" s="199"/>
      <c r="M538" s="199"/>
      <c r="N538" s="155"/>
      <c r="O538" s="155"/>
      <c r="P538" s="154"/>
      <c r="Q538" s="154"/>
      <c r="R538" s="154"/>
      <c r="S538" s="154"/>
      <c r="T538" s="154"/>
    </row>
    <row r="539" spans="1:21" s="183" customFormat="1" ht="24" customHeight="1">
      <c r="K539" s="251" t="s">
        <v>454</v>
      </c>
      <c r="L539" s="201">
        <f t="shared" ref="L539:T539" si="39">SUM(L521:L538)</f>
        <v>10551626</v>
      </c>
      <c r="M539" s="201">
        <f t="shared" si="39"/>
        <v>4868202</v>
      </c>
      <c r="N539" s="202">
        <f t="shared" si="39"/>
        <v>4538518</v>
      </c>
      <c r="O539" s="202">
        <f t="shared" si="39"/>
        <v>4835105</v>
      </c>
      <c r="P539" s="201">
        <f t="shared" si="39"/>
        <v>4699931</v>
      </c>
      <c r="Q539" s="201">
        <f t="shared" si="39"/>
        <v>4866778</v>
      </c>
      <c r="R539" s="201">
        <f t="shared" si="39"/>
        <v>5050739</v>
      </c>
      <c r="S539" s="201">
        <f t="shared" si="39"/>
        <v>5237501</v>
      </c>
      <c r="T539" s="201">
        <f t="shared" si="39"/>
        <v>5461403</v>
      </c>
      <c r="U539" s="64"/>
    </row>
    <row r="540" spans="1:21" ht="15" customHeight="1">
      <c r="A540" s="183"/>
      <c r="B540" s="183"/>
      <c r="C540" s="183"/>
      <c r="D540" s="183"/>
      <c r="E540" s="183"/>
      <c r="F540" s="183"/>
      <c r="G540" s="183"/>
      <c r="H540" s="183"/>
      <c r="I540" s="183"/>
      <c r="J540" s="183"/>
      <c r="K540" s="183"/>
      <c r="L540" s="199"/>
      <c r="M540" s="199"/>
      <c r="N540" s="155"/>
      <c r="O540" s="155"/>
      <c r="P540" s="154"/>
      <c r="Q540" s="154"/>
      <c r="R540" s="154"/>
      <c r="S540" s="154"/>
      <c r="T540" s="154"/>
    </row>
    <row r="541" spans="1:21" ht="24" customHeight="1">
      <c r="A541" s="251" t="s">
        <v>920</v>
      </c>
      <c r="B541" s="183"/>
      <c r="C541" s="183"/>
      <c r="D541" s="183"/>
      <c r="E541" s="183"/>
      <c r="F541" s="183"/>
      <c r="G541" s="183"/>
      <c r="H541" s="183"/>
      <c r="I541" s="183"/>
      <c r="J541" s="183"/>
      <c r="K541" s="183"/>
      <c r="L541" s="199"/>
      <c r="M541" s="199"/>
      <c r="N541" s="155"/>
      <c r="O541" s="155"/>
      <c r="P541" s="154"/>
      <c r="Q541" s="154"/>
      <c r="R541" s="154"/>
      <c r="S541" s="154"/>
      <c r="T541" s="154"/>
    </row>
    <row r="542" spans="1:21" ht="24" customHeight="1">
      <c r="A542" s="247" t="s">
        <v>284</v>
      </c>
      <c r="B542" s="248"/>
      <c r="C542" s="248"/>
      <c r="D542" s="247" t="s">
        <v>797</v>
      </c>
      <c r="E542" s="248"/>
      <c r="F542" s="248"/>
      <c r="G542" s="248"/>
      <c r="H542" s="248"/>
      <c r="I542" s="248"/>
      <c r="J542" s="248"/>
      <c r="K542" s="248"/>
      <c r="L542" s="192">
        <v>375148</v>
      </c>
      <c r="M542" s="192">
        <v>394263</v>
      </c>
      <c r="N542" s="150">
        <v>414121</v>
      </c>
      <c r="O542" s="150">
        <v>380000</v>
      </c>
      <c r="P542" s="149">
        <v>477935</v>
      </c>
      <c r="Q542" s="149">
        <v>496356</v>
      </c>
      <c r="R542" s="149">
        <v>511247</v>
      </c>
      <c r="S542" s="149">
        <v>526584</v>
      </c>
      <c r="T542" s="149">
        <v>542382</v>
      </c>
    </row>
    <row r="543" spans="1:21" ht="24" customHeight="1">
      <c r="A543" s="247" t="s">
        <v>987</v>
      </c>
      <c r="B543" s="248"/>
      <c r="C543" s="248"/>
      <c r="D543" s="247" t="s">
        <v>68</v>
      </c>
      <c r="E543" s="248"/>
      <c r="F543" s="248"/>
      <c r="G543" s="248"/>
      <c r="H543" s="248"/>
      <c r="I543" s="248"/>
      <c r="J543" s="248"/>
      <c r="K543" s="248"/>
      <c r="L543" s="192">
        <v>5530</v>
      </c>
      <c r="M543" s="192">
        <v>11532</v>
      </c>
      <c r="N543" s="150">
        <v>15000</v>
      </c>
      <c r="O543" s="150">
        <v>5200</v>
      </c>
      <c r="P543" s="149">
        <v>30000</v>
      </c>
      <c r="Q543" s="149">
        <v>30000</v>
      </c>
      <c r="R543" s="149">
        <v>30000</v>
      </c>
      <c r="S543" s="149">
        <v>30000</v>
      </c>
      <c r="T543" s="149">
        <v>30000</v>
      </c>
    </row>
    <row r="544" spans="1:21" ht="24" customHeight="1">
      <c r="A544" s="247" t="s">
        <v>285</v>
      </c>
      <c r="B544" s="248"/>
      <c r="C544" s="248"/>
      <c r="D544" s="247" t="s">
        <v>14</v>
      </c>
      <c r="E544" s="248"/>
      <c r="F544" s="248"/>
      <c r="G544" s="248"/>
      <c r="H544" s="248"/>
      <c r="I544" s="248"/>
      <c r="J544" s="248"/>
      <c r="K544" s="248"/>
      <c r="L544" s="192">
        <v>9917</v>
      </c>
      <c r="M544" s="192">
        <v>6978</v>
      </c>
      <c r="N544" s="144">
        <v>12000</v>
      </c>
      <c r="O544" s="144">
        <v>12000</v>
      </c>
      <c r="P544" s="143">
        <v>12000</v>
      </c>
      <c r="Q544" s="143">
        <v>12000</v>
      </c>
      <c r="R544" s="143">
        <v>12000</v>
      </c>
      <c r="S544" s="143">
        <v>12000</v>
      </c>
      <c r="T544" s="143">
        <v>12000</v>
      </c>
    </row>
    <row r="545" spans="1:20" ht="24" customHeight="1">
      <c r="A545" s="247" t="s">
        <v>286</v>
      </c>
      <c r="B545" s="248"/>
      <c r="C545" s="248"/>
      <c r="D545" s="247" t="s">
        <v>8</v>
      </c>
      <c r="E545" s="248"/>
      <c r="F545" s="248"/>
      <c r="G545" s="248"/>
      <c r="H545" s="248"/>
      <c r="I545" s="248"/>
      <c r="J545" s="248"/>
      <c r="K545" s="248"/>
      <c r="L545" s="192">
        <v>41132</v>
      </c>
      <c r="M545" s="192">
        <v>42915</v>
      </c>
      <c r="N545" s="150">
        <v>45526</v>
      </c>
      <c r="O545" s="150">
        <v>41000</v>
      </c>
      <c r="P545" s="143">
        <v>44948</v>
      </c>
      <c r="Q545" s="143">
        <v>47938</v>
      </c>
      <c r="R545" s="143">
        <v>50807</v>
      </c>
      <c r="S545" s="143">
        <v>53858</v>
      </c>
      <c r="T545" s="143">
        <v>57101</v>
      </c>
    </row>
    <row r="546" spans="1:20" ht="24" customHeight="1">
      <c r="A546" s="247" t="s">
        <v>287</v>
      </c>
      <c r="B546" s="183"/>
      <c r="C546" s="183"/>
      <c r="D546" s="247" t="s">
        <v>9</v>
      </c>
      <c r="E546" s="183"/>
      <c r="F546" s="183"/>
      <c r="G546" s="183"/>
      <c r="H546" s="183"/>
      <c r="I546" s="183"/>
      <c r="J546" s="183"/>
      <c r="K546" s="183"/>
      <c r="L546" s="192">
        <v>28326</v>
      </c>
      <c r="M546" s="192">
        <v>30192</v>
      </c>
      <c r="N546" s="150">
        <v>32370</v>
      </c>
      <c r="O546" s="150">
        <v>30000</v>
      </c>
      <c r="P546" s="149">
        <v>37702</v>
      </c>
      <c r="Q546" s="149">
        <v>39145</v>
      </c>
      <c r="R546" s="149">
        <v>40319</v>
      </c>
      <c r="S546" s="149">
        <v>41529</v>
      </c>
      <c r="T546" s="149">
        <v>42775</v>
      </c>
    </row>
    <row r="547" spans="1:20" ht="24" customHeight="1">
      <c r="A547" s="247" t="s">
        <v>494</v>
      </c>
      <c r="B547" s="183"/>
      <c r="C547" s="183"/>
      <c r="D547" s="247" t="s">
        <v>13</v>
      </c>
      <c r="E547" s="183"/>
      <c r="F547" s="183"/>
      <c r="G547" s="183"/>
      <c r="H547" s="183"/>
      <c r="I547" s="183"/>
      <c r="J547" s="183"/>
      <c r="K547" s="183"/>
      <c r="L547" s="192">
        <v>127757</v>
      </c>
      <c r="M547" s="192">
        <v>134779</v>
      </c>
      <c r="N547" s="147">
        <v>139233</v>
      </c>
      <c r="O547" s="150">
        <v>106545</v>
      </c>
      <c r="P547" s="149">
        <v>137566</v>
      </c>
      <c r="Q547" s="149">
        <v>148571</v>
      </c>
      <c r="R547" s="149">
        <v>160457</v>
      </c>
      <c r="S547" s="149">
        <v>173294</v>
      </c>
      <c r="T547" s="149">
        <v>187158</v>
      </c>
    </row>
    <row r="548" spans="1:20" ht="24" customHeight="1">
      <c r="A548" s="247" t="s">
        <v>495</v>
      </c>
      <c r="B548" s="183"/>
      <c r="C548" s="183"/>
      <c r="D548" s="247" t="s">
        <v>166</v>
      </c>
      <c r="E548" s="183"/>
      <c r="F548" s="183"/>
      <c r="G548" s="183"/>
      <c r="H548" s="183"/>
      <c r="I548" s="183"/>
      <c r="J548" s="183"/>
      <c r="K548" s="183"/>
      <c r="L548" s="192">
        <v>705</v>
      </c>
      <c r="M548" s="192">
        <v>705</v>
      </c>
      <c r="N548" s="147">
        <v>519</v>
      </c>
      <c r="O548" s="150">
        <v>464</v>
      </c>
      <c r="P548" s="146">
        <v>560</v>
      </c>
      <c r="Q548" s="146">
        <v>566</v>
      </c>
      <c r="R548" s="146">
        <v>572</v>
      </c>
      <c r="S548" s="146">
        <v>578</v>
      </c>
      <c r="T548" s="146">
        <v>584</v>
      </c>
    </row>
    <row r="549" spans="1:20" ht="24" customHeight="1">
      <c r="A549" s="247" t="s">
        <v>496</v>
      </c>
      <c r="B549" s="183"/>
      <c r="C549" s="183"/>
      <c r="D549" s="247" t="s">
        <v>503</v>
      </c>
      <c r="E549" s="183"/>
      <c r="F549" s="183"/>
      <c r="G549" s="183"/>
      <c r="H549" s="183"/>
      <c r="I549" s="183"/>
      <c r="J549" s="183"/>
      <c r="K549" s="183"/>
      <c r="L549" s="192">
        <v>9147</v>
      </c>
      <c r="M549" s="192">
        <v>8808</v>
      </c>
      <c r="N549" s="147">
        <v>8260</v>
      </c>
      <c r="O549" s="150">
        <v>7177</v>
      </c>
      <c r="P549" s="146">
        <v>9354</v>
      </c>
      <c r="Q549" s="146">
        <v>9822</v>
      </c>
      <c r="R549" s="146">
        <v>10313</v>
      </c>
      <c r="S549" s="146">
        <v>10829</v>
      </c>
      <c r="T549" s="146">
        <v>11370</v>
      </c>
    </row>
    <row r="550" spans="1:20" ht="24" customHeight="1">
      <c r="A550" s="247" t="s">
        <v>510</v>
      </c>
      <c r="B550" s="183"/>
      <c r="C550" s="183"/>
      <c r="D550" s="247" t="s">
        <v>505</v>
      </c>
      <c r="E550" s="183"/>
      <c r="F550" s="183"/>
      <c r="G550" s="183"/>
      <c r="H550" s="183"/>
      <c r="I550" s="183"/>
      <c r="J550" s="183"/>
      <c r="K550" s="183"/>
      <c r="L550" s="192">
        <v>1131</v>
      </c>
      <c r="M550" s="192">
        <v>1218</v>
      </c>
      <c r="N550" s="147">
        <v>1218</v>
      </c>
      <c r="O550" s="150">
        <v>1054</v>
      </c>
      <c r="P550" s="146">
        <v>1344</v>
      </c>
      <c r="Q550" s="146">
        <v>1344</v>
      </c>
      <c r="R550" s="146">
        <v>1384</v>
      </c>
      <c r="S550" s="146">
        <v>1426</v>
      </c>
      <c r="T550" s="146">
        <v>1469</v>
      </c>
    </row>
    <row r="551" spans="1:20" ht="24" customHeight="1">
      <c r="A551" s="247" t="s">
        <v>477</v>
      </c>
      <c r="B551" s="183"/>
      <c r="C551" s="183"/>
      <c r="D551" s="247" t="s">
        <v>165</v>
      </c>
      <c r="E551" s="183"/>
      <c r="F551" s="183"/>
      <c r="G551" s="183"/>
      <c r="H551" s="183"/>
      <c r="I551" s="183"/>
      <c r="J551" s="183"/>
      <c r="K551" s="183"/>
      <c r="L551" s="192">
        <v>1148</v>
      </c>
      <c r="M551" s="192">
        <v>671</v>
      </c>
      <c r="N551" s="144">
        <v>2000</v>
      </c>
      <c r="O551" s="144">
        <v>1000</v>
      </c>
      <c r="P551" s="143">
        <v>2000</v>
      </c>
      <c r="Q551" s="143">
        <v>2000</v>
      </c>
      <c r="R551" s="143">
        <v>2000</v>
      </c>
      <c r="S551" s="143">
        <v>2000</v>
      </c>
      <c r="T551" s="143">
        <v>2000</v>
      </c>
    </row>
    <row r="552" spans="1:20" ht="24" customHeight="1">
      <c r="A552" s="247" t="s">
        <v>475</v>
      </c>
      <c r="B552" s="183"/>
      <c r="C552" s="183"/>
      <c r="D552" s="247" t="s">
        <v>220</v>
      </c>
      <c r="E552" s="183"/>
      <c r="F552" s="183"/>
      <c r="G552" s="183"/>
      <c r="H552" s="183"/>
      <c r="I552" s="183"/>
      <c r="J552" s="183"/>
      <c r="K552" s="183"/>
      <c r="L552" s="192">
        <v>25704</v>
      </c>
      <c r="M552" s="192">
        <v>26741</v>
      </c>
      <c r="N552" s="144">
        <v>28340</v>
      </c>
      <c r="O552" s="144">
        <v>27915</v>
      </c>
      <c r="P552" s="143">
        <v>29590</v>
      </c>
      <c r="Q552" s="143">
        <v>31365</v>
      </c>
      <c r="R552" s="143">
        <v>33247</v>
      </c>
      <c r="S552" s="143">
        <v>35242</v>
      </c>
      <c r="T552" s="143">
        <v>37357</v>
      </c>
    </row>
    <row r="553" spans="1:20" ht="24" customHeight="1">
      <c r="A553" s="247" t="s">
        <v>1186</v>
      </c>
      <c r="B553" s="183"/>
      <c r="C553" s="183"/>
      <c r="D553" s="183" t="s">
        <v>1187</v>
      </c>
      <c r="E553" s="183"/>
      <c r="F553" s="183"/>
      <c r="G553" s="183"/>
      <c r="H553" s="183"/>
      <c r="I553" s="183"/>
      <c r="J553" s="183"/>
      <c r="K553" s="183"/>
      <c r="L553" s="192">
        <v>0</v>
      </c>
      <c r="M553" s="192">
        <v>108154</v>
      </c>
      <c r="N553" s="148">
        <v>111629</v>
      </c>
      <c r="O553" s="148">
        <v>111629</v>
      </c>
      <c r="P553" s="145">
        <v>118631</v>
      </c>
      <c r="Q553" s="145">
        <v>122190</v>
      </c>
      <c r="R553" s="145">
        <v>125856</v>
      </c>
      <c r="S553" s="145">
        <v>129632</v>
      </c>
      <c r="T553" s="145">
        <v>133521</v>
      </c>
    </row>
    <row r="554" spans="1:20" ht="24" customHeight="1">
      <c r="A554" s="247" t="s">
        <v>1040</v>
      </c>
      <c r="B554" s="183"/>
      <c r="C554" s="183"/>
      <c r="D554" s="183" t="s">
        <v>1021</v>
      </c>
      <c r="E554" s="183"/>
      <c r="F554" s="183"/>
      <c r="G554" s="183"/>
      <c r="H554" s="183"/>
      <c r="I554" s="183"/>
      <c r="J554" s="183"/>
      <c r="K554" s="183"/>
      <c r="L554" s="192">
        <v>55732</v>
      </c>
      <c r="M554" s="192">
        <v>0</v>
      </c>
      <c r="N554" s="148">
        <v>0</v>
      </c>
      <c r="O554" s="148">
        <v>0</v>
      </c>
      <c r="P554" s="145">
        <v>0</v>
      </c>
      <c r="Q554" s="145">
        <v>0</v>
      </c>
      <c r="R554" s="145">
        <v>0</v>
      </c>
      <c r="S554" s="145">
        <v>0</v>
      </c>
      <c r="T554" s="145">
        <v>0</v>
      </c>
    </row>
    <row r="555" spans="1:20" ht="24" customHeight="1">
      <c r="A555" s="247" t="s">
        <v>758</v>
      </c>
      <c r="B555" s="183"/>
      <c r="C555" s="183"/>
      <c r="D555" s="183" t="s">
        <v>756</v>
      </c>
      <c r="E555" s="183"/>
      <c r="F555" s="183"/>
      <c r="G555" s="183"/>
      <c r="H555" s="183"/>
      <c r="I555" s="183"/>
      <c r="J555" s="183"/>
      <c r="K555" s="183"/>
      <c r="L555" s="192">
        <v>171840</v>
      </c>
      <c r="M555" s="192">
        <v>165755</v>
      </c>
      <c r="N555" s="144">
        <v>0</v>
      </c>
      <c r="O555" s="144">
        <v>0</v>
      </c>
      <c r="P555" s="143">
        <v>0</v>
      </c>
      <c r="Q555" s="143">
        <v>0</v>
      </c>
      <c r="R555" s="143">
        <v>0</v>
      </c>
      <c r="S555" s="143">
        <v>0</v>
      </c>
      <c r="T555" s="143">
        <v>0</v>
      </c>
    </row>
    <row r="556" spans="1:20" ht="24" customHeight="1">
      <c r="A556" s="247" t="s">
        <v>288</v>
      </c>
      <c r="B556" s="248"/>
      <c r="C556" s="248"/>
      <c r="D556" s="247" t="s">
        <v>90</v>
      </c>
      <c r="E556" s="248"/>
      <c r="F556" s="248"/>
      <c r="G556" s="248"/>
      <c r="H556" s="248"/>
      <c r="I556" s="248"/>
      <c r="J556" s="248"/>
      <c r="K556" s="248"/>
      <c r="L556" s="192">
        <v>3178</v>
      </c>
      <c r="M556" s="192">
        <v>2515</v>
      </c>
      <c r="N556" s="141">
        <v>6500</v>
      </c>
      <c r="O556" s="141">
        <v>6500</v>
      </c>
      <c r="P556" s="140">
        <v>6500</v>
      </c>
      <c r="Q556" s="140">
        <v>6500</v>
      </c>
      <c r="R556" s="140">
        <v>6500</v>
      </c>
      <c r="S556" s="140">
        <v>6500</v>
      </c>
      <c r="T556" s="140">
        <v>6500</v>
      </c>
    </row>
    <row r="557" spans="1:20" ht="24" customHeight="1">
      <c r="A557" s="247" t="s">
        <v>289</v>
      </c>
      <c r="B557" s="183"/>
      <c r="C557" s="183"/>
      <c r="D557" s="247" t="s">
        <v>910</v>
      </c>
      <c r="E557" s="183"/>
      <c r="F557" s="183"/>
      <c r="G557" s="248"/>
      <c r="H557" s="248"/>
      <c r="I557" s="248"/>
      <c r="J557" s="248"/>
      <c r="K557" s="248"/>
      <c r="L557" s="192">
        <v>2123</v>
      </c>
      <c r="M557" s="192">
        <v>732</v>
      </c>
      <c r="N557" s="144">
        <v>2000</v>
      </c>
      <c r="O557" s="144">
        <v>2000</v>
      </c>
      <c r="P557" s="143">
        <v>2000</v>
      </c>
      <c r="Q557" s="143">
        <v>2000</v>
      </c>
      <c r="R557" s="143">
        <v>2000</v>
      </c>
      <c r="S557" s="143">
        <v>2000</v>
      </c>
      <c r="T557" s="143">
        <v>2000</v>
      </c>
    </row>
    <row r="558" spans="1:20" ht="24" customHeight="1">
      <c r="A558" s="247" t="s">
        <v>1250</v>
      </c>
      <c r="B558" s="183"/>
      <c r="C558" s="183"/>
      <c r="D558" s="1" t="s">
        <v>1245</v>
      </c>
      <c r="E558" s="183"/>
      <c r="F558" s="183"/>
      <c r="G558" s="183"/>
      <c r="H558" s="183"/>
      <c r="I558" s="183"/>
      <c r="J558" s="183"/>
      <c r="K558" s="183"/>
      <c r="L558" s="196">
        <v>0</v>
      </c>
      <c r="M558" s="196">
        <v>0</v>
      </c>
      <c r="N558" s="150">
        <v>2627</v>
      </c>
      <c r="O558" s="150">
        <v>2627</v>
      </c>
      <c r="P558" s="149">
        <v>827</v>
      </c>
      <c r="Q558" s="149">
        <v>2258</v>
      </c>
      <c r="R558" s="149">
        <v>481</v>
      </c>
      <c r="S558" s="149">
        <v>3190</v>
      </c>
      <c r="T558" s="149">
        <v>3349</v>
      </c>
    </row>
    <row r="559" spans="1:20" ht="24" customHeight="1">
      <c r="A559" s="247" t="s">
        <v>290</v>
      </c>
      <c r="B559" s="183"/>
      <c r="C559" s="183"/>
      <c r="D559" s="247" t="s">
        <v>89</v>
      </c>
      <c r="E559" s="183"/>
      <c r="F559" s="183"/>
      <c r="G559" s="248"/>
      <c r="H559" s="248"/>
      <c r="I559" s="248"/>
      <c r="J559" s="248"/>
      <c r="K559" s="248"/>
      <c r="L559" s="192">
        <v>605</v>
      </c>
      <c r="M559" s="192">
        <v>932</v>
      </c>
      <c r="N559" s="144">
        <v>500</v>
      </c>
      <c r="O559" s="144">
        <v>1359</v>
      </c>
      <c r="P559" s="143">
        <v>500</v>
      </c>
      <c r="Q559" s="143">
        <v>500</v>
      </c>
      <c r="R559" s="143">
        <v>500</v>
      </c>
      <c r="S559" s="143">
        <v>500</v>
      </c>
      <c r="T559" s="143">
        <v>500</v>
      </c>
    </row>
    <row r="560" spans="1:20" ht="24" customHeight="1">
      <c r="A560" s="247" t="s">
        <v>291</v>
      </c>
      <c r="B560" s="183"/>
      <c r="C560" s="183"/>
      <c r="D560" s="247" t="s">
        <v>292</v>
      </c>
      <c r="E560" s="183"/>
      <c r="F560" s="183"/>
      <c r="G560" s="248"/>
      <c r="H560" s="248"/>
      <c r="I560" s="248"/>
      <c r="J560" s="248"/>
      <c r="K560" s="248"/>
      <c r="L560" s="190">
        <v>7607</v>
      </c>
      <c r="M560" s="190">
        <v>5894</v>
      </c>
      <c r="N560" s="141">
        <v>10000</v>
      </c>
      <c r="O560" s="141">
        <v>10000</v>
      </c>
      <c r="P560" s="140">
        <v>8000</v>
      </c>
      <c r="Q560" s="140">
        <v>8000</v>
      </c>
      <c r="R560" s="140">
        <v>10000</v>
      </c>
      <c r="S560" s="140">
        <v>8000</v>
      </c>
      <c r="T560" s="140">
        <v>8000</v>
      </c>
    </row>
    <row r="561" spans="1:20" ht="24" customHeight="1">
      <c r="A561" s="247" t="s">
        <v>293</v>
      </c>
      <c r="B561" s="183"/>
      <c r="C561" s="183"/>
      <c r="D561" s="247" t="s">
        <v>911</v>
      </c>
      <c r="E561" s="183"/>
      <c r="F561" s="183"/>
      <c r="G561" s="248"/>
      <c r="H561" s="248"/>
      <c r="I561" s="248"/>
      <c r="J561" s="248"/>
      <c r="K561" s="248"/>
      <c r="L561" s="192">
        <v>2405</v>
      </c>
      <c r="M561" s="192">
        <v>2814</v>
      </c>
      <c r="N561" s="144">
        <v>3250</v>
      </c>
      <c r="O561" s="144">
        <v>3250</v>
      </c>
      <c r="P561" s="143">
        <v>3250</v>
      </c>
      <c r="Q561" s="143">
        <v>3250</v>
      </c>
      <c r="R561" s="143">
        <v>3250</v>
      </c>
      <c r="S561" s="143">
        <v>3250</v>
      </c>
      <c r="T561" s="143">
        <v>3250</v>
      </c>
    </row>
    <row r="562" spans="1:20" ht="24" customHeight="1">
      <c r="A562" s="247" t="s">
        <v>294</v>
      </c>
      <c r="B562" s="183"/>
      <c r="C562" s="183"/>
      <c r="D562" s="247" t="s">
        <v>215</v>
      </c>
      <c r="E562" s="183"/>
      <c r="F562" s="248"/>
      <c r="G562" s="183"/>
      <c r="H562" s="183"/>
      <c r="I562" s="183"/>
      <c r="J562" s="183"/>
      <c r="K562" s="183"/>
      <c r="L562" s="192">
        <v>30807</v>
      </c>
      <c r="M562" s="192">
        <v>33832</v>
      </c>
      <c r="N562" s="144">
        <v>30000</v>
      </c>
      <c r="O562" s="144">
        <v>35000</v>
      </c>
      <c r="P562" s="143">
        <v>35000</v>
      </c>
      <c r="Q562" s="143">
        <v>35000</v>
      </c>
      <c r="R562" s="143">
        <v>35000</v>
      </c>
      <c r="S562" s="143">
        <v>35000</v>
      </c>
      <c r="T562" s="143">
        <v>35000</v>
      </c>
    </row>
    <row r="563" spans="1:20" ht="24" customHeight="1">
      <c r="A563" s="247" t="s">
        <v>610</v>
      </c>
      <c r="B563" s="183"/>
      <c r="C563" s="183"/>
      <c r="D563" s="247" t="s">
        <v>611</v>
      </c>
      <c r="E563" s="183"/>
      <c r="F563" s="248"/>
      <c r="G563" s="183"/>
      <c r="H563" s="183"/>
      <c r="I563" s="183"/>
      <c r="J563" s="183"/>
      <c r="K563" s="183"/>
      <c r="L563" s="192">
        <v>143204</v>
      </c>
      <c r="M563" s="192">
        <v>136286</v>
      </c>
      <c r="N563" s="144">
        <v>145000</v>
      </c>
      <c r="O563" s="144">
        <v>145000</v>
      </c>
      <c r="P563" s="143">
        <v>145000</v>
      </c>
      <c r="Q563" s="143">
        <v>145000</v>
      </c>
      <c r="R563" s="143">
        <v>145000</v>
      </c>
      <c r="S563" s="143">
        <v>145000</v>
      </c>
      <c r="T563" s="143">
        <v>145000</v>
      </c>
    </row>
    <row r="564" spans="1:20" ht="24" customHeight="1">
      <c r="A564" s="247" t="s">
        <v>597</v>
      </c>
      <c r="B564" s="183"/>
      <c r="C564" s="183"/>
      <c r="D564" s="247" t="s">
        <v>49</v>
      </c>
      <c r="E564" s="183"/>
      <c r="F564" s="248"/>
      <c r="G564" s="183"/>
      <c r="H564" s="183"/>
      <c r="I564" s="183"/>
      <c r="J564" s="183"/>
      <c r="K564" s="183"/>
      <c r="L564" s="192">
        <v>2058</v>
      </c>
      <c r="M564" s="192">
        <v>1901</v>
      </c>
      <c r="N564" s="144">
        <v>4000</v>
      </c>
      <c r="O564" s="144">
        <v>3000</v>
      </c>
      <c r="P564" s="143">
        <v>3000</v>
      </c>
      <c r="Q564" s="143">
        <v>3000</v>
      </c>
      <c r="R564" s="143">
        <v>3000</v>
      </c>
      <c r="S564" s="143">
        <v>3000</v>
      </c>
      <c r="T564" s="143">
        <v>3000</v>
      </c>
    </row>
    <row r="565" spans="1:20" ht="24" customHeight="1">
      <c r="A565" s="247" t="s">
        <v>295</v>
      </c>
      <c r="B565" s="248"/>
      <c r="C565" s="248"/>
      <c r="D565" s="247" t="s">
        <v>88</v>
      </c>
      <c r="E565" s="248"/>
      <c r="F565" s="248"/>
      <c r="G565" s="183"/>
      <c r="H565" s="183"/>
      <c r="I565" s="183"/>
      <c r="J565" s="183"/>
      <c r="K565" s="183"/>
      <c r="L565" s="190">
        <v>16838</v>
      </c>
      <c r="M565" s="190">
        <v>17723</v>
      </c>
      <c r="N565" s="141">
        <v>19000</v>
      </c>
      <c r="O565" s="141">
        <v>19000</v>
      </c>
      <c r="P565" s="140">
        <v>19000</v>
      </c>
      <c r="Q565" s="140">
        <v>19000</v>
      </c>
      <c r="R565" s="140">
        <v>19000</v>
      </c>
      <c r="S565" s="140">
        <v>19000</v>
      </c>
      <c r="T565" s="140">
        <v>19000</v>
      </c>
    </row>
    <row r="566" spans="1:20" ht="24" customHeight="1">
      <c r="A566" s="247" t="s">
        <v>296</v>
      </c>
      <c r="B566" s="183"/>
      <c r="C566" s="183"/>
      <c r="D566" s="247" t="s">
        <v>912</v>
      </c>
      <c r="E566" s="183"/>
      <c r="F566" s="183"/>
      <c r="G566" s="183"/>
      <c r="H566" s="183"/>
      <c r="I566" s="183"/>
      <c r="J566" s="183"/>
      <c r="K566" s="183"/>
      <c r="L566" s="192">
        <v>1603</v>
      </c>
      <c r="M566" s="192">
        <v>1169</v>
      </c>
      <c r="N566" s="144">
        <v>1800</v>
      </c>
      <c r="O566" s="144">
        <v>1800</v>
      </c>
      <c r="P566" s="143">
        <v>1800</v>
      </c>
      <c r="Q566" s="143">
        <v>1800</v>
      </c>
      <c r="R566" s="143">
        <v>1800</v>
      </c>
      <c r="S566" s="143">
        <v>1800</v>
      </c>
      <c r="T566" s="143">
        <v>1800</v>
      </c>
    </row>
    <row r="567" spans="1:20" ht="24" customHeight="1">
      <c r="A567" s="247" t="s">
        <v>297</v>
      </c>
      <c r="B567" s="183"/>
      <c r="C567" s="183"/>
      <c r="D567" s="247" t="s">
        <v>10</v>
      </c>
      <c r="E567" s="183"/>
      <c r="F567" s="183"/>
      <c r="G567" s="248"/>
      <c r="H567" s="248"/>
      <c r="I567" s="248"/>
      <c r="J567" s="248"/>
      <c r="K567" s="248"/>
      <c r="L567" s="190">
        <v>39025</v>
      </c>
      <c r="M567" s="190">
        <v>36863</v>
      </c>
      <c r="N567" s="141">
        <v>45000</v>
      </c>
      <c r="O567" s="141">
        <v>75000</v>
      </c>
      <c r="P567" s="143">
        <v>65000</v>
      </c>
      <c r="Q567" s="143">
        <v>55000</v>
      </c>
      <c r="R567" s="143">
        <v>55000</v>
      </c>
      <c r="S567" s="143">
        <v>55000</v>
      </c>
      <c r="T567" s="143">
        <v>55000</v>
      </c>
    </row>
    <row r="568" spans="1:20" ht="24" customHeight="1">
      <c r="A568" s="247" t="s">
        <v>1047</v>
      </c>
      <c r="B568" s="183"/>
      <c r="C568" s="183"/>
      <c r="D568" s="247" t="s">
        <v>236</v>
      </c>
      <c r="E568" s="183"/>
      <c r="F568" s="183"/>
      <c r="G568" s="248"/>
      <c r="H568" s="248"/>
      <c r="I568" s="248"/>
      <c r="J568" s="248"/>
      <c r="K568" s="248"/>
      <c r="L568" s="190">
        <v>46960</v>
      </c>
      <c r="M568" s="190">
        <v>39975</v>
      </c>
      <c r="N568" s="141">
        <v>15000</v>
      </c>
      <c r="O568" s="141">
        <v>16958</v>
      </c>
      <c r="P568" s="140">
        <v>37500</v>
      </c>
      <c r="Q568" s="140">
        <v>15000</v>
      </c>
      <c r="R568" s="140">
        <v>15000</v>
      </c>
      <c r="S568" s="140">
        <v>15000</v>
      </c>
      <c r="T568" s="140">
        <v>15000</v>
      </c>
    </row>
    <row r="569" spans="1:20" ht="24" customHeight="1">
      <c r="A569" s="247" t="s">
        <v>298</v>
      </c>
      <c r="B569" s="248"/>
      <c r="C569" s="248"/>
      <c r="D569" s="247" t="s">
        <v>17</v>
      </c>
      <c r="E569" s="248"/>
      <c r="F569" s="248"/>
      <c r="G569" s="248"/>
      <c r="H569" s="248"/>
      <c r="I569" s="248"/>
      <c r="J569" s="248"/>
      <c r="K569" s="248"/>
      <c r="L569" s="193">
        <v>256914</v>
      </c>
      <c r="M569" s="193">
        <v>279411</v>
      </c>
      <c r="N569" s="144">
        <v>286518</v>
      </c>
      <c r="O569" s="144">
        <v>286518</v>
      </c>
      <c r="P569" s="143">
        <v>303709</v>
      </c>
      <c r="Q569" s="143">
        <v>321932</v>
      </c>
      <c r="R569" s="143">
        <v>341248</v>
      </c>
      <c r="S569" s="143">
        <v>361723</v>
      </c>
      <c r="T569" s="143">
        <v>383426</v>
      </c>
    </row>
    <row r="570" spans="1:20" ht="24" customHeight="1">
      <c r="A570" s="247" t="s">
        <v>299</v>
      </c>
      <c r="B570" s="183"/>
      <c r="C570" s="183"/>
      <c r="D570" s="247" t="s">
        <v>300</v>
      </c>
      <c r="E570" s="183"/>
      <c r="F570" s="183"/>
      <c r="G570" s="183"/>
      <c r="H570" s="183"/>
      <c r="I570" s="183"/>
      <c r="J570" s="183"/>
      <c r="K570" s="183"/>
      <c r="L570" s="213">
        <v>7849</v>
      </c>
      <c r="M570" s="213">
        <v>5954</v>
      </c>
      <c r="N570" s="171">
        <v>3000</v>
      </c>
      <c r="O570" s="171">
        <v>1250</v>
      </c>
      <c r="P570" s="170">
        <v>3000</v>
      </c>
      <c r="Q570" s="170">
        <v>3000</v>
      </c>
      <c r="R570" s="170">
        <v>3000</v>
      </c>
      <c r="S570" s="170">
        <v>3000</v>
      </c>
      <c r="T570" s="170">
        <v>3000</v>
      </c>
    </row>
    <row r="571" spans="1:20" ht="24" customHeight="1">
      <c r="A571" s="247" t="s">
        <v>301</v>
      </c>
      <c r="B571" s="248"/>
      <c r="C571" s="248"/>
      <c r="D571" s="247" t="s">
        <v>85</v>
      </c>
      <c r="E571" s="248"/>
      <c r="F571" s="248"/>
      <c r="G571" s="183"/>
      <c r="H571" s="183"/>
      <c r="I571" s="183"/>
      <c r="J571" s="183"/>
      <c r="K571" s="183"/>
      <c r="L571" s="213">
        <v>423</v>
      </c>
      <c r="M571" s="213">
        <v>929</v>
      </c>
      <c r="N571" s="171">
        <v>1000</v>
      </c>
      <c r="O571" s="171">
        <v>1000</v>
      </c>
      <c r="P571" s="149">
        <v>1700</v>
      </c>
      <c r="Q571" s="149">
        <v>1700</v>
      </c>
      <c r="R571" s="149">
        <v>1700</v>
      </c>
      <c r="S571" s="149">
        <v>1700</v>
      </c>
      <c r="T571" s="149">
        <v>1700</v>
      </c>
    </row>
    <row r="572" spans="1:20" ht="24" customHeight="1">
      <c r="A572" s="247" t="s">
        <v>1141</v>
      </c>
      <c r="B572" s="183"/>
      <c r="C572" s="183"/>
      <c r="D572" s="247" t="s">
        <v>86</v>
      </c>
      <c r="E572" s="183"/>
      <c r="F572" s="183"/>
      <c r="G572" s="183"/>
      <c r="H572" s="183"/>
      <c r="I572" s="183"/>
      <c r="J572" s="183"/>
      <c r="K572" s="183"/>
      <c r="L572" s="196">
        <v>0</v>
      </c>
      <c r="M572" s="196">
        <v>1164</v>
      </c>
      <c r="N572" s="150">
        <v>1199</v>
      </c>
      <c r="O572" s="150">
        <v>1020</v>
      </c>
      <c r="P572" s="149">
        <v>1051</v>
      </c>
      <c r="Q572" s="149">
        <v>1083</v>
      </c>
      <c r="R572" s="149">
        <v>1115</v>
      </c>
      <c r="S572" s="149">
        <v>1148</v>
      </c>
      <c r="T572" s="149">
        <v>1182</v>
      </c>
    </row>
    <row r="573" spans="1:20" ht="24" customHeight="1">
      <c r="A573" s="247" t="s">
        <v>850</v>
      </c>
      <c r="B573" s="248"/>
      <c r="C573" s="248"/>
      <c r="D573" s="247" t="s">
        <v>847</v>
      </c>
      <c r="E573" s="248"/>
      <c r="F573" s="248"/>
      <c r="G573" s="248"/>
      <c r="H573" s="248"/>
      <c r="I573" s="248"/>
      <c r="J573" s="248"/>
      <c r="K573" s="248"/>
      <c r="L573" s="209">
        <v>8862</v>
      </c>
      <c r="M573" s="209">
        <v>5930</v>
      </c>
      <c r="N573" s="172">
        <v>12000</v>
      </c>
      <c r="O573" s="172">
        <v>12000</v>
      </c>
      <c r="P573" s="166">
        <v>12000</v>
      </c>
      <c r="Q573" s="166">
        <v>12000</v>
      </c>
      <c r="R573" s="166">
        <v>12000</v>
      </c>
      <c r="S573" s="166">
        <v>12000</v>
      </c>
      <c r="T573" s="166">
        <v>12000</v>
      </c>
    </row>
    <row r="574" spans="1:20" ht="24" customHeight="1">
      <c r="A574" s="247" t="s">
        <v>933</v>
      </c>
      <c r="B574" s="248"/>
      <c r="C574" s="248"/>
      <c r="D574" s="426" t="s">
        <v>932</v>
      </c>
      <c r="E574" s="248"/>
      <c r="F574" s="248"/>
      <c r="G574" s="248"/>
      <c r="H574" s="248"/>
      <c r="I574" s="248"/>
      <c r="J574" s="248"/>
      <c r="K574" s="248"/>
      <c r="L574" s="209">
        <v>15096</v>
      </c>
      <c r="M574" s="209">
        <v>15023</v>
      </c>
      <c r="N574" s="172">
        <v>25000</v>
      </c>
      <c r="O574" s="172">
        <v>15000</v>
      </c>
      <c r="P574" s="166">
        <v>25000</v>
      </c>
      <c r="Q574" s="166">
        <v>25000</v>
      </c>
      <c r="R574" s="166">
        <v>55000</v>
      </c>
      <c r="S574" s="166">
        <v>25000</v>
      </c>
      <c r="T574" s="166">
        <v>25000</v>
      </c>
    </row>
    <row r="575" spans="1:20" ht="24" customHeight="1">
      <c r="A575" s="247" t="s">
        <v>594</v>
      </c>
      <c r="B575" s="248"/>
      <c r="C575" s="248"/>
      <c r="D575" s="247" t="s">
        <v>270</v>
      </c>
      <c r="E575" s="248"/>
      <c r="F575" s="248"/>
      <c r="G575" s="248"/>
      <c r="H575" s="248"/>
      <c r="I575" s="248"/>
      <c r="J575" s="248"/>
      <c r="K575" s="248"/>
      <c r="L575" s="209">
        <v>1415</v>
      </c>
      <c r="M575" s="209">
        <v>1888</v>
      </c>
      <c r="N575" s="172">
        <v>2000</v>
      </c>
      <c r="O575" s="172">
        <v>1888</v>
      </c>
      <c r="P575" s="166">
        <v>1750</v>
      </c>
      <c r="Q575" s="166">
        <v>1750</v>
      </c>
      <c r="R575" s="166">
        <v>1750</v>
      </c>
      <c r="S575" s="166">
        <v>1750</v>
      </c>
      <c r="T575" s="166">
        <v>1500</v>
      </c>
    </row>
    <row r="576" spans="1:20" ht="24" customHeight="1">
      <c r="A576" s="247" t="s">
        <v>302</v>
      </c>
      <c r="B576" s="248"/>
      <c r="C576" s="248"/>
      <c r="D576" s="247" t="s">
        <v>18</v>
      </c>
      <c r="E576" s="248"/>
      <c r="F576" s="248"/>
      <c r="G576" s="248"/>
      <c r="H576" s="248"/>
      <c r="I576" s="248"/>
      <c r="J576" s="248"/>
      <c r="K576" s="248"/>
      <c r="L576" s="209">
        <v>12734</v>
      </c>
      <c r="M576" s="209">
        <v>7275</v>
      </c>
      <c r="N576" s="172">
        <v>7500</v>
      </c>
      <c r="O576" s="172">
        <v>7500</v>
      </c>
      <c r="P576" s="166">
        <v>10000</v>
      </c>
      <c r="Q576" s="166">
        <v>10000</v>
      </c>
      <c r="R576" s="166">
        <v>10000</v>
      </c>
      <c r="S576" s="166">
        <v>10000</v>
      </c>
      <c r="T576" s="166">
        <v>10000</v>
      </c>
    </row>
    <row r="577" spans="1:20" ht="24" customHeight="1">
      <c r="A577" s="247" t="s">
        <v>303</v>
      </c>
      <c r="B577" s="248"/>
      <c r="C577" s="248"/>
      <c r="D577" s="247" t="s">
        <v>93</v>
      </c>
      <c r="E577" s="248"/>
      <c r="F577" s="248"/>
      <c r="G577" s="248"/>
      <c r="H577" s="248"/>
      <c r="I577" s="248"/>
      <c r="J577" s="248"/>
      <c r="K577" s="248"/>
      <c r="L577" s="193">
        <v>4264</v>
      </c>
      <c r="M577" s="193">
        <v>6837</v>
      </c>
      <c r="N577" s="141">
        <v>5100</v>
      </c>
      <c r="O577" s="141">
        <v>5100</v>
      </c>
      <c r="P577" s="140">
        <v>5100</v>
      </c>
      <c r="Q577" s="140">
        <v>5100</v>
      </c>
      <c r="R577" s="140">
        <v>5100</v>
      </c>
      <c r="S577" s="140">
        <v>5100</v>
      </c>
      <c r="T577" s="140">
        <v>5100</v>
      </c>
    </row>
    <row r="578" spans="1:20" ht="24" customHeight="1">
      <c r="A578" s="247" t="s">
        <v>304</v>
      </c>
      <c r="B578" s="248"/>
      <c r="C578" s="248"/>
      <c r="D578" s="247" t="s">
        <v>12</v>
      </c>
      <c r="E578" s="248"/>
      <c r="F578" s="248"/>
      <c r="G578" s="248"/>
      <c r="H578" s="248"/>
      <c r="I578" s="248"/>
      <c r="J578" s="248"/>
      <c r="K578" s="248"/>
      <c r="L578" s="192">
        <f>7744+850</f>
        <v>8594</v>
      </c>
      <c r="M578" s="192">
        <f>2807+559</f>
        <v>3366</v>
      </c>
      <c r="N578" s="144">
        <v>15000</v>
      </c>
      <c r="O578" s="144">
        <v>15000</v>
      </c>
      <c r="P578" s="143">
        <v>10500</v>
      </c>
      <c r="Q578" s="143">
        <v>10500</v>
      </c>
      <c r="R578" s="143">
        <v>10500</v>
      </c>
      <c r="S578" s="143">
        <v>10500</v>
      </c>
      <c r="T578" s="143">
        <v>10500</v>
      </c>
    </row>
    <row r="579" spans="1:20" ht="24" customHeight="1">
      <c r="A579" s="247" t="s">
        <v>851</v>
      </c>
      <c r="B579" s="248"/>
      <c r="C579" s="248"/>
      <c r="D579" s="247" t="s">
        <v>849</v>
      </c>
      <c r="E579" s="248"/>
      <c r="F579" s="248"/>
      <c r="G579" s="248"/>
      <c r="H579" s="248"/>
      <c r="I579" s="248"/>
      <c r="J579" s="248"/>
      <c r="K579" s="248"/>
      <c r="L579" s="192">
        <v>699</v>
      </c>
      <c r="M579" s="192">
        <v>2416</v>
      </c>
      <c r="N579" s="144">
        <v>2500</v>
      </c>
      <c r="O579" s="144">
        <v>2500</v>
      </c>
      <c r="P579" s="143">
        <v>2500</v>
      </c>
      <c r="Q579" s="143">
        <v>2500</v>
      </c>
      <c r="R579" s="143">
        <v>2500</v>
      </c>
      <c r="S579" s="143">
        <v>2500</v>
      </c>
      <c r="T579" s="143">
        <v>2500</v>
      </c>
    </row>
    <row r="580" spans="1:20" ht="24" customHeight="1">
      <c r="A580" s="247" t="s">
        <v>305</v>
      </c>
      <c r="B580" s="248"/>
      <c r="C580" s="248"/>
      <c r="D580" s="432" t="s">
        <v>16</v>
      </c>
      <c r="E580" s="431"/>
      <c r="F580" s="431"/>
      <c r="G580" s="431"/>
      <c r="H580" s="431"/>
      <c r="I580" s="431"/>
      <c r="J580" s="431"/>
      <c r="K580" s="431"/>
      <c r="L580" s="192">
        <v>4447</v>
      </c>
      <c r="M580" s="192">
        <v>1365</v>
      </c>
      <c r="N580" s="144">
        <v>4000</v>
      </c>
      <c r="O580" s="144">
        <v>4000</v>
      </c>
      <c r="P580" s="143">
        <v>4000</v>
      </c>
      <c r="Q580" s="143">
        <v>4000</v>
      </c>
      <c r="R580" s="143">
        <v>4000</v>
      </c>
      <c r="S580" s="143">
        <v>4000</v>
      </c>
      <c r="T580" s="143">
        <v>4000</v>
      </c>
    </row>
    <row r="581" spans="1:20" ht="24" customHeight="1">
      <c r="A581" s="247" t="s">
        <v>306</v>
      </c>
      <c r="B581" s="248"/>
      <c r="C581" s="248"/>
      <c r="D581" s="247" t="s">
        <v>307</v>
      </c>
      <c r="E581" s="248"/>
      <c r="F581" s="248"/>
      <c r="G581" s="248"/>
      <c r="H581" s="248"/>
      <c r="I581" s="248"/>
      <c r="J581" s="248"/>
      <c r="K581" s="248"/>
      <c r="L581" s="193">
        <v>173204</v>
      </c>
      <c r="M581" s="193">
        <v>159093</v>
      </c>
      <c r="N581" s="148">
        <v>183750</v>
      </c>
      <c r="O581" s="148">
        <v>183750</v>
      </c>
      <c r="P581" s="145">
        <v>218438</v>
      </c>
      <c r="Q581" s="145">
        <v>229360</v>
      </c>
      <c r="R581" s="145">
        <v>240828</v>
      </c>
      <c r="S581" s="145">
        <v>252869</v>
      </c>
      <c r="T581" s="145">
        <v>265512</v>
      </c>
    </row>
    <row r="582" spans="1:20" ht="24" customHeight="1">
      <c r="A582" s="247" t="s">
        <v>308</v>
      </c>
      <c r="B582" s="248"/>
      <c r="C582" s="248"/>
      <c r="D582" s="445" t="s">
        <v>913</v>
      </c>
      <c r="E582" s="444"/>
      <c r="F582" s="444"/>
      <c r="G582" s="444"/>
      <c r="H582" s="444"/>
      <c r="I582" s="444"/>
      <c r="J582" s="444"/>
      <c r="K582" s="444"/>
      <c r="L582" s="192">
        <v>19307</v>
      </c>
      <c r="M582" s="192">
        <v>15183</v>
      </c>
      <c r="N582" s="144">
        <v>27500</v>
      </c>
      <c r="O582" s="144">
        <v>27500</v>
      </c>
      <c r="P582" s="143">
        <v>27500</v>
      </c>
      <c r="Q582" s="143">
        <v>27500</v>
      </c>
      <c r="R582" s="143">
        <v>27500</v>
      </c>
      <c r="S582" s="143">
        <v>27500</v>
      </c>
      <c r="T582" s="143">
        <v>27500</v>
      </c>
    </row>
    <row r="583" spans="1:20" ht="24" customHeight="1">
      <c r="A583" s="247" t="s">
        <v>309</v>
      </c>
      <c r="B583" s="183"/>
      <c r="C583" s="183"/>
      <c r="D583" s="247" t="s">
        <v>915</v>
      </c>
      <c r="E583" s="183"/>
      <c r="F583" s="183"/>
      <c r="G583" s="183"/>
      <c r="H583" s="183"/>
      <c r="I583" s="183"/>
      <c r="J583" s="183"/>
      <c r="K583" s="183"/>
      <c r="L583" s="192">
        <v>97378</v>
      </c>
      <c r="M583" s="192">
        <v>117151</v>
      </c>
      <c r="N583" s="144">
        <v>100000</v>
      </c>
      <c r="O583" s="144">
        <v>100000</v>
      </c>
      <c r="P583" s="143">
        <v>100000</v>
      </c>
      <c r="Q583" s="143">
        <v>100000</v>
      </c>
      <c r="R583" s="143">
        <v>100000</v>
      </c>
      <c r="S583" s="143">
        <v>100000</v>
      </c>
      <c r="T583" s="143">
        <v>100000</v>
      </c>
    </row>
    <row r="584" spans="1:20" ht="24" customHeight="1">
      <c r="A584" s="247" t="s">
        <v>939</v>
      </c>
      <c r="B584" s="183"/>
      <c r="C584" s="183"/>
      <c r="D584" s="247" t="s">
        <v>940</v>
      </c>
      <c r="E584" s="183"/>
      <c r="F584" s="183"/>
      <c r="G584" s="183"/>
      <c r="H584" s="183"/>
      <c r="I584" s="183"/>
      <c r="J584" s="183"/>
      <c r="K584" s="183"/>
      <c r="L584" s="193">
        <v>3669</v>
      </c>
      <c r="M584" s="193">
        <v>693</v>
      </c>
      <c r="N584" s="148">
        <v>1200</v>
      </c>
      <c r="O584" s="148">
        <v>1200</v>
      </c>
      <c r="P584" s="170">
        <v>1200</v>
      </c>
      <c r="Q584" s="170">
        <v>1200</v>
      </c>
      <c r="R584" s="170">
        <v>1200</v>
      </c>
      <c r="S584" s="170">
        <v>1200</v>
      </c>
      <c r="T584" s="170">
        <v>1200</v>
      </c>
    </row>
    <row r="585" spans="1:20" ht="24" customHeight="1">
      <c r="A585" s="247" t="s">
        <v>310</v>
      </c>
      <c r="B585" s="248"/>
      <c r="C585" s="248"/>
      <c r="D585" s="247" t="s">
        <v>133</v>
      </c>
      <c r="E585" s="248"/>
      <c r="F585" s="248"/>
      <c r="G585" s="248"/>
      <c r="H585" s="248"/>
      <c r="I585" s="248"/>
      <c r="J585" s="248"/>
      <c r="K585" s="248"/>
      <c r="L585" s="193">
        <v>14483</v>
      </c>
      <c r="M585" s="193">
        <v>21817</v>
      </c>
      <c r="N585" s="148">
        <v>22898</v>
      </c>
      <c r="O585" s="148">
        <v>22898</v>
      </c>
      <c r="P585" s="143">
        <v>24043</v>
      </c>
      <c r="Q585" s="143">
        <v>25245</v>
      </c>
      <c r="R585" s="143">
        <v>26507</v>
      </c>
      <c r="S585" s="143">
        <v>27832</v>
      </c>
      <c r="T585" s="143">
        <v>29224</v>
      </c>
    </row>
    <row r="586" spans="1:20" ht="24" customHeight="1">
      <c r="A586" s="247" t="s">
        <v>1216</v>
      </c>
      <c r="B586" s="248"/>
      <c r="C586" s="248"/>
      <c r="D586" s="1" t="s">
        <v>1162</v>
      </c>
      <c r="E586" s="248"/>
      <c r="F586" s="248"/>
      <c r="G586" s="248"/>
      <c r="H586" s="248"/>
      <c r="I586" s="248"/>
      <c r="J586" s="248"/>
      <c r="K586" s="248"/>
      <c r="L586" s="193">
        <v>0</v>
      </c>
      <c r="M586" s="193">
        <v>0</v>
      </c>
      <c r="N586" s="148">
        <v>200000</v>
      </c>
      <c r="O586" s="148">
        <v>0</v>
      </c>
      <c r="P586" s="140">
        <v>0</v>
      </c>
      <c r="Q586" s="140">
        <v>0</v>
      </c>
      <c r="R586" s="140">
        <v>200000</v>
      </c>
      <c r="S586" s="140">
        <v>200000</v>
      </c>
      <c r="T586" s="145">
        <v>0</v>
      </c>
    </row>
    <row r="587" spans="1:20" ht="24" customHeight="1">
      <c r="A587" s="409" t="s">
        <v>1349</v>
      </c>
      <c r="B587" s="408"/>
      <c r="C587" s="408"/>
      <c r="D587" s="1" t="s">
        <v>1350</v>
      </c>
      <c r="E587" s="408"/>
      <c r="F587" s="408"/>
      <c r="G587" s="408"/>
      <c r="H587" s="408"/>
      <c r="I587" s="408"/>
      <c r="J587" s="408"/>
      <c r="K587" s="408"/>
      <c r="L587" s="193">
        <v>0</v>
      </c>
      <c r="M587" s="193">
        <v>0</v>
      </c>
      <c r="N587" s="148">
        <v>0</v>
      </c>
      <c r="O587" s="148">
        <v>0</v>
      </c>
      <c r="P587" s="140">
        <v>0</v>
      </c>
      <c r="Q587" s="140">
        <v>18000</v>
      </c>
      <c r="R587" s="140">
        <v>495000</v>
      </c>
      <c r="S587" s="140">
        <v>477000</v>
      </c>
      <c r="T587" s="145">
        <v>0</v>
      </c>
    </row>
    <row r="588" spans="1:20" ht="24" customHeight="1">
      <c r="A588" s="247" t="s">
        <v>1048</v>
      </c>
      <c r="B588" s="248"/>
      <c r="C588" s="248"/>
      <c r="D588" s="249" t="s">
        <v>1049</v>
      </c>
      <c r="E588" s="248"/>
      <c r="F588" s="248"/>
      <c r="G588" s="248"/>
      <c r="H588" s="248"/>
      <c r="I588" s="248"/>
      <c r="J588" s="248"/>
      <c r="K588" s="248"/>
      <c r="L588" s="193">
        <v>174197</v>
      </c>
      <c r="M588" s="193">
        <v>264985</v>
      </c>
      <c r="N588" s="148">
        <v>257500</v>
      </c>
      <c r="O588" s="148">
        <v>132538</v>
      </c>
      <c r="P588" s="145">
        <v>165000</v>
      </c>
      <c r="Q588" s="145">
        <v>175000</v>
      </c>
      <c r="R588" s="145">
        <v>0</v>
      </c>
      <c r="S588" s="145">
        <v>0</v>
      </c>
      <c r="T588" s="145">
        <v>0</v>
      </c>
    </row>
    <row r="589" spans="1:20" ht="24" customHeight="1">
      <c r="A589" s="247" t="s">
        <v>922</v>
      </c>
      <c r="B589" s="248"/>
      <c r="C589" s="248"/>
      <c r="D589" s="249" t="s">
        <v>919</v>
      </c>
      <c r="E589" s="425"/>
      <c r="F589" s="425"/>
      <c r="G589" s="425"/>
      <c r="H589" s="425"/>
      <c r="I589" s="425"/>
      <c r="J589" s="425"/>
      <c r="K589" s="425"/>
      <c r="L589" s="193">
        <v>316911</v>
      </c>
      <c r="M589" s="193">
        <v>272423</v>
      </c>
      <c r="N589" s="148">
        <v>250000</v>
      </c>
      <c r="O589" s="148">
        <v>20000</v>
      </c>
      <c r="P589" s="145">
        <v>569000</v>
      </c>
      <c r="Q589" s="145">
        <v>489000</v>
      </c>
      <c r="R589" s="145">
        <v>179000</v>
      </c>
      <c r="S589" s="145">
        <v>362000</v>
      </c>
      <c r="T589" s="145">
        <v>280000</v>
      </c>
    </row>
    <row r="590" spans="1:20" ht="24" customHeight="1">
      <c r="A590" s="247" t="s">
        <v>1302</v>
      </c>
      <c r="B590" s="248"/>
      <c r="C590" s="248"/>
      <c r="D590" s="249" t="s">
        <v>1300</v>
      </c>
      <c r="E590" s="248"/>
      <c r="F590" s="248"/>
      <c r="G590" s="248"/>
      <c r="H590" s="248"/>
      <c r="I590" s="248"/>
      <c r="J590" s="248"/>
      <c r="K590" s="248"/>
      <c r="L590" s="193">
        <v>0</v>
      </c>
      <c r="M590" s="193">
        <v>115</v>
      </c>
      <c r="N590" s="148">
        <v>49220</v>
      </c>
      <c r="O590" s="148">
        <v>45000</v>
      </c>
      <c r="P590" s="145">
        <v>0</v>
      </c>
      <c r="Q590" s="145">
        <v>0</v>
      </c>
      <c r="R590" s="145">
        <v>0</v>
      </c>
      <c r="S590" s="145">
        <v>0</v>
      </c>
      <c r="T590" s="145">
        <v>0</v>
      </c>
    </row>
    <row r="591" spans="1:20" ht="24" customHeight="1">
      <c r="A591" s="248" t="s">
        <v>1112</v>
      </c>
      <c r="B591" s="250"/>
      <c r="C591" s="250"/>
      <c r="D591" s="247" t="s">
        <v>800</v>
      </c>
      <c r="E591" s="250"/>
      <c r="F591" s="250"/>
      <c r="G591" s="250"/>
      <c r="H591" s="250"/>
      <c r="I591" s="250"/>
      <c r="J591" s="250"/>
      <c r="K591" s="250"/>
      <c r="L591" s="205">
        <v>0</v>
      </c>
      <c r="M591" s="205">
        <v>26676</v>
      </c>
      <c r="N591" s="160">
        <v>4212</v>
      </c>
      <c r="O591" s="160">
        <v>21608</v>
      </c>
      <c r="P591" s="159">
        <v>21608</v>
      </c>
      <c r="Q591" s="159">
        <v>0</v>
      </c>
      <c r="R591" s="159">
        <v>0</v>
      </c>
      <c r="S591" s="159">
        <v>0</v>
      </c>
      <c r="T591" s="159">
        <v>0</v>
      </c>
    </row>
    <row r="592" spans="1:20" ht="24" customHeight="1">
      <c r="A592" s="247" t="s">
        <v>586</v>
      </c>
      <c r="B592" s="262"/>
      <c r="C592" s="262"/>
      <c r="D592" s="247" t="s">
        <v>254</v>
      </c>
      <c r="E592" s="264"/>
      <c r="F592" s="262"/>
      <c r="G592" s="262"/>
      <c r="H592" s="262"/>
      <c r="I592" s="262"/>
      <c r="J592" s="262"/>
      <c r="K592" s="262"/>
      <c r="L592" s="193">
        <v>3248</v>
      </c>
      <c r="M592" s="193">
        <v>8825</v>
      </c>
      <c r="N592" s="148">
        <v>5000</v>
      </c>
      <c r="O592" s="148">
        <v>5000</v>
      </c>
      <c r="P592" s="145">
        <v>400000</v>
      </c>
      <c r="Q592" s="145">
        <v>5000</v>
      </c>
      <c r="R592" s="145">
        <v>5000</v>
      </c>
      <c r="S592" s="145">
        <v>5000</v>
      </c>
      <c r="T592" s="145">
        <v>5000</v>
      </c>
    </row>
    <row r="593" spans="1:20" ht="24" customHeight="1">
      <c r="A593" s="247" t="s">
        <v>970</v>
      </c>
      <c r="B593" s="262"/>
      <c r="C593" s="262"/>
      <c r="D593" s="1" t="s">
        <v>1172</v>
      </c>
      <c r="E593" s="264"/>
      <c r="F593" s="262"/>
      <c r="G593" s="262"/>
      <c r="H593" s="262"/>
      <c r="I593" s="262"/>
      <c r="J593" s="262"/>
      <c r="K593" s="262"/>
      <c r="L593" s="193">
        <v>24195</v>
      </c>
      <c r="M593" s="193">
        <v>44904</v>
      </c>
      <c r="N593" s="379">
        <v>533500</v>
      </c>
      <c r="O593" s="379">
        <v>340000</v>
      </c>
      <c r="P593" s="169">
        <v>42166</v>
      </c>
      <c r="Q593" s="169">
        <v>42166</v>
      </c>
      <c r="R593" s="169">
        <v>42166</v>
      </c>
      <c r="S593" s="169">
        <v>0</v>
      </c>
      <c r="T593" s="169">
        <v>0</v>
      </c>
    </row>
    <row r="594" spans="1:20" ht="24" customHeight="1">
      <c r="A594" s="247" t="s">
        <v>854</v>
      </c>
      <c r="B594" s="262"/>
      <c r="C594" s="262"/>
      <c r="D594" s="247" t="s">
        <v>255</v>
      </c>
      <c r="E594" s="264"/>
      <c r="F594" s="262"/>
      <c r="G594" s="262"/>
      <c r="H594" s="262"/>
      <c r="I594" s="262"/>
      <c r="J594" s="262"/>
      <c r="K594" s="262"/>
      <c r="L594" s="193">
        <v>65710</v>
      </c>
      <c r="M594" s="193">
        <v>0</v>
      </c>
      <c r="N594" s="148">
        <v>50000</v>
      </c>
      <c r="O594" s="148">
        <v>50000</v>
      </c>
      <c r="P594" s="145">
        <v>0</v>
      </c>
      <c r="Q594" s="145">
        <v>50000</v>
      </c>
      <c r="R594" s="145">
        <v>0</v>
      </c>
      <c r="S594" s="145">
        <v>100000</v>
      </c>
      <c r="T594" s="145">
        <v>0</v>
      </c>
    </row>
    <row r="595" spans="1:20" ht="24" customHeight="1">
      <c r="A595" s="247" t="s">
        <v>311</v>
      </c>
      <c r="B595" s="262"/>
      <c r="C595" s="262"/>
      <c r="D595" s="247" t="s">
        <v>252</v>
      </c>
      <c r="E595" s="250"/>
      <c r="F595" s="250"/>
      <c r="G595" s="250"/>
      <c r="H595" s="250"/>
      <c r="I595" s="250"/>
      <c r="J595" s="250"/>
      <c r="K595" s="262"/>
      <c r="L595" s="194">
        <v>197544</v>
      </c>
      <c r="M595" s="194">
        <v>197544</v>
      </c>
      <c r="N595" s="141">
        <v>197544</v>
      </c>
      <c r="O595" s="141">
        <v>58053</v>
      </c>
      <c r="P595" s="140">
        <v>45372</v>
      </c>
      <c r="Q595" s="140">
        <v>45372</v>
      </c>
      <c r="R595" s="140">
        <v>45372</v>
      </c>
      <c r="S595" s="190">
        <v>18905</v>
      </c>
      <c r="T595" s="190">
        <v>0</v>
      </c>
    </row>
    <row r="596" spans="1:20" ht="24" customHeight="1">
      <c r="A596" s="247" t="s">
        <v>1183</v>
      </c>
      <c r="B596" s="262"/>
      <c r="C596" s="262"/>
      <c r="D596" s="1" t="s">
        <v>1170</v>
      </c>
      <c r="E596" s="264"/>
      <c r="F596" s="262"/>
      <c r="G596" s="262"/>
      <c r="H596" s="262"/>
      <c r="I596" s="262"/>
      <c r="J596" s="262"/>
      <c r="K596" s="262"/>
      <c r="L596" s="193">
        <v>0</v>
      </c>
      <c r="M596" s="193">
        <v>0</v>
      </c>
      <c r="N596" s="379">
        <v>9000</v>
      </c>
      <c r="O596" s="148">
        <v>0</v>
      </c>
      <c r="P596" s="169">
        <v>185000</v>
      </c>
      <c r="Q596" s="169">
        <v>195000</v>
      </c>
      <c r="R596" s="169">
        <v>150000</v>
      </c>
      <c r="S596" s="169">
        <v>0</v>
      </c>
      <c r="T596" s="169">
        <v>0</v>
      </c>
    </row>
    <row r="597" spans="1:20" ht="24" customHeight="1">
      <c r="A597" s="247" t="s">
        <v>1061</v>
      </c>
      <c r="B597" s="250"/>
      <c r="C597" s="250"/>
      <c r="D597" s="1" t="s">
        <v>1058</v>
      </c>
      <c r="E597" s="262"/>
      <c r="F597" s="262"/>
      <c r="G597" s="262"/>
      <c r="H597" s="262"/>
      <c r="I597" s="262"/>
      <c r="J597" s="262"/>
      <c r="K597" s="262"/>
      <c r="L597" s="193">
        <v>2718097</v>
      </c>
      <c r="M597" s="193">
        <v>74212</v>
      </c>
      <c r="N597" s="148">
        <v>0</v>
      </c>
      <c r="O597" s="148">
        <v>0</v>
      </c>
      <c r="P597" s="145">
        <v>0</v>
      </c>
      <c r="Q597" s="145">
        <v>0</v>
      </c>
      <c r="R597" s="145">
        <v>0</v>
      </c>
      <c r="S597" s="145">
        <v>0</v>
      </c>
      <c r="T597" s="145">
        <v>0</v>
      </c>
    </row>
    <row r="598" spans="1:20" ht="24" customHeight="1">
      <c r="A598" s="253" t="s">
        <v>1090</v>
      </c>
      <c r="B598" s="248"/>
      <c r="C598" s="248"/>
      <c r="D598" s="247"/>
      <c r="E598" s="248"/>
      <c r="F598" s="248"/>
      <c r="G598" s="248"/>
      <c r="H598" s="248"/>
      <c r="I598" s="248"/>
      <c r="J598" s="248"/>
      <c r="K598" s="248"/>
      <c r="L598" s="192"/>
      <c r="M598" s="192"/>
      <c r="N598" s="144"/>
      <c r="O598" s="144"/>
      <c r="P598" s="143"/>
      <c r="Q598" s="143"/>
      <c r="R598" s="143"/>
      <c r="S598" s="143"/>
      <c r="T598" s="143"/>
    </row>
    <row r="599" spans="1:20" ht="24" customHeight="1">
      <c r="A599" s="247" t="s">
        <v>1059</v>
      </c>
      <c r="B599" s="248"/>
      <c r="C599" s="248"/>
      <c r="D599" s="247" t="s">
        <v>879</v>
      </c>
      <c r="E599" s="248"/>
      <c r="F599" s="248"/>
      <c r="G599" s="248"/>
      <c r="H599" s="248"/>
      <c r="I599" s="248"/>
      <c r="J599" s="248"/>
      <c r="K599" s="248"/>
      <c r="L599" s="192">
        <v>73543</v>
      </c>
      <c r="M599" s="192">
        <v>113991</v>
      </c>
      <c r="N599" s="144">
        <v>117664</v>
      </c>
      <c r="O599" s="144">
        <v>117664</v>
      </c>
      <c r="P599" s="143">
        <v>290483</v>
      </c>
      <c r="Q599" s="143">
        <v>297837</v>
      </c>
      <c r="R599" s="143">
        <v>312545</v>
      </c>
      <c r="S599" s="143">
        <v>323576</v>
      </c>
      <c r="T599" s="143">
        <v>338284</v>
      </c>
    </row>
    <row r="600" spans="1:20" ht="24" customHeight="1">
      <c r="A600" s="247" t="s">
        <v>1060</v>
      </c>
      <c r="B600" s="248"/>
      <c r="C600" s="248"/>
      <c r="D600" s="247" t="s">
        <v>257</v>
      </c>
      <c r="E600" s="248"/>
      <c r="F600" s="248"/>
      <c r="G600" s="248"/>
      <c r="H600" s="248"/>
      <c r="I600" s="248"/>
      <c r="J600" s="248"/>
      <c r="K600" s="248"/>
      <c r="L600" s="193">
        <v>228066</v>
      </c>
      <c r="M600" s="193">
        <v>161055</v>
      </c>
      <c r="N600" s="144">
        <v>156493</v>
      </c>
      <c r="O600" s="144">
        <v>156493</v>
      </c>
      <c r="P600" s="143">
        <v>151787</v>
      </c>
      <c r="Q600" s="143">
        <v>140167</v>
      </c>
      <c r="R600" s="143">
        <v>128254</v>
      </c>
      <c r="S600" s="143">
        <v>115752</v>
      </c>
      <c r="T600" s="143">
        <v>102809</v>
      </c>
    </row>
    <row r="601" spans="1:20" ht="24" customHeight="1">
      <c r="A601" s="251" t="s">
        <v>312</v>
      </c>
      <c r="B601" s="251"/>
      <c r="C601" s="251"/>
      <c r="D601" s="251"/>
      <c r="E601" s="251"/>
      <c r="F601" s="251"/>
      <c r="G601" s="251"/>
      <c r="H601" s="251"/>
      <c r="I601" s="251"/>
      <c r="J601" s="251"/>
      <c r="K601" s="251"/>
      <c r="L601" s="201"/>
      <c r="M601" s="201"/>
      <c r="N601" s="155"/>
      <c r="O601" s="155"/>
      <c r="P601" s="154"/>
      <c r="Q601" s="154"/>
      <c r="R601" s="154"/>
      <c r="S601" s="154"/>
      <c r="T601" s="154"/>
    </row>
    <row r="602" spans="1:20" ht="24" customHeight="1">
      <c r="A602" s="247" t="s">
        <v>313</v>
      </c>
      <c r="B602" s="248"/>
      <c r="C602" s="248"/>
      <c r="D602" s="247" t="s">
        <v>879</v>
      </c>
      <c r="E602" s="248"/>
      <c r="F602" s="248"/>
      <c r="G602" s="248"/>
      <c r="H602" s="248"/>
      <c r="I602" s="248"/>
      <c r="J602" s="248"/>
      <c r="K602" s="248"/>
      <c r="L602" s="192">
        <v>15000</v>
      </c>
      <c r="M602" s="192">
        <v>0</v>
      </c>
      <c r="N602" s="144">
        <v>0</v>
      </c>
      <c r="O602" s="144">
        <v>0</v>
      </c>
      <c r="P602" s="143">
        <v>0</v>
      </c>
      <c r="Q602" s="143">
        <v>0</v>
      </c>
      <c r="R602" s="143">
        <v>0</v>
      </c>
      <c r="S602" s="143">
        <v>0</v>
      </c>
      <c r="T602" s="143">
        <v>0</v>
      </c>
    </row>
    <row r="603" spans="1:20" ht="24" customHeight="1">
      <c r="A603" s="247" t="s">
        <v>314</v>
      </c>
      <c r="B603" s="248"/>
      <c r="C603" s="248"/>
      <c r="D603" s="247" t="s">
        <v>257</v>
      </c>
      <c r="E603" s="248"/>
      <c r="F603" s="248"/>
      <c r="G603" s="248"/>
      <c r="H603" s="248"/>
      <c r="I603" s="248"/>
      <c r="J603" s="248"/>
      <c r="K603" s="248"/>
      <c r="L603" s="194">
        <v>121163</v>
      </c>
      <c r="M603" s="194">
        <v>0</v>
      </c>
      <c r="N603" s="144">
        <v>0</v>
      </c>
      <c r="O603" s="144">
        <v>0</v>
      </c>
      <c r="P603" s="143">
        <v>0</v>
      </c>
      <c r="Q603" s="143">
        <v>0</v>
      </c>
      <c r="R603" s="143">
        <v>0</v>
      </c>
      <c r="S603" s="143">
        <v>0</v>
      </c>
      <c r="T603" s="143">
        <v>0</v>
      </c>
    </row>
    <row r="604" spans="1:20" ht="24" customHeight="1">
      <c r="A604" s="251" t="s">
        <v>1195</v>
      </c>
      <c r="B604" s="251"/>
      <c r="C604" s="251"/>
      <c r="D604" s="251"/>
      <c r="E604" s="251"/>
      <c r="F604" s="251"/>
      <c r="G604" s="251"/>
      <c r="H604" s="251"/>
      <c r="I604" s="251"/>
      <c r="J604" s="251"/>
      <c r="K604" s="251"/>
      <c r="L604" s="201"/>
      <c r="M604" s="201"/>
      <c r="N604" s="155"/>
      <c r="O604" s="155"/>
      <c r="P604" s="154"/>
      <c r="Q604" s="154"/>
      <c r="R604" s="154"/>
      <c r="S604" s="154"/>
      <c r="T604" s="154"/>
    </row>
    <row r="605" spans="1:20" ht="24" customHeight="1">
      <c r="A605" s="247" t="s">
        <v>1137</v>
      </c>
      <c r="B605" s="248"/>
      <c r="C605" s="248"/>
      <c r="D605" s="247" t="s">
        <v>879</v>
      </c>
      <c r="E605" s="248"/>
      <c r="F605" s="248"/>
      <c r="G605" s="248"/>
      <c r="H605" s="248"/>
      <c r="I605" s="248"/>
      <c r="J605" s="248"/>
      <c r="K605" s="248"/>
      <c r="L605" s="192">
        <v>0</v>
      </c>
      <c r="M605" s="192">
        <v>430000</v>
      </c>
      <c r="N605" s="144">
        <v>470000</v>
      </c>
      <c r="O605" s="144">
        <v>470000</v>
      </c>
      <c r="P605" s="143">
        <v>1470000</v>
      </c>
      <c r="Q605" s="143">
        <v>1475000</v>
      </c>
      <c r="R605" s="143">
        <v>1040000</v>
      </c>
      <c r="S605" s="143">
        <v>915000</v>
      </c>
      <c r="T605" s="143">
        <v>0</v>
      </c>
    </row>
    <row r="606" spans="1:20" ht="24" customHeight="1">
      <c r="A606" s="247" t="s">
        <v>1138</v>
      </c>
      <c r="B606" s="248"/>
      <c r="C606" s="248"/>
      <c r="D606" s="247" t="s">
        <v>257</v>
      </c>
      <c r="E606" s="248"/>
      <c r="F606" s="248"/>
      <c r="G606" s="248"/>
      <c r="H606" s="248"/>
      <c r="I606" s="248"/>
      <c r="J606" s="248"/>
      <c r="K606" s="248"/>
      <c r="L606" s="194">
        <v>0</v>
      </c>
      <c r="M606" s="194">
        <v>248124</v>
      </c>
      <c r="N606" s="144">
        <v>195250</v>
      </c>
      <c r="O606" s="144">
        <v>195250</v>
      </c>
      <c r="P606" s="143">
        <v>176450</v>
      </c>
      <c r="Q606" s="143">
        <v>117650</v>
      </c>
      <c r="R606" s="143">
        <v>58650</v>
      </c>
      <c r="S606" s="143">
        <v>27450</v>
      </c>
      <c r="T606" s="143">
        <v>0</v>
      </c>
    </row>
    <row r="607" spans="1:20" ht="24" customHeight="1">
      <c r="A607" s="251" t="s">
        <v>315</v>
      </c>
      <c r="B607" s="251"/>
      <c r="C607" s="251"/>
      <c r="D607" s="251"/>
      <c r="E607" s="251"/>
      <c r="F607" s="251"/>
      <c r="G607" s="251"/>
      <c r="H607" s="251"/>
      <c r="I607" s="251"/>
      <c r="J607" s="251"/>
      <c r="K607" s="251"/>
      <c r="L607" s="201"/>
      <c r="M607" s="201"/>
      <c r="N607" s="155"/>
      <c r="O607" s="155"/>
      <c r="P607" s="154"/>
      <c r="Q607" s="154"/>
      <c r="R607" s="154"/>
      <c r="S607" s="154"/>
      <c r="T607" s="154"/>
    </row>
    <row r="608" spans="1:20" ht="24" customHeight="1">
      <c r="A608" s="247" t="s">
        <v>316</v>
      </c>
      <c r="B608" s="248"/>
      <c r="C608" s="248"/>
      <c r="D608" s="247" t="s">
        <v>879</v>
      </c>
      <c r="E608" s="248"/>
      <c r="F608" s="248"/>
      <c r="G608" s="248"/>
      <c r="H608" s="248"/>
      <c r="I608" s="248"/>
      <c r="J608" s="248"/>
      <c r="K608" s="248"/>
      <c r="L608" s="192">
        <v>100000</v>
      </c>
      <c r="M608" s="192">
        <v>100000</v>
      </c>
      <c r="N608" s="144">
        <v>300000</v>
      </c>
      <c r="O608" s="144">
        <v>300000</v>
      </c>
      <c r="P608" s="143">
        <v>0</v>
      </c>
      <c r="Q608" s="143">
        <v>0</v>
      </c>
      <c r="R608" s="143">
        <v>0</v>
      </c>
      <c r="S608" s="143">
        <v>0</v>
      </c>
      <c r="T608" s="143">
        <v>0</v>
      </c>
    </row>
    <row r="609" spans="1:21" ht="24" customHeight="1">
      <c r="A609" s="247" t="s">
        <v>317</v>
      </c>
      <c r="B609" s="248"/>
      <c r="C609" s="248"/>
      <c r="D609" s="247" t="s">
        <v>931</v>
      </c>
      <c r="E609" s="248"/>
      <c r="F609" s="248"/>
      <c r="G609" s="248"/>
      <c r="H609" s="248"/>
      <c r="I609" s="248"/>
      <c r="J609" s="248"/>
      <c r="K609" s="248"/>
      <c r="L609" s="194">
        <v>21450</v>
      </c>
      <c r="M609" s="194">
        <v>17300</v>
      </c>
      <c r="N609" s="144">
        <v>13050</v>
      </c>
      <c r="O609" s="144">
        <v>13050</v>
      </c>
      <c r="P609" s="143">
        <v>0</v>
      </c>
      <c r="Q609" s="143">
        <v>0</v>
      </c>
      <c r="R609" s="143">
        <v>0</v>
      </c>
      <c r="S609" s="143">
        <v>0</v>
      </c>
      <c r="T609" s="143">
        <v>0</v>
      </c>
    </row>
    <row r="610" spans="1:21" ht="24" customHeight="1">
      <c r="A610" s="251" t="s">
        <v>318</v>
      </c>
      <c r="B610" s="251"/>
      <c r="C610" s="251"/>
      <c r="D610" s="251"/>
      <c r="E610" s="251"/>
      <c r="F610" s="251"/>
      <c r="G610" s="251"/>
      <c r="H610" s="251"/>
      <c r="I610" s="251"/>
      <c r="J610" s="251"/>
      <c r="K610" s="251"/>
      <c r="L610" s="201"/>
      <c r="M610" s="201"/>
      <c r="N610" s="155"/>
      <c r="O610" s="155"/>
      <c r="P610" s="154"/>
      <c r="Q610" s="154"/>
      <c r="R610" s="154"/>
      <c r="S610" s="154"/>
      <c r="T610" s="154"/>
    </row>
    <row r="611" spans="1:21" ht="24" customHeight="1">
      <c r="A611" s="247" t="s">
        <v>319</v>
      </c>
      <c r="B611" s="248"/>
      <c r="C611" s="248"/>
      <c r="D611" s="247" t="s">
        <v>879</v>
      </c>
      <c r="E611" s="248"/>
      <c r="F611" s="248"/>
      <c r="G611" s="248"/>
      <c r="H611" s="248"/>
      <c r="I611" s="248"/>
      <c r="J611" s="248"/>
      <c r="K611" s="248"/>
      <c r="L611" s="192">
        <v>460000</v>
      </c>
      <c r="M611" s="192">
        <v>0</v>
      </c>
      <c r="N611" s="144">
        <v>0</v>
      </c>
      <c r="O611" s="144">
        <v>0</v>
      </c>
      <c r="P611" s="143">
        <v>0</v>
      </c>
      <c r="Q611" s="143">
        <v>0</v>
      </c>
      <c r="R611" s="143">
        <v>0</v>
      </c>
      <c r="S611" s="143">
        <v>0</v>
      </c>
      <c r="T611" s="143">
        <v>0</v>
      </c>
    </row>
    <row r="612" spans="1:21" ht="24" customHeight="1">
      <c r="A612" s="247" t="s">
        <v>320</v>
      </c>
      <c r="B612" s="248"/>
      <c r="C612" s="248"/>
      <c r="D612" s="247" t="s">
        <v>931</v>
      </c>
      <c r="E612" s="248"/>
      <c r="F612" s="248"/>
      <c r="G612" s="248"/>
      <c r="H612" s="248"/>
      <c r="I612" s="248"/>
      <c r="J612" s="248"/>
      <c r="K612" s="248"/>
      <c r="L612" s="194">
        <v>155206</v>
      </c>
      <c r="M612" s="194">
        <v>0</v>
      </c>
      <c r="N612" s="144">
        <v>0</v>
      </c>
      <c r="O612" s="144">
        <v>0</v>
      </c>
      <c r="P612" s="143">
        <v>0</v>
      </c>
      <c r="Q612" s="143">
        <v>0</v>
      </c>
      <c r="R612" s="143">
        <v>0</v>
      </c>
      <c r="S612" s="143">
        <v>0</v>
      </c>
      <c r="T612" s="143">
        <v>0</v>
      </c>
    </row>
    <row r="613" spans="1:21" ht="24" customHeight="1">
      <c r="A613" s="251" t="s">
        <v>321</v>
      </c>
      <c r="B613" s="251"/>
      <c r="C613" s="251"/>
      <c r="D613" s="251"/>
      <c r="E613" s="251"/>
      <c r="F613" s="251"/>
      <c r="G613" s="251"/>
      <c r="H613" s="251"/>
      <c r="I613" s="251"/>
      <c r="J613" s="251"/>
      <c r="K613" s="251"/>
      <c r="L613" s="201"/>
      <c r="M613" s="201"/>
      <c r="N613" s="155"/>
      <c r="O613" s="155"/>
      <c r="P613" s="154"/>
      <c r="Q613" s="154"/>
      <c r="R613" s="154"/>
      <c r="S613" s="154"/>
      <c r="T613" s="154"/>
    </row>
    <row r="614" spans="1:21" ht="24" customHeight="1">
      <c r="A614" s="247" t="s">
        <v>322</v>
      </c>
      <c r="B614" s="248"/>
      <c r="C614" s="248"/>
      <c r="D614" s="247" t="s">
        <v>879</v>
      </c>
      <c r="E614" s="248"/>
      <c r="F614" s="248"/>
      <c r="G614" s="248"/>
      <c r="H614" s="248"/>
      <c r="I614" s="248"/>
      <c r="J614" s="248"/>
      <c r="K614" s="248"/>
      <c r="L614" s="192">
        <v>96923</v>
      </c>
      <c r="M614" s="192">
        <v>99361</v>
      </c>
      <c r="N614" s="144">
        <v>101860</v>
      </c>
      <c r="O614" s="144">
        <v>101860</v>
      </c>
      <c r="P614" s="143">
        <v>104423</v>
      </c>
      <c r="Q614" s="143">
        <v>107050</v>
      </c>
      <c r="R614" s="143">
        <v>109743</v>
      </c>
      <c r="S614" s="143">
        <v>112503</v>
      </c>
      <c r="T614" s="143">
        <v>115333</v>
      </c>
    </row>
    <row r="615" spans="1:21" ht="24" customHeight="1">
      <c r="A615" s="247" t="s">
        <v>323</v>
      </c>
      <c r="B615" s="248"/>
      <c r="C615" s="248"/>
      <c r="D615" s="247" t="s">
        <v>931</v>
      </c>
      <c r="E615" s="248"/>
      <c r="F615" s="248"/>
      <c r="G615" s="248"/>
      <c r="H615" s="248"/>
      <c r="I615" s="248"/>
      <c r="J615" s="248"/>
      <c r="K615" s="248"/>
      <c r="L615" s="194">
        <v>28108</v>
      </c>
      <c r="M615" s="194">
        <v>25669</v>
      </c>
      <c r="N615" s="144">
        <v>23170</v>
      </c>
      <c r="O615" s="144">
        <v>23170</v>
      </c>
      <c r="P615" s="143">
        <v>20607</v>
      </c>
      <c r="Q615" s="143">
        <v>17981</v>
      </c>
      <c r="R615" s="143">
        <v>15288</v>
      </c>
      <c r="S615" s="143">
        <v>12527</v>
      </c>
      <c r="T615" s="143">
        <v>9697</v>
      </c>
    </row>
    <row r="616" spans="1:21" ht="24" customHeight="1">
      <c r="A616" s="251" t="s">
        <v>1079</v>
      </c>
      <c r="B616" s="251"/>
      <c r="C616" s="251"/>
      <c r="D616" s="251"/>
      <c r="E616" s="251"/>
      <c r="F616" s="251"/>
      <c r="G616" s="251"/>
      <c r="H616" s="251"/>
      <c r="I616" s="251"/>
      <c r="J616" s="251"/>
      <c r="K616" s="251"/>
      <c r="L616" s="201"/>
      <c r="M616" s="201"/>
      <c r="N616" s="155"/>
      <c r="O616" s="155"/>
      <c r="P616" s="154"/>
      <c r="Q616" s="154"/>
      <c r="R616" s="154"/>
      <c r="S616" s="154"/>
      <c r="T616" s="154"/>
    </row>
    <row r="617" spans="1:21" ht="24" customHeight="1">
      <c r="A617" s="247" t="s">
        <v>1030</v>
      </c>
      <c r="B617" s="248"/>
      <c r="C617" s="248"/>
      <c r="D617" s="247" t="s">
        <v>879</v>
      </c>
      <c r="E617" s="248"/>
      <c r="F617" s="248"/>
      <c r="G617" s="248"/>
      <c r="H617" s="248"/>
      <c r="I617" s="248"/>
      <c r="J617" s="248"/>
      <c r="K617" s="248"/>
      <c r="L617" s="192">
        <v>120000</v>
      </c>
      <c r="M617" s="192">
        <v>120000</v>
      </c>
      <c r="N617" s="144">
        <v>130000</v>
      </c>
      <c r="O617" s="144">
        <v>130000</v>
      </c>
      <c r="P617" s="143">
        <v>125000</v>
      </c>
      <c r="Q617" s="143">
        <v>130000</v>
      </c>
      <c r="R617" s="143">
        <v>135000</v>
      </c>
      <c r="S617" s="143">
        <v>135000</v>
      </c>
      <c r="T617" s="143">
        <v>140000</v>
      </c>
    </row>
    <row r="618" spans="1:21" ht="24" customHeight="1">
      <c r="A618" s="247" t="s">
        <v>1031</v>
      </c>
      <c r="B618" s="248"/>
      <c r="C618" s="248"/>
      <c r="D618" s="247" t="s">
        <v>257</v>
      </c>
      <c r="E618" s="248"/>
      <c r="F618" s="248"/>
      <c r="G618" s="248"/>
      <c r="H618" s="248"/>
      <c r="I618" s="248"/>
      <c r="J618" s="248"/>
      <c r="K618" s="248"/>
      <c r="L618" s="194">
        <v>30150</v>
      </c>
      <c r="M618" s="194">
        <v>27750</v>
      </c>
      <c r="N618" s="144">
        <v>25350</v>
      </c>
      <c r="O618" s="144">
        <v>25350</v>
      </c>
      <c r="P618" s="143">
        <v>22750</v>
      </c>
      <c r="Q618" s="143">
        <v>20250</v>
      </c>
      <c r="R618" s="143">
        <v>16350</v>
      </c>
      <c r="S618" s="143">
        <v>12300</v>
      </c>
      <c r="T618" s="143">
        <v>8250</v>
      </c>
    </row>
    <row r="619" spans="1:21" ht="6.9" customHeight="1">
      <c r="A619" s="247"/>
      <c r="B619" s="248"/>
      <c r="C619" s="248"/>
      <c r="D619" s="247"/>
      <c r="E619" s="248"/>
      <c r="F619" s="248"/>
      <c r="G619" s="248"/>
      <c r="H619" s="248"/>
      <c r="I619" s="248"/>
      <c r="J619" s="248"/>
      <c r="K619" s="248"/>
      <c r="L619" s="193"/>
      <c r="M619" s="193"/>
      <c r="N619" s="148"/>
      <c r="O619" s="148"/>
      <c r="P619" s="145"/>
      <c r="Q619" s="145"/>
      <c r="R619" s="145"/>
      <c r="S619" s="145"/>
      <c r="T619" s="145"/>
    </row>
    <row r="620" spans="1:21" ht="24" customHeight="1">
      <c r="A620" s="247" t="s">
        <v>1314</v>
      </c>
      <c r="B620" s="248"/>
      <c r="C620" s="248"/>
      <c r="D620" s="247" t="s">
        <v>1066</v>
      </c>
      <c r="E620" s="248"/>
      <c r="F620" s="248"/>
      <c r="G620" s="248"/>
      <c r="H620" s="248"/>
      <c r="I620" s="248"/>
      <c r="J620" s="248"/>
      <c r="K620" s="248"/>
      <c r="L620" s="193">
        <v>0</v>
      </c>
      <c r="M620" s="193">
        <v>1018308</v>
      </c>
      <c r="N620" s="148">
        <v>0</v>
      </c>
      <c r="O620" s="148">
        <v>0</v>
      </c>
      <c r="P620" s="145">
        <v>0</v>
      </c>
      <c r="Q620" s="145">
        <v>0</v>
      </c>
      <c r="R620" s="145">
        <v>0</v>
      </c>
      <c r="S620" s="145">
        <v>0</v>
      </c>
      <c r="T620" s="145">
        <v>0</v>
      </c>
    </row>
    <row r="621" spans="1:21" ht="24" customHeight="1">
      <c r="A621" s="247" t="s">
        <v>1094</v>
      </c>
      <c r="B621" s="248"/>
      <c r="C621" s="248"/>
      <c r="D621" s="247" t="s">
        <v>1022</v>
      </c>
      <c r="E621" s="248"/>
      <c r="F621" s="248"/>
      <c r="G621" s="248"/>
      <c r="H621" s="248"/>
      <c r="I621" s="248"/>
      <c r="J621" s="248"/>
      <c r="K621" s="248"/>
      <c r="L621" s="198">
        <v>6193291</v>
      </c>
      <c r="M621" s="198">
        <v>0</v>
      </c>
      <c r="N621" s="153">
        <v>0</v>
      </c>
      <c r="O621" s="153">
        <v>0</v>
      </c>
      <c r="P621" s="152">
        <v>0</v>
      </c>
      <c r="Q621" s="152">
        <v>0</v>
      </c>
      <c r="R621" s="152">
        <v>0</v>
      </c>
      <c r="S621" s="152">
        <v>0</v>
      </c>
      <c r="T621" s="152">
        <v>0</v>
      </c>
    </row>
    <row r="622" spans="1:21" ht="15" customHeight="1">
      <c r="A622" s="183"/>
      <c r="B622" s="183"/>
      <c r="C622" s="183"/>
      <c r="D622" s="183"/>
      <c r="E622" s="183"/>
      <c r="F622" s="183"/>
      <c r="G622" s="183"/>
      <c r="H622" s="183"/>
      <c r="I622" s="183"/>
      <c r="J622" s="183"/>
      <c r="K622" s="183"/>
      <c r="L622" s="199"/>
      <c r="M622" s="199"/>
      <c r="N622" s="155"/>
      <c r="O622" s="155"/>
      <c r="P622" s="154"/>
      <c r="Q622" s="154"/>
      <c r="R622" s="154"/>
      <c r="S622" s="154"/>
      <c r="T622" s="154"/>
    </row>
    <row r="623" spans="1:21" s="183" customFormat="1" ht="24" customHeight="1">
      <c r="K623" s="251" t="s">
        <v>459</v>
      </c>
      <c r="L623" s="201">
        <f>SUM(L542:L622)</f>
        <v>12921770</v>
      </c>
      <c r="M623" s="201">
        <f t="shared" ref="M623:T623" si="40">SUM(M542:M622)</f>
        <v>5110084</v>
      </c>
      <c r="N623" s="202">
        <f t="shared" si="40"/>
        <v>4883871</v>
      </c>
      <c r="O623" s="202">
        <f>SUM(O542:O622)</f>
        <v>3938638</v>
      </c>
      <c r="P623" s="201">
        <f t="shared" si="40"/>
        <v>5770144</v>
      </c>
      <c r="Q623" s="201">
        <f t="shared" si="40"/>
        <v>5344948</v>
      </c>
      <c r="R623" s="201">
        <f t="shared" si="40"/>
        <v>5051049</v>
      </c>
      <c r="S623" s="201">
        <f t="shared" si="40"/>
        <v>4979047</v>
      </c>
      <c r="T623" s="201">
        <f t="shared" si="40"/>
        <v>3237833</v>
      </c>
      <c r="U623" s="64"/>
    </row>
    <row r="624" spans="1:21" s="183" customFormat="1" ht="15" customHeight="1">
      <c r="L624" s="199"/>
      <c r="M624" s="199"/>
      <c r="N624" s="200"/>
      <c r="O624" s="200"/>
      <c r="P624" s="199"/>
      <c r="Q624" s="199"/>
      <c r="R624" s="199"/>
      <c r="S624" s="199"/>
      <c r="T624" s="199"/>
      <c r="U624" s="64"/>
    </row>
    <row r="625" spans="1:21" s="183" customFormat="1" ht="24" customHeight="1">
      <c r="K625" s="251" t="s">
        <v>458</v>
      </c>
      <c r="L625" s="218">
        <f t="shared" ref="L625:T625" si="41">L539-L623</f>
        <v>-2370144</v>
      </c>
      <c r="M625" s="218">
        <f t="shared" si="41"/>
        <v>-241882</v>
      </c>
      <c r="N625" s="219">
        <f t="shared" si="41"/>
        <v>-345353</v>
      </c>
      <c r="O625" s="219">
        <f t="shared" si="41"/>
        <v>896467</v>
      </c>
      <c r="P625" s="218">
        <f t="shared" si="41"/>
        <v>-1070213</v>
      </c>
      <c r="Q625" s="218">
        <f t="shared" si="41"/>
        <v>-478170</v>
      </c>
      <c r="R625" s="218">
        <f t="shared" si="41"/>
        <v>-310</v>
      </c>
      <c r="S625" s="218">
        <f t="shared" si="41"/>
        <v>258454</v>
      </c>
      <c r="T625" s="218">
        <f t="shared" si="41"/>
        <v>2223570</v>
      </c>
      <c r="U625" s="64"/>
    </row>
    <row r="626" spans="1:21" s="183" customFormat="1" ht="15" customHeight="1">
      <c r="L626" s="218"/>
      <c r="M626" s="218"/>
      <c r="N626" s="219"/>
      <c r="O626" s="219"/>
      <c r="P626" s="218"/>
      <c r="Q626" s="218"/>
      <c r="R626" s="218"/>
      <c r="S626" s="218"/>
      <c r="T626" s="218"/>
      <c r="U626" s="64"/>
    </row>
    <row r="627" spans="1:21" s="183" customFormat="1" ht="24" customHeight="1">
      <c r="J627" s="265" t="s">
        <v>465</v>
      </c>
      <c r="L627" s="218">
        <v>2826144</v>
      </c>
      <c r="M627" s="218">
        <v>2584259</v>
      </c>
      <c r="N627" s="219">
        <v>1952155</v>
      </c>
      <c r="O627" s="219">
        <f>M627+O625</f>
        <v>3480726</v>
      </c>
      <c r="P627" s="218">
        <f>O627+P625</f>
        <v>2410513</v>
      </c>
      <c r="Q627" s="218">
        <f>P627+Q625</f>
        <v>1932343</v>
      </c>
      <c r="R627" s="218">
        <f>Q627+R625</f>
        <v>1932033</v>
      </c>
      <c r="S627" s="218">
        <f>R627+S625</f>
        <v>2190487</v>
      </c>
      <c r="T627" s="218">
        <f>S627+T625</f>
        <v>4414057</v>
      </c>
      <c r="U627" s="64"/>
    </row>
    <row r="628" spans="1:21" s="260" customFormat="1" ht="24" customHeight="1">
      <c r="L628" s="220">
        <f t="shared" ref="L628:T628" si="42">L627/L623</f>
        <v>0.21871183282166454</v>
      </c>
      <c r="M628" s="220">
        <f t="shared" si="42"/>
        <v>0.50571751853785574</v>
      </c>
      <c r="N628" s="221">
        <f t="shared" si="42"/>
        <v>0.39971469352896505</v>
      </c>
      <c r="O628" s="221">
        <f t="shared" si="42"/>
        <v>0.88373849031060991</v>
      </c>
      <c r="P628" s="220">
        <f>P627/P623</f>
        <v>0.41775612532373541</v>
      </c>
      <c r="Q628" s="220">
        <f t="shared" si="42"/>
        <v>0.36152699708210445</v>
      </c>
      <c r="R628" s="220">
        <f t="shared" si="42"/>
        <v>0.38250133784091184</v>
      </c>
      <c r="S628" s="220">
        <f t="shared" si="42"/>
        <v>0.43994101682510728</v>
      </c>
      <c r="T628" s="220">
        <f t="shared" si="42"/>
        <v>1.36327506699697</v>
      </c>
      <c r="U628" s="386"/>
    </row>
    <row r="629" spans="1:21" s="257" customFormat="1" ht="15" customHeight="1">
      <c r="A629" s="183"/>
      <c r="B629" s="183"/>
      <c r="C629" s="183"/>
      <c r="D629" s="183"/>
      <c r="E629" s="183"/>
      <c r="F629" s="183"/>
      <c r="G629" s="183"/>
      <c r="H629" s="183"/>
      <c r="I629" s="183"/>
      <c r="J629" s="183"/>
      <c r="K629" s="256"/>
      <c r="L629" s="303"/>
      <c r="M629" s="303"/>
      <c r="N629" s="308"/>
      <c r="O629" s="308"/>
      <c r="P629" s="309"/>
      <c r="Q629" s="309"/>
      <c r="R629" s="309"/>
      <c r="S629" s="309"/>
      <c r="T629" s="309"/>
      <c r="U629" s="352"/>
    </row>
    <row r="630" spans="1:21" s="375" customFormat="1" ht="15" customHeight="1">
      <c r="A630" s="279"/>
      <c r="B630" s="279"/>
      <c r="C630" s="279"/>
      <c r="D630" s="279"/>
      <c r="E630" s="279"/>
      <c r="F630" s="279"/>
      <c r="G630" s="279"/>
      <c r="H630" s="279"/>
      <c r="I630" s="279"/>
      <c r="J630" s="279"/>
      <c r="K630" s="279"/>
      <c r="L630" s="417"/>
      <c r="M630" s="417"/>
      <c r="N630" s="443"/>
      <c r="O630" s="443"/>
      <c r="P630" s="417"/>
      <c r="Q630" s="417"/>
      <c r="R630" s="417"/>
      <c r="S630" s="417"/>
      <c r="T630" s="417"/>
      <c r="U630" s="352"/>
    </row>
    <row r="631" spans="1:21" s="375" customFormat="1" ht="15" customHeight="1">
      <c r="A631" s="279"/>
      <c r="B631" s="279"/>
      <c r="C631" s="279"/>
      <c r="D631" s="279"/>
      <c r="E631" s="279"/>
      <c r="F631" s="279"/>
      <c r="G631" s="279"/>
      <c r="H631" s="279"/>
      <c r="I631" s="279"/>
      <c r="J631" s="279"/>
      <c r="K631" s="279"/>
      <c r="L631" s="417"/>
      <c r="M631" s="417"/>
      <c r="N631" s="443"/>
      <c r="O631" s="443"/>
      <c r="P631" s="417"/>
      <c r="Q631" s="417"/>
      <c r="R631" s="417"/>
      <c r="S631" s="417"/>
      <c r="T631" s="417"/>
      <c r="U631" s="352"/>
    </row>
    <row r="632" spans="1:21" ht="24" customHeight="1">
      <c r="A632" s="258" t="s">
        <v>474</v>
      </c>
      <c r="B632" s="183"/>
      <c r="C632" s="183"/>
      <c r="D632" s="183"/>
      <c r="E632" s="183"/>
      <c r="F632" s="183"/>
      <c r="G632" s="183"/>
      <c r="H632" s="183"/>
      <c r="I632" s="183"/>
      <c r="J632" s="183"/>
      <c r="K632" s="183"/>
      <c r="L632" s="245"/>
      <c r="M632" s="245"/>
      <c r="N632" s="449"/>
      <c r="O632" s="300"/>
      <c r="P632" s="301"/>
      <c r="Q632" s="301"/>
      <c r="R632" s="301"/>
      <c r="S632" s="301"/>
      <c r="T632" s="301"/>
    </row>
    <row r="633" spans="1:21" ht="15" customHeight="1">
      <c r="A633" s="183"/>
      <c r="B633" s="183"/>
      <c r="C633" s="183"/>
      <c r="D633" s="183"/>
      <c r="E633" s="183"/>
      <c r="F633" s="183"/>
      <c r="G633" s="183"/>
      <c r="H633" s="183"/>
      <c r="I633" s="183"/>
      <c r="J633" s="183"/>
      <c r="K633" s="183"/>
      <c r="L633" s="245"/>
      <c r="M633" s="245"/>
      <c r="N633" s="300"/>
      <c r="O633" s="300"/>
      <c r="P633" s="301"/>
      <c r="Q633" s="301"/>
      <c r="R633" s="301"/>
      <c r="S633" s="301"/>
      <c r="T633" s="301"/>
    </row>
    <row r="634" spans="1:21" ht="24" customHeight="1">
      <c r="A634" s="247" t="s">
        <v>759</v>
      </c>
      <c r="B634" s="248"/>
      <c r="C634" s="248"/>
      <c r="D634" s="247" t="s">
        <v>781</v>
      </c>
      <c r="E634" s="248"/>
      <c r="F634" s="248"/>
      <c r="G634" s="248"/>
      <c r="H634" s="248"/>
      <c r="I634" s="248"/>
      <c r="J634" s="248"/>
      <c r="K634" s="248"/>
      <c r="L634" s="193">
        <f>104700+692</f>
        <v>105392</v>
      </c>
      <c r="M634" s="193">
        <v>93000</v>
      </c>
      <c r="N634" s="160">
        <v>0</v>
      </c>
      <c r="O634" s="160">
        <v>0</v>
      </c>
      <c r="P634" s="159">
        <v>0</v>
      </c>
      <c r="Q634" s="159">
        <v>0</v>
      </c>
      <c r="R634" s="159">
        <v>0</v>
      </c>
      <c r="S634" s="159">
        <v>0</v>
      </c>
      <c r="T634" s="159">
        <v>0</v>
      </c>
    </row>
    <row r="635" spans="1:21" ht="24" customHeight="1">
      <c r="A635" s="247" t="s">
        <v>325</v>
      </c>
      <c r="B635" s="183"/>
      <c r="C635" s="183"/>
      <c r="D635" s="247" t="s">
        <v>326</v>
      </c>
      <c r="E635" s="183"/>
      <c r="F635" s="183"/>
      <c r="G635" s="248"/>
      <c r="H635" s="248"/>
      <c r="I635" s="248"/>
      <c r="J635" s="248"/>
      <c r="K635" s="248"/>
      <c r="L635" s="193">
        <v>868488</v>
      </c>
      <c r="M635" s="193">
        <v>910828</v>
      </c>
      <c r="N635" s="148">
        <v>929258</v>
      </c>
      <c r="O635" s="148">
        <v>960000</v>
      </c>
      <c r="P635" s="145">
        <v>979200</v>
      </c>
      <c r="Q635" s="145">
        <v>1008576</v>
      </c>
      <c r="R635" s="145">
        <v>1038833</v>
      </c>
      <c r="S635" s="145">
        <v>1069998</v>
      </c>
      <c r="T635" s="145">
        <v>1102098</v>
      </c>
    </row>
    <row r="636" spans="1:21" ht="24" customHeight="1">
      <c r="A636" s="247" t="s">
        <v>887</v>
      </c>
      <c r="B636" s="248"/>
      <c r="C636" s="248"/>
      <c r="D636" s="247" t="s">
        <v>889</v>
      </c>
      <c r="E636" s="248"/>
      <c r="F636" s="248"/>
      <c r="G636" s="248"/>
      <c r="H636" s="248"/>
      <c r="I636" s="248"/>
      <c r="J636" s="248"/>
      <c r="K636" s="248"/>
      <c r="L636" s="193">
        <v>354171</v>
      </c>
      <c r="M636" s="193">
        <v>363038</v>
      </c>
      <c r="N636" s="191">
        <v>360000</v>
      </c>
      <c r="O636" s="191">
        <v>370000</v>
      </c>
      <c r="P636" s="190">
        <v>370000</v>
      </c>
      <c r="Q636" s="190">
        <v>370000</v>
      </c>
      <c r="R636" s="190">
        <v>375000</v>
      </c>
      <c r="S636" s="190">
        <v>375000</v>
      </c>
      <c r="T636" s="190">
        <v>380000</v>
      </c>
    </row>
    <row r="637" spans="1:21" ht="24" customHeight="1">
      <c r="A637" s="247" t="s">
        <v>327</v>
      </c>
      <c r="B637" s="248"/>
      <c r="C637" s="248"/>
      <c r="D637" s="247" t="s">
        <v>328</v>
      </c>
      <c r="E637" s="248"/>
      <c r="F637" s="248"/>
      <c r="G637" s="248"/>
      <c r="H637" s="248"/>
      <c r="I637" s="248"/>
      <c r="J637" s="248"/>
      <c r="K637" s="248"/>
      <c r="L637" s="193">
        <v>23100</v>
      </c>
      <c r="M637" s="193">
        <v>105005</v>
      </c>
      <c r="N637" s="148">
        <v>38400</v>
      </c>
      <c r="O637" s="148">
        <v>95000</v>
      </c>
      <c r="P637" s="159">
        <v>23300</v>
      </c>
      <c r="Q637" s="159">
        <v>23300</v>
      </c>
      <c r="R637" s="159">
        <v>23300</v>
      </c>
      <c r="S637" s="159">
        <v>23300</v>
      </c>
      <c r="T637" s="159">
        <v>23300</v>
      </c>
    </row>
    <row r="638" spans="1:21" ht="24" customHeight="1">
      <c r="A638" s="247" t="s">
        <v>329</v>
      </c>
      <c r="B638" s="248"/>
      <c r="C638" s="248"/>
      <c r="D638" s="247" t="s">
        <v>330</v>
      </c>
      <c r="E638" s="248"/>
      <c r="F638" s="248"/>
      <c r="G638" s="248"/>
      <c r="H638" s="248"/>
      <c r="I638" s="248"/>
      <c r="J638" s="248"/>
      <c r="K638" s="248"/>
      <c r="L638" s="190">
        <v>25909</v>
      </c>
      <c r="M638" s="190">
        <v>198700</v>
      </c>
      <c r="N638" s="148">
        <v>216000</v>
      </c>
      <c r="O638" s="148">
        <v>95000</v>
      </c>
      <c r="P638" s="159">
        <v>180000</v>
      </c>
      <c r="Q638" s="159">
        <v>180000</v>
      </c>
      <c r="R638" s="159">
        <v>180000</v>
      </c>
      <c r="S638" s="159">
        <v>180000</v>
      </c>
      <c r="T638" s="159">
        <v>180000</v>
      </c>
    </row>
    <row r="639" spans="1:21" ht="24" customHeight="1">
      <c r="A639" s="247" t="s">
        <v>888</v>
      </c>
      <c r="B639" s="248"/>
      <c r="C639" s="248"/>
      <c r="D639" s="247" t="s">
        <v>844</v>
      </c>
      <c r="E639" s="248"/>
      <c r="F639" s="248"/>
      <c r="G639" s="248"/>
      <c r="H639" s="248"/>
      <c r="I639" s="248"/>
      <c r="J639" s="248"/>
      <c r="K639" s="248"/>
      <c r="L639" s="193">
        <v>13746</v>
      </c>
      <c r="M639" s="193">
        <v>15057</v>
      </c>
      <c r="N639" s="160">
        <v>15000</v>
      </c>
      <c r="O639" s="160">
        <v>15000</v>
      </c>
      <c r="P639" s="159">
        <v>15000</v>
      </c>
      <c r="Q639" s="159">
        <v>15000</v>
      </c>
      <c r="R639" s="159">
        <v>15000</v>
      </c>
      <c r="S639" s="159">
        <v>15000</v>
      </c>
      <c r="T639" s="159">
        <v>15000</v>
      </c>
    </row>
    <row r="640" spans="1:21" ht="24" customHeight="1">
      <c r="A640" s="247" t="s">
        <v>331</v>
      </c>
      <c r="B640" s="248"/>
      <c r="C640" s="248"/>
      <c r="D640" s="247" t="s">
        <v>332</v>
      </c>
      <c r="E640" s="248"/>
      <c r="F640" s="248"/>
      <c r="G640" s="248"/>
      <c r="H640" s="248"/>
      <c r="I640" s="248"/>
      <c r="J640" s="248"/>
      <c r="K640" s="248"/>
      <c r="L640" s="193">
        <v>1477</v>
      </c>
      <c r="M640" s="193">
        <v>2710</v>
      </c>
      <c r="N640" s="148">
        <v>0</v>
      </c>
      <c r="O640" s="148">
        <v>378</v>
      </c>
      <c r="P640" s="145">
        <v>0</v>
      </c>
      <c r="Q640" s="145">
        <v>0</v>
      </c>
      <c r="R640" s="145">
        <v>0</v>
      </c>
      <c r="S640" s="145">
        <v>0</v>
      </c>
      <c r="T640" s="145">
        <v>0</v>
      </c>
    </row>
    <row r="641" spans="1:21" ht="24" customHeight="1">
      <c r="A641" s="247" t="s">
        <v>333</v>
      </c>
      <c r="B641" s="248"/>
      <c r="C641" s="248"/>
      <c r="D641" s="489" t="s">
        <v>6</v>
      </c>
      <c r="E641" s="489"/>
      <c r="F641" s="489"/>
      <c r="G641" s="489"/>
      <c r="H641" s="489"/>
      <c r="I641" s="489"/>
      <c r="J641" s="489"/>
      <c r="K641" s="489"/>
      <c r="L641" s="192">
        <v>3899</v>
      </c>
      <c r="M641" s="192">
        <v>17550</v>
      </c>
      <c r="N641" s="144">
        <v>1250</v>
      </c>
      <c r="O641" s="144">
        <v>10500</v>
      </c>
      <c r="P641" s="145">
        <v>7149</v>
      </c>
      <c r="Q641" s="145">
        <v>5006</v>
      </c>
      <c r="R641" s="145">
        <v>6369</v>
      </c>
      <c r="S641" s="145">
        <v>9165</v>
      </c>
      <c r="T641" s="145">
        <v>16027</v>
      </c>
      <c r="U641" s="350"/>
    </row>
    <row r="642" spans="1:21" ht="24" customHeight="1">
      <c r="A642" s="247" t="s">
        <v>1315</v>
      </c>
      <c r="B642" s="248"/>
      <c r="C642" s="248"/>
      <c r="D642" s="125" t="s">
        <v>1308</v>
      </c>
      <c r="E642" s="248"/>
      <c r="F642" s="248"/>
      <c r="G642" s="248"/>
      <c r="H642" s="248"/>
      <c r="I642" s="248"/>
      <c r="J642" s="248"/>
      <c r="K642" s="248"/>
      <c r="L642" s="192">
        <v>0</v>
      </c>
      <c r="M642" s="192">
        <v>6724</v>
      </c>
      <c r="N642" s="144">
        <v>0</v>
      </c>
      <c r="O642" s="144">
        <v>0</v>
      </c>
      <c r="P642" s="143">
        <v>0</v>
      </c>
      <c r="Q642" s="143">
        <v>0</v>
      </c>
      <c r="R642" s="143">
        <v>0</v>
      </c>
      <c r="S642" s="143">
        <v>0</v>
      </c>
      <c r="T642" s="143">
        <v>0</v>
      </c>
    </row>
    <row r="643" spans="1:21" ht="24" customHeight="1">
      <c r="A643" s="247" t="s">
        <v>334</v>
      </c>
      <c r="B643" s="248"/>
      <c r="C643" s="248"/>
      <c r="D643" s="489" t="s">
        <v>61</v>
      </c>
      <c r="E643" s="489"/>
      <c r="F643" s="489"/>
      <c r="G643" s="489"/>
      <c r="H643" s="489"/>
      <c r="I643" s="489"/>
      <c r="J643" s="489"/>
      <c r="K643" s="489"/>
      <c r="L643" s="192">
        <f>8050+99</f>
        <v>8149</v>
      </c>
      <c r="M643" s="192">
        <v>54</v>
      </c>
      <c r="N643" s="144">
        <v>0</v>
      </c>
      <c r="O643" s="144">
        <v>1465</v>
      </c>
      <c r="P643" s="143">
        <v>0</v>
      </c>
      <c r="Q643" s="143">
        <v>0</v>
      </c>
      <c r="R643" s="143">
        <v>0</v>
      </c>
      <c r="S643" s="143">
        <v>0</v>
      </c>
      <c r="T643" s="143">
        <v>0</v>
      </c>
    </row>
    <row r="644" spans="1:21" ht="24" customHeight="1">
      <c r="A644" s="247" t="s">
        <v>335</v>
      </c>
      <c r="B644" s="248"/>
      <c r="C644" s="248"/>
      <c r="D644" s="247" t="s">
        <v>245</v>
      </c>
      <c r="E644" s="248"/>
      <c r="F644" s="248"/>
      <c r="G644" s="248"/>
      <c r="H644" s="248"/>
      <c r="I644" s="248"/>
      <c r="J644" s="248"/>
      <c r="K644" s="248"/>
      <c r="L644" s="207">
        <v>1134052</v>
      </c>
      <c r="M644" s="207">
        <v>1137166</v>
      </c>
      <c r="N644" s="163">
        <v>856583</v>
      </c>
      <c r="O644" s="163">
        <v>856583</v>
      </c>
      <c r="P644" s="162">
        <v>575030</v>
      </c>
      <c r="Q644" s="162">
        <v>586749</v>
      </c>
      <c r="R644" s="162">
        <v>994479</v>
      </c>
      <c r="S644" s="162">
        <v>1135964</v>
      </c>
      <c r="T644" s="162">
        <v>1134606</v>
      </c>
    </row>
    <row r="645" spans="1:21" ht="15" customHeight="1">
      <c r="A645" s="247"/>
      <c r="B645" s="248"/>
      <c r="C645" s="248"/>
      <c r="D645" s="183"/>
      <c r="E645" s="248"/>
      <c r="F645" s="248"/>
      <c r="G645" s="248"/>
      <c r="H645" s="248"/>
      <c r="I645" s="248"/>
      <c r="J645" s="248"/>
      <c r="K645" s="248"/>
      <c r="L645" s="198"/>
      <c r="M645" s="198"/>
      <c r="N645" s="153"/>
      <c r="O645" s="153"/>
      <c r="P645" s="152"/>
      <c r="Q645" s="152"/>
      <c r="R645" s="152"/>
      <c r="S645" s="152"/>
      <c r="T645" s="152"/>
    </row>
    <row r="646" spans="1:21" s="183" customFormat="1" ht="24" customHeight="1">
      <c r="K646" s="251" t="s">
        <v>454</v>
      </c>
      <c r="L646" s="201">
        <f t="shared" ref="L646:T646" si="43">SUM(L634:L645)</f>
        <v>2538383</v>
      </c>
      <c r="M646" s="201">
        <f t="shared" si="43"/>
        <v>2849832</v>
      </c>
      <c r="N646" s="202">
        <f t="shared" si="43"/>
        <v>2416491</v>
      </c>
      <c r="O646" s="202">
        <f t="shared" si="43"/>
        <v>2403926</v>
      </c>
      <c r="P646" s="201">
        <f t="shared" si="43"/>
        <v>2149679</v>
      </c>
      <c r="Q646" s="201">
        <f t="shared" si="43"/>
        <v>2188631</v>
      </c>
      <c r="R646" s="201">
        <f t="shared" si="43"/>
        <v>2632981</v>
      </c>
      <c r="S646" s="201">
        <f t="shared" si="43"/>
        <v>2808427</v>
      </c>
      <c r="T646" s="201">
        <f t="shared" si="43"/>
        <v>2851031</v>
      </c>
      <c r="U646" s="64"/>
    </row>
    <row r="647" spans="1:21" ht="15" customHeight="1">
      <c r="A647" s="183"/>
      <c r="B647" s="183"/>
      <c r="C647" s="183"/>
      <c r="D647" s="183"/>
      <c r="E647" s="183"/>
      <c r="F647" s="183"/>
      <c r="G647" s="183"/>
      <c r="H647" s="183"/>
      <c r="I647" s="183"/>
      <c r="J647" s="183"/>
      <c r="K647" s="183"/>
      <c r="L647" s="201"/>
      <c r="M647" s="201"/>
      <c r="N647" s="158"/>
      <c r="O647" s="158"/>
      <c r="P647" s="157"/>
      <c r="Q647" s="157"/>
      <c r="R647" s="157"/>
      <c r="S647" s="157"/>
      <c r="T647" s="157"/>
    </row>
    <row r="648" spans="1:21" ht="24" customHeight="1">
      <c r="A648" s="251" t="s">
        <v>921</v>
      </c>
      <c r="B648" s="183"/>
      <c r="C648" s="183"/>
      <c r="D648" s="183"/>
      <c r="E648" s="183"/>
      <c r="F648" s="183"/>
      <c r="G648" s="183"/>
      <c r="H648" s="183"/>
      <c r="I648" s="183"/>
      <c r="J648" s="183"/>
      <c r="K648" s="183"/>
      <c r="L648" s="201"/>
      <c r="M648" s="201"/>
      <c r="N648" s="158"/>
      <c r="O648" s="158"/>
      <c r="P648" s="157"/>
      <c r="Q648" s="157"/>
      <c r="R648" s="157"/>
      <c r="S648" s="157"/>
      <c r="T648" s="157"/>
    </row>
    <row r="649" spans="1:21" ht="24" customHeight="1">
      <c r="A649" s="247" t="s">
        <v>336</v>
      </c>
      <c r="B649" s="248"/>
      <c r="C649" s="248"/>
      <c r="D649" s="247" t="s">
        <v>797</v>
      </c>
      <c r="E649" s="248"/>
      <c r="F649" s="248"/>
      <c r="G649" s="248"/>
      <c r="H649" s="248"/>
      <c r="I649" s="248"/>
      <c r="J649" s="248"/>
      <c r="K649" s="248"/>
      <c r="L649" s="192">
        <v>212553</v>
      </c>
      <c r="M649" s="192">
        <v>223926</v>
      </c>
      <c r="N649" s="150">
        <v>233507</v>
      </c>
      <c r="O649" s="150">
        <v>198000</v>
      </c>
      <c r="P649" s="149">
        <v>265446</v>
      </c>
      <c r="Q649" s="149">
        <v>277492</v>
      </c>
      <c r="R649" s="149">
        <v>285817</v>
      </c>
      <c r="S649" s="149">
        <v>294392</v>
      </c>
      <c r="T649" s="149">
        <v>303224</v>
      </c>
    </row>
    <row r="650" spans="1:21" ht="24" customHeight="1">
      <c r="A650" s="247" t="s">
        <v>1346</v>
      </c>
      <c r="B650" s="248"/>
      <c r="C650" s="248"/>
      <c r="D650" s="247" t="s">
        <v>68</v>
      </c>
      <c r="E650" s="248"/>
      <c r="F650" s="248"/>
      <c r="G650" s="248"/>
      <c r="H650" s="248"/>
      <c r="I650" s="248"/>
      <c r="J650" s="248"/>
      <c r="K650" s="248"/>
      <c r="L650" s="192">
        <v>0</v>
      </c>
      <c r="M650" s="192">
        <v>0</v>
      </c>
      <c r="N650" s="150">
        <v>0</v>
      </c>
      <c r="O650" s="150">
        <v>0</v>
      </c>
      <c r="P650" s="149">
        <v>5000</v>
      </c>
      <c r="Q650" s="149">
        <v>5000</v>
      </c>
      <c r="R650" s="149">
        <v>5000</v>
      </c>
      <c r="S650" s="149">
        <v>5000</v>
      </c>
      <c r="T650" s="149">
        <v>5000</v>
      </c>
    </row>
    <row r="651" spans="1:21" ht="24" customHeight="1">
      <c r="A651" s="247" t="s">
        <v>337</v>
      </c>
      <c r="B651" s="248"/>
      <c r="C651" s="248"/>
      <c r="D651" s="247" t="s">
        <v>14</v>
      </c>
      <c r="E651" s="248"/>
      <c r="F651" s="248"/>
      <c r="G651" s="248"/>
      <c r="H651" s="248"/>
      <c r="I651" s="248"/>
      <c r="J651" s="248"/>
      <c r="K651" s="248"/>
      <c r="L651" s="192">
        <v>21</v>
      </c>
      <c r="M651" s="192">
        <v>289</v>
      </c>
      <c r="N651" s="144">
        <v>1000</v>
      </c>
      <c r="O651" s="144">
        <v>500</v>
      </c>
      <c r="P651" s="143">
        <v>500</v>
      </c>
      <c r="Q651" s="143">
        <v>500</v>
      </c>
      <c r="R651" s="143">
        <v>500</v>
      </c>
      <c r="S651" s="143">
        <v>500</v>
      </c>
      <c r="T651" s="143">
        <v>500</v>
      </c>
    </row>
    <row r="652" spans="1:21" ht="24" customHeight="1">
      <c r="A652" s="247" t="s">
        <v>338</v>
      </c>
      <c r="B652" s="248"/>
      <c r="C652" s="248"/>
      <c r="D652" s="247" t="s">
        <v>8</v>
      </c>
      <c r="E652" s="248"/>
      <c r="F652" s="248"/>
      <c r="G652" s="248"/>
      <c r="H652" s="248"/>
      <c r="I652" s="248"/>
      <c r="J652" s="248"/>
      <c r="K652" s="248"/>
      <c r="L652" s="192">
        <v>22899</v>
      </c>
      <c r="M652" s="192">
        <v>24177</v>
      </c>
      <c r="N652" s="150">
        <v>25054</v>
      </c>
      <c r="O652" s="150">
        <v>21500</v>
      </c>
      <c r="P652" s="143">
        <v>24399</v>
      </c>
      <c r="Q652" s="143">
        <v>26167</v>
      </c>
      <c r="R652" s="143">
        <v>27753</v>
      </c>
      <c r="S652" s="143">
        <v>29439</v>
      </c>
      <c r="T652" s="143">
        <v>31232</v>
      </c>
    </row>
    <row r="653" spans="1:21" ht="24" customHeight="1">
      <c r="A653" s="247" t="s">
        <v>339</v>
      </c>
      <c r="B653" s="183"/>
      <c r="C653" s="183"/>
      <c r="D653" s="247" t="s">
        <v>9</v>
      </c>
      <c r="E653" s="183"/>
      <c r="F653" s="183"/>
      <c r="G653" s="183"/>
      <c r="H653" s="183"/>
      <c r="I653" s="183"/>
      <c r="J653" s="183"/>
      <c r="K653" s="183"/>
      <c r="L653" s="192">
        <v>15904</v>
      </c>
      <c r="M653" s="192">
        <v>16847</v>
      </c>
      <c r="N653" s="150">
        <v>17311</v>
      </c>
      <c r="O653" s="150">
        <v>16000</v>
      </c>
      <c r="P653" s="149">
        <v>19031</v>
      </c>
      <c r="Q653" s="149">
        <v>19914</v>
      </c>
      <c r="R653" s="149">
        <v>20511</v>
      </c>
      <c r="S653" s="149">
        <v>21126</v>
      </c>
      <c r="T653" s="149">
        <v>21760</v>
      </c>
    </row>
    <row r="654" spans="1:21" ht="24" customHeight="1">
      <c r="A654" s="247" t="s">
        <v>497</v>
      </c>
      <c r="B654" s="183"/>
      <c r="C654" s="183"/>
      <c r="D654" s="247" t="s">
        <v>13</v>
      </c>
      <c r="E654" s="183"/>
      <c r="F654" s="183"/>
      <c r="G654" s="183"/>
      <c r="H654" s="183"/>
      <c r="I654" s="183"/>
      <c r="J654" s="183"/>
      <c r="K654" s="183"/>
      <c r="L654" s="192">
        <v>48457</v>
      </c>
      <c r="M654" s="192">
        <v>51511</v>
      </c>
      <c r="N654" s="147">
        <v>51285</v>
      </c>
      <c r="O654" s="150">
        <v>44601</v>
      </c>
      <c r="P654" s="149">
        <v>98202</v>
      </c>
      <c r="Q654" s="149">
        <v>106058</v>
      </c>
      <c r="R654" s="149">
        <v>114543</v>
      </c>
      <c r="S654" s="149">
        <v>123706</v>
      </c>
      <c r="T654" s="149">
        <v>133602</v>
      </c>
    </row>
    <row r="655" spans="1:21" ht="24" customHeight="1">
      <c r="A655" s="247" t="s">
        <v>498</v>
      </c>
      <c r="B655" s="183"/>
      <c r="C655" s="183"/>
      <c r="D655" s="247" t="s">
        <v>166</v>
      </c>
      <c r="E655" s="183"/>
      <c r="F655" s="183"/>
      <c r="G655" s="183"/>
      <c r="H655" s="183"/>
      <c r="I655" s="183"/>
      <c r="J655" s="183"/>
      <c r="K655" s="183"/>
      <c r="L655" s="192">
        <v>371</v>
      </c>
      <c r="M655" s="192">
        <v>371</v>
      </c>
      <c r="N655" s="147">
        <v>273</v>
      </c>
      <c r="O655" s="150">
        <v>200</v>
      </c>
      <c r="P655" s="146">
        <v>314</v>
      </c>
      <c r="Q655" s="146">
        <v>317</v>
      </c>
      <c r="R655" s="146">
        <v>320</v>
      </c>
      <c r="S655" s="146">
        <v>323</v>
      </c>
      <c r="T655" s="146">
        <v>326</v>
      </c>
    </row>
    <row r="656" spans="1:21" ht="24" customHeight="1">
      <c r="A656" s="247" t="s">
        <v>499</v>
      </c>
      <c r="B656" s="183"/>
      <c r="C656" s="183"/>
      <c r="D656" s="247" t="s">
        <v>503</v>
      </c>
      <c r="E656" s="183"/>
      <c r="F656" s="183"/>
      <c r="G656" s="183"/>
      <c r="H656" s="183"/>
      <c r="I656" s="183"/>
      <c r="J656" s="183"/>
      <c r="K656" s="183"/>
      <c r="L656" s="192">
        <v>4367</v>
      </c>
      <c r="M656" s="192">
        <v>4239</v>
      </c>
      <c r="N656" s="147">
        <v>3901</v>
      </c>
      <c r="O656" s="150">
        <v>3223</v>
      </c>
      <c r="P656" s="146">
        <v>6433</v>
      </c>
      <c r="Q656" s="146">
        <v>6755</v>
      </c>
      <c r="R656" s="146">
        <v>7093</v>
      </c>
      <c r="S656" s="146">
        <v>7448</v>
      </c>
      <c r="T656" s="146">
        <v>7820</v>
      </c>
    </row>
    <row r="657" spans="1:20" ht="24" customHeight="1">
      <c r="A657" s="247" t="s">
        <v>511</v>
      </c>
      <c r="B657" s="183"/>
      <c r="C657" s="183"/>
      <c r="D657" s="247" t="s">
        <v>505</v>
      </c>
      <c r="E657" s="183"/>
      <c r="F657" s="183"/>
      <c r="G657" s="183"/>
      <c r="H657" s="183"/>
      <c r="I657" s="183"/>
      <c r="J657" s="183"/>
      <c r="K657" s="183"/>
      <c r="L657" s="192">
        <v>552</v>
      </c>
      <c r="M657" s="192">
        <v>594</v>
      </c>
      <c r="N657" s="147">
        <v>594</v>
      </c>
      <c r="O657" s="150">
        <v>474</v>
      </c>
      <c r="P657" s="146">
        <v>879</v>
      </c>
      <c r="Q657" s="146">
        <v>879</v>
      </c>
      <c r="R657" s="146">
        <v>905</v>
      </c>
      <c r="S657" s="146">
        <v>932</v>
      </c>
      <c r="T657" s="146">
        <v>960</v>
      </c>
    </row>
    <row r="658" spans="1:20" ht="24" customHeight="1">
      <c r="A658" s="247" t="s">
        <v>478</v>
      </c>
      <c r="B658" s="183"/>
      <c r="C658" s="183"/>
      <c r="D658" s="247" t="s">
        <v>165</v>
      </c>
      <c r="E658" s="183"/>
      <c r="F658" s="183"/>
      <c r="G658" s="183"/>
      <c r="H658" s="183"/>
      <c r="I658" s="183"/>
      <c r="J658" s="183"/>
      <c r="K658" s="183"/>
      <c r="L658" s="192">
        <v>478</v>
      </c>
      <c r="M658" s="192">
        <v>353</v>
      </c>
      <c r="N658" s="144">
        <v>1000</v>
      </c>
      <c r="O658" s="144">
        <v>500</v>
      </c>
      <c r="P658" s="143">
        <v>750</v>
      </c>
      <c r="Q658" s="143">
        <v>750</v>
      </c>
      <c r="R658" s="143">
        <v>750</v>
      </c>
      <c r="S658" s="143">
        <v>750</v>
      </c>
      <c r="T658" s="143">
        <v>750</v>
      </c>
    </row>
    <row r="659" spans="1:20" ht="24" customHeight="1">
      <c r="A659" s="247" t="s">
        <v>476</v>
      </c>
      <c r="B659" s="183"/>
      <c r="C659" s="183"/>
      <c r="D659" s="247" t="s">
        <v>220</v>
      </c>
      <c r="E659" s="183"/>
      <c r="F659" s="183"/>
      <c r="G659" s="183"/>
      <c r="H659" s="183"/>
      <c r="I659" s="183"/>
      <c r="J659" s="183"/>
      <c r="K659" s="183"/>
      <c r="L659" s="192">
        <v>12946</v>
      </c>
      <c r="M659" s="192">
        <v>13439</v>
      </c>
      <c r="N659" s="144">
        <v>14264</v>
      </c>
      <c r="O659" s="144">
        <v>13257</v>
      </c>
      <c r="P659" s="143">
        <v>14052</v>
      </c>
      <c r="Q659" s="143">
        <v>14895</v>
      </c>
      <c r="R659" s="143">
        <v>15789</v>
      </c>
      <c r="S659" s="143">
        <v>16736</v>
      </c>
      <c r="T659" s="143">
        <v>17740</v>
      </c>
    </row>
    <row r="660" spans="1:20" ht="24" customHeight="1">
      <c r="A660" s="247" t="s">
        <v>1188</v>
      </c>
      <c r="B660" s="183"/>
      <c r="C660" s="183"/>
      <c r="D660" s="183" t="s">
        <v>1187</v>
      </c>
      <c r="E660" s="183"/>
      <c r="F660" s="183"/>
      <c r="G660" s="183"/>
      <c r="H660" s="183"/>
      <c r="I660" s="183"/>
      <c r="J660" s="183"/>
      <c r="K660" s="183"/>
      <c r="L660" s="192">
        <v>0</v>
      </c>
      <c r="M660" s="192">
        <v>38925</v>
      </c>
      <c r="N660" s="148">
        <v>40176</v>
      </c>
      <c r="O660" s="148">
        <v>40176</v>
      </c>
      <c r="P660" s="145">
        <v>42696</v>
      </c>
      <c r="Q660" s="145">
        <v>43977</v>
      </c>
      <c r="R660" s="145">
        <v>45296</v>
      </c>
      <c r="S660" s="145">
        <v>46655</v>
      </c>
      <c r="T660" s="145">
        <v>48055</v>
      </c>
    </row>
    <row r="661" spans="1:20" ht="24" customHeight="1">
      <c r="A661" s="247" t="s">
        <v>760</v>
      </c>
      <c r="B661" s="183"/>
      <c r="C661" s="183"/>
      <c r="D661" s="183" t="s">
        <v>756</v>
      </c>
      <c r="E661" s="183"/>
      <c r="F661" s="183"/>
      <c r="G661" s="183"/>
      <c r="H661" s="183"/>
      <c r="I661" s="183"/>
      <c r="J661" s="183"/>
      <c r="K661" s="183"/>
      <c r="L661" s="193">
        <f>104700+692</f>
        <v>105392</v>
      </c>
      <c r="M661" s="192">
        <v>93000</v>
      </c>
      <c r="N661" s="144">
        <v>0</v>
      </c>
      <c r="O661" s="144">
        <v>0</v>
      </c>
      <c r="P661" s="143">
        <v>0</v>
      </c>
      <c r="Q661" s="143">
        <v>0</v>
      </c>
      <c r="R661" s="143">
        <v>0</v>
      </c>
      <c r="S661" s="143">
        <v>0</v>
      </c>
      <c r="T661" s="143">
        <v>0</v>
      </c>
    </row>
    <row r="662" spans="1:20" ht="24" customHeight="1">
      <c r="A662" s="247" t="s">
        <v>340</v>
      </c>
      <c r="B662" s="248"/>
      <c r="C662" s="248"/>
      <c r="D662" s="247" t="s">
        <v>90</v>
      </c>
      <c r="E662" s="248"/>
      <c r="F662" s="248"/>
      <c r="G662" s="248"/>
      <c r="H662" s="248"/>
      <c r="I662" s="248"/>
      <c r="J662" s="248"/>
      <c r="K662" s="248"/>
      <c r="L662" s="192">
        <v>1703</v>
      </c>
      <c r="M662" s="192">
        <v>1180</v>
      </c>
      <c r="N662" s="141">
        <v>2500</v>
      </c>
      <c r="O662" s="141">
        <v>2500</v>
      </c>
      <c r="P662" s="140">
        <v>2500</v>
      </c>
      <c r="Q662" s="140">
        <v>2500</v>
      </c>
      <c r="R662" s="140">
        <v>2500</v>
      </c>
      <c r="S662" s="140">
        <v>2500</v>
      </c>
      <c r="T662" s="140">
        <v>2500</v>
      </c>
    </row>
    <row r="663" spans="1:20" ht="24" customHeight="1">
      <c r="A663" s="247" t="s">
        <v>341</v>
      </c>
      <c r="B663" s="183"/>
      <c r="C663" s="183"/>
      <c r="D663" s="247" t="s">
        <v>910</v>
      </c>
      <c r="E663" s="183"/>
      <c r="F663" s="183"/>
      <c r="G663" s="248"/>
      <c r="H663" s="248"/>
      <c r="I663" s="248"/>
      <c r="J663" s="248"/>
      <c r="K663" s="248"/>
      <c r="L663" s="192">
        <v>2681</v>
      </c>
      <c r="M663" s="192">
        <v>344</v>
      </c>
      <c r="N663" s="144">
        <v>2000</v>
      </c>
      <c r="O663" s="144">
        <v>2000</v>
      </c>
      <c r="P663" s="143">
        <v>2000</v>
      </c>
      <c r="Q663" s="143">
        <v>2000</v>
      </c>
      <c r="R663" s="143">
        <v>2000</v>
      </c>
      <c r="S663" s="143">
        <v>2000</v>
      </c>
      <c r="T663" s="143">
        <v>2000</v>
      </c>
    </row>
    <row r="664" spans="1:20" ht="24" customHeight="1">
      <c r="A664" s="247" t="s">
        <v>1251</v>
      </c>
      <c r="B664" s="183"/>
      <c r="C664" s="183"/>
      <c r="D664" s="1" t="s">
        <v>1245</v>
      </c>
      <c r="E664" s="183"/>
      <c r="F664" s="183"/>
      <c r="G664" s="183"/>
      <c r="H664" s="183"/>
      <c r="I664" s="183"/>
      <c r="J664" s="183"/>
      <c r="K664" s="183"/>
      <c r="L664" s="196">
        <v>0</v>
      </c>
      <c r="M664" s="196">
        <v>0</v>
      </c>
      <c r="N664" s="150">
        <v>263</v>
      </c>
      <c r="O664" s="150">
        <v>263</v>
      </c>
      <c r="P664" s="149">
        <v>0</v>
      </c>
      <c r="Q664" s="149">
        <v>2258</v>
      </c>
      <c r="R664" s="149">
        <v>1940</v>
      </c>
      <c r="S664" s="149">
        <v>316</v>
      </c>
      <c r="T664" s="149">
        <v>332</v>
      </c>
    </row>
    <row r="665" spans="1:20" ht="24" customHeight="1">
      <c r="A665" s="247" t="s">
        <v>585</v>
      </c>
      <c r="B665" s="183"/>
      <c r="C665" s="183"/>
      <c r="D665" s="247" t="s">
        <v>911</v>
      </c>
      <c r="E665" s="183"/>
      <c r="F665" s="183"/>
      <c r="G665" s="248"/>
      <c r="H665" s="248"/>
      <c r="I665" s="248"/>
      <c r="J665" s="248"/>
      <c r="K665" s="248"/>
      <c r="L665" s="192">
        <v>1133</v>
      </c>
      <c r="M665" s="192">
        <v>1307</v>
      </c>
      <c r="N665" s="144">
        <v>1500</v>
      </c>
      <c r="O665" s="144">
        <v>1500</v>
      </c>
      <c r="P665" s="143">
        <v>1500</v>
      </c>
      <c r="Q665" s="143">
        <v>1500</v>
      </c>
      <c r="R665" s="143">
        <v>1500</v>
      </c>
      <c r="S665" s="143">
        <v>1500</v>
      </c>
      <c r="T665" s="143">
        <v>1500</v>
      </c>
    </row>
    <row r="666" spans="1:20" ht="24" customHeight="1">
      <c r="A666" s="247" t="s">
        <v>342</v>
      </c>
      <c r="B666" s="183"/>
      <c r="C666" s="183"/>
      <c r="D666" s="247" t="s">
        <v>215</v>
      </c>
      <c r="E666" s="183"/>
      <c r="F666" s="248"/>
      <c r="G666" s="183"/>
      <c r="H666" s="183"/>
      <c r="I666" s="183"/>
      <c r="J666" s="183"/>
      <c r="K666" s="183"/>
      <c r="L666" s="192">
        <v>2411</v>
      </c>
      <c r="M666" s="192">
        <v>8667</v>
      </c>
      <c r="N666" s="144">
        <v>9000</v>
      </c>
      <c r="O666" s="144">
        <v>9000</v>
      </c>
      <c r="P666" s="143">
        <v>9000</v>
      </c>
      <c r="Q666" s="143">
        <v>9000</v>
      </c>
      <c r="R666" s="143">
        <v>9000</v>
      </c>
      <c r="S666" s="143">
        <v>9000</v>
      </c>
      <c r="T666" s="143">
        <v>9000</v>
      </c>
    </row>
    <row r="667" spans="1:20" ht="24" customHeight="1">
      <c r="A667" s="247" t="s">
        <v>612</v>
      </c>
      <c r="B667" s="183"/>
      <c r="C667" s="183"/>
      <c r="D667" s="247" t="s">
        <v>613</v>
      </c>
      <c r="E667" s="183"/>
      <c r="F667" s="248"/>
      <c r="G667" s="183"/>
      <c r="H667" s="183"/>
      <c r="I667" s="183"/>
      <c r="J667" s="183"/>
      <c r="K667" s="183"/>
      <c r="L667" s="192">
        <v>648</v>
      </c>
      <c r="M667" s="192">
        <v>20727</v>
      </c>
      <c r="N667" s="144">
        <v>10000</v>
      </c>
      <c r="O667" s="144">
        <v>15000</v>
      </c>
      <c r="P667" s="143">
        <v>75000</v>
      </c>
      <c r="Q667" s="143">
        <v>20000</v>
      </c>
      <c r="R667" s="143">
        <v>20000</v>
      </c>
      <c r="S667" s="143">
        <v>20000</v>
      </c>
      <c r="T667" s="143">
        <v>20000</v>
      </c>
    </row>
    <row r="668" spans="1:20" ht="24" customHeight="1">
      <c r="A668" s="247" t="s">
        <v>343</v>
      </c>
      <c r="B668" s="183"/>
      <c r="C668" s="183"/>
      <c r="D668" s="247" t="s">
        <v>10</v>
      </c>
      <c r="E668" s="183"/>
      <c r="F668" s="183"/>
      <c r="G668" s="248"/>
      <c r="H668" s="248"/>
      <c r="I668" s="248"/>
      <c r="J668" s="248"/>
      <c r="K668" s="248"/>
      <c r="L668" s="192">
        <v>14772</v>
      </c>
      <c r="M668" s="192">
        <v>14638</v>
      </c>
      <c r="N668" s="141">
        <v>18000</v>
      </c>
      <c r="O668" s="141">
        <v>18000</v>
      </c>
      <c r="P668" s="143">
        <v>43000</v>
      </c>
      <c r="Q668" s="143">
        <v>23000</v>
      </c>
      <c r="R668" s="143">
        <v>23000</v>
      </c>
      <c r="S668" s="143">
        <v>23000</v>
      </c>
      <c r="T668" s="143">
        <v>23000</v>
      </c>
    </row>
    <row r="669" spans="1:20" ht="24" customHeight="1">
      <c r="A669" s="247" t="s">
        <v>344</v>
      </c>
      <c r="B669" s="248"/>
      <c r="C669" s="248"/>
      <c r="D669" s="247" t="s">
        <v>17</v>
      </c>
      <c r="E669" s="248"/>
      <c r="F669" s="248"/>
      <c r="G669" s="248"/>
      <c r="H669" s="248"/>
      <c r="I669" s="248"/>
      <c r="J669" s="248"/>
      <c r="K669" s="248"/>
      <c r="L669" s="193">
        <v>17660</v>
      </c>
      <c r="M669" s="193">
        <v>20081</v>
      </c>
      <c r="N669" s="144">
        <v>21200</v>
      </c>
      <c r="O669" s="144">
        <v>21200</v>
      </c>
      <c r="P669" s="143">
        <v>22472</v>
      </c>
      <c r="Q669" s="143">
        <v>23820</v>
      </c>
      <c r="R669" s="143">
        <v>25249</v>
      </c>
      <c r="S669" s="143">
        <v>26764</v>
      </c>
      <c r="T669" s="143">
        <v>28370</v>
      </c>
    </row>
    <row r="670" spans="1:20" ht="24" customHeight="1">
      <c r="A670" s="247" t="s">
        <v>1236</v>
      </c>
      <c r="B670" s="183"/>
      <c r="C670" s="183"/>
      <c r="D670" s="247" t="s">
        <v>300</v>
      </c>
      <c r="E670" s="183"/>
      <c r="F670" s="183"/>
      <c r="G670" s="183"/>
      <c r="H670" s="183"/>
      <c r="I670" s="183"/>
      <c r="J670" s="183"/>
      <c r="K670" s="183"/>
      <c r="L670" s="213">
        <v>0</v>
      </c>
      <c r="M670" s="213">
        <v>0</v>
      </c>
      <c r="N670" s="171">
        <v>3000</v>
      </c>
      <c r="O670" s="171">
        <v>1250</v>
      </c>
      <c r="P670" s="170">
        <v>3000</v>
      </c>
      <c r="Q670" s="170">
        <v>3000</v>
      </c>
      <c r="R670" s="170">
        <v>3000</v>
      </c>
      <c r="S670" s="170">
        <v>3000</v>
      </c>
      <c r="T670" s="170">
        <v>3000</v>
      </c>
    </row>
    <row r="671" spans="1:20" ht="24" customHeight="1">
      <c r="A671" s="247" t="s">
        <v>345</v>
      </c>
      <c r="B671" s="248"/>
      <c r="C671" s="248"/>
      <c r="D671" s="247" t="s">
        <v>85</v>
      </c>
      <c r="E671" s="248"/>
      <c r="F671" s="248"/>
      <c r="G671" s="183"/>
      <c r="H671" s="183"/>
      <c r="I671" s="183"/>
      <c r="J671" s="183"/>
      <c r="K671" s="183"/>
      <c r="L671" s="213">
        <v>423</v>
      </c>
      <c r="M671" s="213">
        <v>662</v>
      </c>
      <c r="N671" s="171">
        <v>1000</v>
      </c>
      <c r="O671" s="171">
        <v>1000</v>
      </c>
      <c r="P671" s="149">
        <v>1000</v>
      </c>
      <c r="Q671" s="170">
        <v>1000</v>
      </c>
      <c r="R671" s="170">
        <v>1000</v>
      </c>
      <c r="S671" s="170">
        <v>1000</v>
      </c>
      <c r="T671" s="170">
        <v>1000</v>
      </c>
    </row>
    <row r="672" spans="1:20" ht="24" customHeight="1">
      <c r="A672" s="247" t="s">
        <v>1142</v>
      </c>
      <c r="B672" s="183"/>
      <c r="C672" s="183"/>
      <c r="D672" s="247" t="s">
        <v>86</v>
      </c>
      <c r="E672" s="183"/>
      <c r="F672" s="183"/>
      <c r="G672" s="183"/>
      <c r="H672" s="183"/>
      <c r="I672" s="183"/>
      <c r="J672" s="183"/>
      <c r="K672" s="183"/>
      <c r="L672" s="196">
        <v>0</v>
      </c>
      <c r="M672" s="196">
        <v>729</v>
      </c>
      <c r="N672" s="150">
        <v>751</v>
      </c>
      <c r="O672" s="150">
        <v>737</v>
      </c>
      <c r="P672" s="149">
        <v>759</v>
      </c>
      <c r="Q672" s="149">
        <v>782</v>
      </c>
      <c r="R672" s="149">
        <v>805</v>
      </c>
      <c r="S672" s="149">
        <v>829</v>
      </c>
      <c r="T672" s="149">
        <v>854</v>
      </c>
    </row>
    <row r="673" spans="1:21" ht="24" customHeight="1">
      <c r="A673" s="247" t="s">
        <v>852</v>
      </c>
      <c r="B673" s="248"/>
      <c r="C673" s="248"/>
      <c r="D673" s="247" t="s">
        <v>847</v>
      </c>
      <c r="E673" s="248"/>
      <c r="F673" s="248"/>
      <c r="G673" s="248"/>
      <c r="H673" s="248"/>
      <c r="I673" s="248"/>
      <c r="J673" s="248"/>
      <c r="K673" s="248"/>
      <c r="L673" s="209">
        <v>8549</v>
      </c>
      <c r="M673" s="209">
        <v>1643</v>
      </c>
      <c r="N673" s="172">
        <v>10000</v>
      </c>
      <c r="O673" s="172">
        <v>10000</v>
      </c>
      <c r="P673" s="166">
        <v>10000</v>
      </c>
      <c r="Q673" s="166">
        <v>10000</v>
      </c>
      <c r="R673" s="166">
        <v>10000</v>
      </c>
      <c r="S673" s="166">
        <v>10000</v>
      </c>
      <c r="T673" s="166">
        <v>10000</v>
      </c>
    </row>
    <row r="674" spans="1:21" ht="24" customHeight="1">
      <c r="A674" s="247" t="s">
        <v>934</v>
      </c>
      <c r="B674" s="248"/>
      <c r="C674" s="248"/>
      <c r="D674" s="247" t="s">
        <v>932</v>
      </c>
      <c r="E674" s="248"/>
      <c r="F674" s="248"/>
      <c r="G674" s="248"/>
      <c r="H674" s="248"/>
      <c r="I674" s="248"/>
      <c r="J674" s="248"/>
      <c r="K674" s="248"/>
      <c r="L674" s="209">
        <v>11924</v>
      </c>
      <c r="M674" s="209">
        <v>15072</v>
      </c>
      <c r="N674" s="172">
        <v>16000</v>
      </c>
      <c r="O674" s="172">
        <v>16000</v>
      </c>
      <c r="P674" s="166">
        <v>16000</v>
      </c>
      <c r="Q674" s="166">
        <v>16000</v>
      </c>
      <c r="R674" s="166">
        <v>16000</v>
      </c>
      <c r="S674" s="166">
        <v>16000</v>
      </c>
      <c r="T674" s="166">
        <v>16000</v>
      </c>
    </row>
    <row r="675" spans="1:21" ht="24" customHeight="1">
      <c r="A675" s="247" t="s">
        <v>596</v>
      </c>
      <c r="B675" s="248"/>
      <c r="C675" s="248"/>
      <c r="D675" s="247" t="s">
        <v>270</v>
      </c>
      <c r="E675" s="248"/>
      <c r="F675" s="248"/>
      <c r="G675" s="248"/>
      <c r="H675" s="248"/>
      <c r="I675" s="248"/>
      <c r="J675" s="248"/>
      <c r="K675" s="248"/>
      <c r="L675" s="209">
        <v>1542</v>
      </c>
      <c r="M675" s="209">
        <v>1277</v>
      </c>
      <c r="N675" s="172">
        <v>1500</v>
      </c>
      <c r="O675" s="172">
        <v>689</v>
      </c>
      <c r="P675" s="166">
        <v>750</v>
      </c>
      <c r="Q675" s="166">
        <v>750</v>
      </c>
      <c r="R675" s="166">
        <v>750</v>
      </c>
      <c r="S675" s="166">
        <v>750</v>
      </c>
      <c r="T675" s="166">
        <v>750</v>
      </c>
    </row>
    <row r="676" spans="1:21" ht="24" customHeight="1">
      <c r="A676" s="247" t="s">
        <v>595</v>
      </c>
      <c r="B676" s="248"/>
      <c r="C676" s="248"/>
      <c r="D676" s="247" t="s">
        <v>18</v>
      </c>
      <c r="E676" s="248"/>
      <c r="F676" s="248"/>
      <c r="G676" s="248"/>
      <c r="H676" s="248"/>
      <c r="I676" s="248"/>
      <c r="J676" s="248"/>
      <c r="K676" s="248"/>
      <c r="L676" s="192">
        <v>1993</v>
      </c>
      <c r="M676" s="192">
        <v>2859</v>
      </c>
      <c r="N676" s="144">
        <v>2250</v>
      </c>
      <c r="O676" s="144">
        <v>2750</v>
      </c>
      <c r="P676" s="143">
        <v>3000</v>
      </c>
      <c r="Q676" s="143">
        <v>3000</v>
      </c>
      <c r="R676" s="143">
        <v>3000</v>
      </c>
      <c r="S676" s="143">
        <v>3000</v>
      </c>
      <c r="T676" s="143">
        <v>3000</v>
      </c>
    </row>
    <row r="677" spans="1:21" ht="24" customHeight="1">
      <c r="A677" s="247" t="s">
        <v>346</v>
      </c>
      <c r="B677" s="248"/>
      <c r="C677" s="248"/>
      <c r="D677" s="247" t="s">
        <v>93</v>
      </c>
      <c r="E677" s="248"/>
      <c r="F677" s="248"/>
      <c r="G677" s="248"/>
      <c r="H677" s="248"/>
      <c r="I677" s="248"/>
      <c r="J677" s="248"/>
      <c r="K677" s="248"/>
      <c r="L677" s="192">
        <v>2791</v>
      </c>
      <c r="M677" s="192">
        <v>3965</v>
      </c>
      <c r="N677" s="141">
        <v>3980</v>
      </c>
      <c r="O677" s="141">
        <v>3980</v>
      </c>
      <c r="P677" s="140">
        <v>3980</v>
      </c>
      <c r="Q677" s="140">
        <v>3980</v>
      </c>
      <c r="R677" s="140">
        <v>3980</v>
      </c>
      <c r="S677" s="140">
        <v>3980</v>
      </c>
      <c r="T677" s="140">
        <v>3980</v>
      </c>
    </row>
    <row r="678" spans="1:21" ht="24" customHeight="1">
      <c r="A678" s="247" t="s">
        <v>347</v>
      </c>
      <c r="B678" s="248"/>
      <c r="C678" s="248"/>
      <c r="D678" s="247" t="s">
        <v>11</v>
      </c>
      <c r="E678" s="248"/>
      <c r="F678" s="248"/>
      <c r="G678" s="248"/>
      <c r="H678" s="248"/>
      <c r="I678" s="248"/>
      <c r="J678" s="248"/>
      <c r="K678" s="248"/>
      <c r="L678" s="192">
        <v>465</v>
      </c>
      <c r="M678" s="192">
        <v>1029</v>
      </c>
      <c r="N678" s="144">
        <v>1000</v>
      </c>
      <c r="O678" s="144">
        <v>1000</v>
      </c>
      <c r="P678" s="143">
        <v>1000</v>
      </c>
      <c r="Q678" s="143">
        <v>1000</v>
      </c>
      <c r="R678" s="143">
        <v>1000</v>
      </c>
      <c r="S678" s="143">
        <v>1000</v>
      </c>
      <c r="T678" s="143">
        <v>1000</v>
      </c>
    </row>
    <row r="679" spans="1:21" ht="24" customHeight="1">
      <c r="A679" s="247" t="s">
        <v>348</v>
      </c>
      <c r="B679" s="248"/>
      <c r="C679" s="248"/>
      <c r="D679" s="247" t="s">
        <v>349</v>
      </c>
      <c r="E679" s="248"/>
      <c r="F679" s="248"/>
      <c r="G679" s="248"/>
      <c r="H679" s="248"/>
      <c r="I679" s="248"/>
      <c r="J679" s="248"/>
      <c r="K679" s="248"/>
      <c r="L679" s="193">
        <v>3604</v>
      </c>
      <c r="M679" s="193">
        <v>8006</v>
      </c>
      <c r="N679" s="141">
        <v>8000</v>
      </c>
      <c r="O679" s="141">
        <v>17000</v>
      </c>
      <c r="P679" s="140">
        <v>8000</v>
      </c>
      <c r="Q679" s="140">
        <v>8000</v>
      </c>
      <c r="R679" s="140">
        <v>8000</v>
      </c>
      <c r="S679" s="140">
        <v>8000</v>
      </c>
      <c r="T679" s="140">
        <v>8000</v>
      </c>
    </row>
    <row r="680" spans="1:21" ht="24" customHeight="1">
      <c r="A680" s="247" t="s">
        <v>350</v>
      </c>
      <c r="B680" s="248"/>
      <c r="C680" s="248"/>
      <c r="D680" s="247" t="s">
        <v>12</v>
      </c>
      <c r="E680" s="248"/>
      <c r="F680" s="248"/>
      <c r="G680" s="248"/>
      <c r="H680" s="248"/>
      <c r="I680" s="248"/>
      <c r="J680" s="248"/>
      <c r="K680" s="248"/>
      <c r="L680" s="192">
        <f>5868+1270</f>
        <v>7138</v>
      </c>
      <c r="M680" s="192">
        <v>4516</v>
      </c>
      <c r="N680" s="144">
        <v>11300</v>
      </c>
      <c r="O680" s="144">
        <v>11300</v>
      </c>
      <c r="P680" s="143">
        <v>9000</v>
      </c>
      <c r="Q680" s="143">
        <v>9000</v>
      </c>
      <c r="R680" s="143">
        <v>9000</v>
      </c>
      <c r="S680" s="143">
        <v>9000</v>
      </c>
      <c r="T680" s="143">
        <v>9000</v>
      </c>
    </row>
    <row r="681" spans="1:21" ht="24" customHeight="1">
      <c r="A681" s="247" t="s">
        <v>853</v>
      </c>
      <c r="B681" s="248"/>
      <c r="C681" s="248"/>
      <c r="D681" s="247" t="s">
        <v>849</v>
      </c>
      <c r="E681" s="248"/>
      <c r="F681" s="248"/>
      <c r="G681" s="248"/>
      <c r="H681" s="248"/>
      <c r="I681" s="248"/>
      <c r="J681" s="248"/>
      <c r="K681" s="248"/>
      <c r="L681" s="192">
        <v>3590</v>
      </c>
      <c r="M681" s="192">
        <v>5356</v>
      </c>
      <c r="N681" s="144">
        <v>2000</v>
      </c>
      <c r="O681" s="144">
        <v>10000</v>
      </c>
      <c r="P681" s="143">
        <v>10000</v>
      </c>
      <c r="Q681" s="143">
        <v>10000</v>
      </c>
      <c r="R681" s="143">
        <v>10000</v>
      </c>
      <c r="S681" s="143">
        <v>10000</v>
      </c>
      <c r="T681" s="143">
        <v>10000</v>
      </c>
      <c r="U681" s="285"/>
    </row>
    <row r="682" spans="1:21" ht="24" customHeight="1">
      <c r="A682" s="247" t="s">
        <v>351</v>
      </c>
      <c r="B682" s="248"/>
      <c r="C682" s="248"/>
      <c r="D682" s="247" t="s">
        <v>16</v>
      </c>
      <c r="E682" s="248"/>
      <c r="F682" s="248"/>
      <c r="G682" s="248"/>
      <c r="H682" s="248"/>
      <c r="I682" s="248"/>
      <c r="J682" s="248"/>
      <c r="K682" s="248"/>
      <c r="L682" s="192">
        <v>3658</v>
      </c>
      <c r="M682" s="192">
        <v>711</v>
      </c>
      <c r="N682" s="144">
        <v>2000</v>
      </c>
      <c r="O682" s="144">
        <v>2000</v>
      </c>
      <c r="P682" s="143">
        <v>2000</v>
      </c>
      <c r="Q682" s="143">
        <v>2000</v>
      </c>
      <c r="R682" s="143">
        <v>2000</v>
      </c>
      <c r="S682" s="143">
        <v>2000</v>
      </c>
      <c r="T682" s="143">
        <v>2000</v>
      </c>
      <c r="U682" s="285"/>
    </row>
    <row r="683" spans="1:21" ht="24" customHeight="1">
      <c r="A683" s="247" t="s">
        <v>352</v>
      </c>
      <c r="B683" s="248"/>
      <c r="C683" s="248"/>
      <c r="D683" s="247" t="s">
        <v>913</v>
      </c>
      <c r="E683" s="248"/>
      <c r="F683" s="248"/>
      <c r="G683" s="248"/>
      <c r="H683" s="248"/>
      <c r="I683" s="248"/>
      <c r="J683" s="248"/>
      <c r="K683" s="248"/>
      <c r="L683" s="190">
        <v>3708</v>
      </c>
      <c r="M683" s="190">
        <v>2243</v>
      </c>
      <c r="N683" s="141">
        <v>5000</v>
      </c>
      <c r="O683" s="141">
        <v>5000</v>
      </c>
      <c r="P683" s="140">
        <v>5000</v>
      </c>
      <c r="Q683" s="140">
        <v>5000</v>
      </c>
      <c r="R683" s="140">
        <v>5000</v>
      </c>
      <c r="S683" s="140">
        <v>5000</v>
      </c>
      <c r="T683" s="140">
        <v>5000</v>
      </c>
    </row>
    <row r="684" spans="1:21" ht="24" customHeight="1">
      <c r="A684" s="247" t="s">
        <v>1238</v>
      </c>
      <c r="B684" s="183"/>
      <c r="C684" s="183"/>
      <c r="D684" s="247" t="s">
        <v>940</v>
      </c>
      <c r="E684" s="183"/>
      <c r="F684" s="183"/>
      <c r="G684" s="183"/>
      <c r="H684" s="183"/>
      <c r="I684" s="183"/>
      <c r="J684" s="183"/>
      <c r="K684" s="183"/>
      <c r="L684" s="193">
        <v>0</v>
      </c>
      <c r="M684" s="193">
        <v>0</v>
      </c>
      <c r="N684" s="148">
        <v>1200</v>
      </c>
      <c r="O684" s="148">
        <v>1200</v>
      </c>
      <c r="P684" s="170">
        <v>1200</v>
      </c>
      <c r="Q684" s="170">
        <v>1200</v>
      </c>
      <c r="R684" s="170">
        <v>1200</v>
      </c>
      <c r="S684" s="170">
        <v>1200</v>
      </c>
      <c r="T684" s="170">
        <v>1200</v>
      </c>
    </row>
    <row r="685" spans="1:21" ht="24" customHeight="1">
      <c r="A685" s="247" t="s">
        <v>353</v>
      </c>
      <c r="B685" s="248"/>
      <c r="C685" s="248"/>
      <c r="D685" s="247" t="s">
        <v>133</v>
      </c>
      <c r="E685" s="248"/>
      <c r="F685" s="248"/>
      <c r="G685" s="248"/>
      <c r="H685" s="248"/>
      <c r="I685" s="248"/>
      <c r="J685" s="248"/>
      <c r="K685" s="248"/>
      <c r="L685" s="193">
        <v>13958</v>
      </c>
      <c r="M685" s="193">
        <v>20076</v>
      </c>
      <c r="N685" s="148">
        <v>21400</v>
      </c>
      <c r="O685" s="148">
        <v>21400</v>
      </c>
      <c r="P685" s="143">
        <v>22470</v>
      </c>
      <c r="Q685" s="143">
        <v>23594</v>
      </c>
      <c r="R685" s="143">
        <v>24774</v>
      </c>
      <c r="S685" s="143">
        <v>26013</v>
      </c>
      <c r="T685" s="143">
        <v>27314</v>
      </c>
    </row>
    <row r="686" spans="1:21" ht="24" customHeight="1">
      <c r="A686" s="247" t="s">
        <v>1284</v>
      </c>
      <c r="B686" s="248"/>
      <c r="C686" s="248"/>
      <c r="D686" s="247" t="s">
        <v>1285</v>
      </c>
      <c r="E686" s="248"/>
      <c r="F686" s="248"/>
      <c r="G686" s="248"/>
      <c r="H686" s="248"/>
      <c r="I686" s="248"/>
      <c r="J686" s="248"/>
      <c r="K686" s="248"/>
      <c r="L686" s="193">
        <v>0</v>
      </c>
      <c r="M686" s="193">
        <v>0</v>
      </c>
      <c r="N686" s="148">
        <v>0</v>
      </c>
      <c r="O686" s="148">
        <v>0</v>
      </c>
      <c r="P686" s="145">
        <v>67000</v>
      </c>
      <c r="Q686" s="145">
        <v>67000</v>
      </c>
      <c r="R686" s="145">
        <v>67000</v>
      </c>
      <c r="S686" s="145">
        <v>0</v>
      </c>
      <c r="T686" s="145">
        <v>0</v>
      </c>
    </row>
    <row r="687" spans="1:21" ht="24" customHeight="1">
      <c r="A687" s="247" t="s">
        <v>923</v>
      </c>
      <c r="B687" s="248"/>
      <c r="C687" s="248"/>
      <c r="D687" s="249" t="s">
        <v>919</v>
      </c>
      <c r="E687" s="422"/>
      <c r="F687" s="422"/>
      <c r="G687" s="422"/>
      <c r="H687" s="422"/>
      <c r="I687" s="422"/>
      <c r="J687" s="422"/>
      <c r="K687" s="422"/>
      <c r="L687" s="193">
        <v>162427</v>
      </c>
      <c r="M687" s="193">
        <v>160219</v>
      </c>
      <c r="N687" s="148">
        <v>200000</v>
      </c>
      <c r="O687" s="148">
        <v>125000</v>
      </c>
      <c r="P687" s="145">
        <v>137000</v>
      </c>
      <c r="Q687" s="145">
        <v>200000</v>
      </c>
      <c r="R687" s="145">
        <v>216000</v>
      </c>
      <c r="S687" s="145">
        <v>420000</v>
      </c>
      <c r="T687" s="145">
        <v>200000</v>
      </c>
    </row>
    <row r="688" spans="1:21" ht="24" customHeight="1">
      <c r="A688" s="247" t="s">
        <v>1303</v>
      </c>
      <c r="B688" s="248"/>
      <c r="C688" s="248"/>
      <c r="D688" s="249" t="s">
        <v>1300</v>
      </c>
      <c r="E688" s="248"/>
      <c r="F688" s="248"/>
      <c r="G688" s="248"/>
      <c r="H688" s="248"/>
      <c r="I688" s="248"/>
      <c r="J688" s="248"/>
      <c r="K688" s="248"/>
      <c r="L688" s="193">
        <v>0</v>
      </c>
      <c r="M688" s="193">
        <v>172</v>
      </c>
      <c r="N688" s="148">
        <v>48150</v>
      </c>
      <c r="O688" s="148">
        <v>73000</v>
      </c>
      <c r="P688" s="145">
        <v>0</v>
      </c>
      <c r="Q688" s="145">
        <v>0</v>
      </c>
      <c r="R688" s="145">
        <v>0</v>
      </c>
      <c r="S688" s="145">
        <v>0</v>
      </c>
      <c r="T688" s="145">
        <v>0</v>
      </c>
    </row>
    <row r="689" spans="1:20" ht="24" customHeight="1">
      <c r="A689" s="248" t="s">
        <v>1113</v>
      </c>
      <c r="B689" s="250"/>
      <c r="C689" s="250"/>
      <c r="D689" s="247" t="s">
        <v>800</v>
      </c>
      <c r="E689" s="250"/>
      <c r="F689" s="250"/>
      <c r="G689" s="250"/>
      <c r="H689" s="250"/>
      <c r="I689" s="250"/>
      <c r="J689" s="250"/>
      <c r="K689" s="250"/>
      <c r="L689" s="205">
        <v>0</v>
      </c>
      <c r="M689" s="205">
        <v>4213</v>
      </c>
      <c r="N689" s="160">
        <v>17002</v>
      </c>
      <c r="O689" s="160">
        <v>11373</v>
      </c>
      <c r="P689" s="159">
        <v>11373</v>
      </c>
      <c r="Q689" s="159">
        <v>0</v>
      </c>
      <c r="R689" s="159">
        <v>0</v>
      </c>
      <c r="S689" s="159">
        <v>0</v>
      </c>
      <c r="T689" s="159">
        <v>0</v>
      </c>
    </row>
    <row r="690" spans="1:20" ht="24" customHeight="1">
      <c r="A690" s="248" t="s">
        <v>1205</v>
      </c>
      <c r="B690" s="250"/>
      <c r="C690" s="250"/>
      <c r="D690" s="247" t="s">
        <v>254</v>
      </c>
      <c r="E690" s="250"/>
      <c r="F690" s="250"/>
      <c r="G690" s="250"/>
      <c r="H690" s="250"/>
      <c r="I690" s="250"/>
      <c r="J690" s="250"/>
      <c r="K690" s="250"/>
      <c r="L690" s="205">
        <v>1014</v>
      </c>
      <c r="M690" s="205">
        <v>0</v>
      </c>
      <c r="N690" s="160">
        <v>0</v>
      </c>
      <c r="O690" s="160">
        <v>0</v>
      </c>
      <c r="P690" s="159">
        <v>0</v>
      </c>
      <c r="Q690" s="159">
        <v>0</v>
      </c>
      <c r="R690" s="159">
        <v>0</v>
      </c>
      <c r="S690" s="159">
        <v>0</v>
      </c>
      <c r="T690" s="159">
        <v>0</v>
      </c>
    </row>
    <row r="691" spans="1:20" ht="24" customHeight="1">
      <c r="A691" s="247" t="s">
        <v>1164</v>
      </c>
      <c r="B691" s="262"/>
      <c r="C691" s="262"/>
      <c r="D691" s="1" t="s">
        <v>1171</v>
      </c>
      <c r="E691" s="264"/>
      <c r="F691" s="262"/>
      <c r="G691" s="262"/>
      <c r="H691" s="262"/>
      <c r="I691" s="262"/>
      <c r="J691" s="262"/>
      <c r="K691" s="262"/>
      <c r="L691" s="193">
        <v>5675</v>
      </c>
      <c r="M691" s="193">
        <v>4560</v>
      </c>
      <c r="N691" s="379">
        <v>189000</v>
      </c>
      <c r="O691" s="160">
        <v>0</v>
      </c>
      <c r="P691" s="169">
        <v>63000</v>
      </c>
      <c r="Q691" s="169">
        <v>63000</v>
      </c>
      <c r="R691" s="169">
        <v>63000</v>
      </c>
      <c r="S691" s="159">
        <v>0</v>
      </c>
      <c r="T691" s="159">
        <v>0</v>
      </c>
    </row>
    <row r="692" spans="1:20" ht="24" customHeight="1">
      <c r="A692" s="247" t="s">
        <v>1288</v>
      </c>
      <c r="B692" s="262"/>
      <c r="C692" s="262"/>
      <c r="D692" s="1" t="s">
        <v>255</v>
      </c>
      <c r="E692" s="264"/>
      <c r="F692" s="262"/>
      <c r="G692" s="262"/>
      <c r="H692" s="262"/>
      <c r="I692" s="262"/>
      <c r="J692" s="262"/>
      <c r="K692" s="262"/>
      <c r="L692" s="193">
        <v>0</v>
      </c>
      <c r="M692" s="193">
        <v>0</v>
      </c>
      <c r="N692" s="379">
        <v>0</v>
      </c>
      <c r="O692" s="379">
        <v>0</v>
      </c>
      <c r="P692" s="145">
        <v>50000</v>
      </c>
      <c r="Q692" s="169">
        <v>0</v>
      </c>
      <c r="R692" s="145">
        <v>50000</v>
      </c>
      <c r="S692" s="159">
        <v>0</v>
      </c>
      <c r="T692" s="159">
        <v>0</v>
      </c>
    </row>
    <row r="693" spans="1:20" ht="24" customHeight="1">
      <c r="A693" s="247" t="s">
        <v>354</v>
      </c>
      <c r="B693" s="183"/>
      <c r="C693" s="183"/>
      <c r="D693" s="247" t="s">
        <v>252</v>
      </c>
      <c r="E693" s="250"/>
      <c r="F693" s="250"/>
      <c r="G693" s="250"/>
      <c r="H693" s="250"/>
      <c r="I693" s="250"/>
      <c r="J693" s="250"/>
      <c r="K693" s="262"/>
      <c r="L693" s="192">
        <v>59015</v>
      </c>
      <c r="M693" s="192">
        <v>59015</v>
      </c>
      <c r="N693" s="144">
        <v>59015</v>
      </c>
      <c r="O693" s="141">
        <v>25532</v>
      </c>
      <c r="P693" s="140">
        <v>22488</v>
      </c>
      <c r="Q693" s="140">
        <v>22488</v>
      </c>
      <c r="R693" s="140">
        <v>22488</v>
      </c>
      <c r="S693" s="190">
        <v>9370</v>
      </c>
      <c r="T693" s="190">
        <v>0</v>
      </c>
    </row>
    <row r="694" spans="1:20" ht="24" customHeight="1">
      <c r="A694" s="247" t="s">
        <v>355</v>
      </c>
      <c r="B694" s="183"/>
      <c r="C694" s="183"/>
      <c r="D694" s="247" t="s">
        <v>356</v>
      </c>
      <c r="E694" s="183"/>
      <c r="F694" s="183"/>
      <c r="G694" s="183"/>
      <c r="H694" s="183"/>
      <c r="I694" s="183"/>
      <c r="J694" s="183"/>
      <c r="K694" s="183"/>
      <c r="L694" s="192">
        <v>33872</v>
      </c>
      <c r="M694" s="192">
        <v>34888</v>
      </c>
      <c r="N694" s="144">
        <v>35938</v>
      </c>
      <c r="O694" s="144">
        <v>35938</v>
      </c>
      <c r="P694" s="143">
        <v>30721</v>
      </c>
      <c r="Q694" s="143">
        <v>0</v>
      </c>
      <c r="R694" s="143">
        <v>0</v>
      </c>
      <c r="S694" s="143">
        <v>0</v>
      </c>
      <c r="T694" s="143">
        <v>0</v>
      </c>
    </row>
    <row r="695" spans="1:20" ht="24" customHeight="1">
      <c r="A695" s="251" t="s">
        <v>357</v>
      </c>
      <c r="B695" s="251"/>
      <c r="C695" s="251"/>
      <c r="D695" s="251"/>
      <c r="E695" s="251"/>
      <c r="F695" s="251"/>
      <c r="G695" s="251"/>
      <c r="H695" s="251"/>
      <c r="I695" s="251"/>
      <c r="J695" s="251"/>
      <c r="K695" s="251"/>
      <c r="L695" s="201"/>
      <c r="M695" s="201"/>
      <c r="N695" s="155"/>
      <c r="O695" s="155"/>
      <c r="P695" s="154"/>
      <c r="Q695" s="154"/>
      <c r="R695" s="154"/>
      <c r="S695" s="154"/>
      <c r="T695" s="154"/>
    </row>
    <row r="696" spans="1:20" ht="24" customHeight="1">
      <c r="A696" s="247" t="s">
        <v>358</v>
      </c>
      <c r="B696" s="248"/>
      <c r="C696" s="248"/>
      <c r="D696" s="247" t="s">
        <v>879</v>
      </c>
      <c r="E696" s="248"/>
      <c r="F696" s="248"/>
      <c r="G696" s="248"/>
      <c r="H696" s="248"/>
      <c r="I696" s="248"/>
      <c r="J696" s="248"/>
      <c r="K696" s="248"/>
      <c r="L696" s="192">
        <v>410000</v>
      </c>
      <c r="M696" s="192">
        <v>435000</v>
      </c>
      <c r="N696" s="144">
        <v>455000</v>
      </c>
      <c r="O696" s="144">
        <v>455000</v>
      </c>
      <c r="P696" s="143">
        <v>0</v>
      </c>
      <c r="Q696" s="143">
        <v>0</v>
      </c>
      <c r="R696" s="143">
        <v>0</v>
      </c>
      <c r="S696" s="143">
        <v>0</v>
      </c>
      <c r="T696" s="143">
        <v>0</v>
      </c>
    </row>
    <row r="697" spans="1:20" ht="24" customHeight="1">
      <c r="A697" s="247" t="s">
        <v>359</v>
      </c>
      <c r="B697" s="248"/>
      <c r="C697" s="248"/>
      <c r="D697" s="247" t="s">
        <v>931</v>
      </c>
      <c r="E697" s="248"/>
      <c r="F697" s="248"/>
      <c r="G697" s="248"/>
      <c r="H697" s="248"/>
      <c r="I697" s="248"/>
      <c r="J697" s="248"/>
      <c r="K697" s="248"/>
      <c r="L697" s="194">
        <v>52000</v>
      </c>
      <c r="M697" s="194">
        <v>35600</v>
      </c>
      <c r="N697" s="144">
        <v>18200</v>
      </c>
      <c r="O697" s="144">
        <v>18200</v>
      </c>
      <c r="P697" s="143">
        <v>0</v>
      </c>
      <c r="Q697" s="143">
        <v>0</v>
      </c>
      <c r="R697" s="143">
        <v>0</v>
      </c>
      <c r="S697" s="143">
        <v>0</v>
      </c>
      <c r="T697" s="143">
        <v>0</v>
      </c>
    </row>
    <row r="698" spans="1:20" ht="24" customHeight="1">
      <c r="A698" s="251" t="s">
        <v>928</v>
      </c>
      <c r="B698" s="251"/>
      <c r="C698" s="251"/>
      <c r="D698" s="251"/>
      <c r="E698" s="251"/>
      <c r="F698" s="251"/>
      <c r="G698" s="251"/>
      <c r="H698" s="251"/>
      <c r="I698" s="251"/>
      <c r="J698" s="251"/>
      <c r="K698" s="251"/>
      <c r="L698" s="201"/>
      <c r="M698" s="201"/>
      <c r="N698" s="155"/>
      <c r="O698" s="155"/>
      <c r="P698" s="154"/>
      <c r="Q698" s="154"/>
      <c r="R698" s="154"/>
      <c r="S698" s="154"/>
      <c r="T698" s="154"/>
    </row>
    <row r="699" spans="1:20" ht="24" customHeight="1">
      <c r="A699" s="247" t="s">
        <v>360</v>
      </c>
      <c r="B699" s="248"/>
      <c r="C699" s="248"/>
      <c r="D699" s="247" t="s">
        <v>879</v>
      </c>
      <c r="E699" s="248"/>
      <c r="F699" s="248"/>
      <c r="G699" s="248"/>
      <c r="H699" s="248"/>
      <c r="I699" s="248"/>
      <c r="J699" s="248"/>
      <c r="K699" s="248"/>
      <c r="L699" s="192">
        <v>115000</v>
      </c>
      <c r="M699" s="192">
        <v>120000</v>
      </c>
      <c r="N699" s="144">
        <v>130000</v>
      </c>
      <c r="O699" s="144">
        <v>130000</v>
      </c>
      <c r="P699" s="143">
        <v>135000</v>
      </c>
      <c r="Q699" s="143">
        <v>140000</v>
      </c>
      <c r="R699" s="143">
        <v>150000</v>
      </c>
      <c r="S699" s="143">
        <v>155000</v>
      </c>
      <c r="T699" s="143">
        <v>0</v>
      </c>
    </row>
    <row r="700" spans="1:20" ht="24" customHeight="1">
      <c r="A700" s="247" t="s">
        <v>361</v>
      </c>
      <c r="B700" s="248"/>
      <c r="C700" s="248"/>
      <c r="D700" s="247" t="s">
        <v>931</v>
      </c>
      <c r="E700" s="248"/>
      <c r="F700" s="248"/>
      <c r="G700" s="248"/>
      <c r="H700" s="248"/>
      <c r="I700" s="248"/>
      <c r="J700" s="248"/>
      <c r="K700" s="248"/>
      <c r="L700" s="194">
        <v>47755</v>
      </c>
      <c r="M700" s="194">
        <v>42293</v>
      </c>
      <c r="N700" s="144">
        <v>36233</v>
      </c>
      <c r="O700" s="144">
        <v>36233</v>
      </c>
      <c r="P700" s="143">
        <v>29668</v>
      </c>
      <c r="Q700" s="143">
        <v>22850</v>
      </c>
      <c r="R700" s="143">
        <v>15710</v>
      </c>
      <c r="S700" s="143">
        <v>8060</v>
      </c>
      <c r="T700" s="143">
        <v>0</v>
      </c>
    </row>
    <row r="701" spans="1:20" ht="24" customHeight="1">
      <c r="A701" s="251" t="s">
        <v>362</v>
      </c>
      <c r="B701" s="251"/>
      <c r="C701" s="251"/>
      <c r="D701" s="251"/>
      <c r="E701" s="251"/>
      <c r="F701" s="251"/>
      <c r="G701" s="251"/>
      <c r="H701" s="251"/>
      <c r="I701" s="251"/>
      <c r="J701" s="251"/>
      <c r="K701" s="251"/>
      <c r="L701" s="201"/>
      <c r="M701" s="201"/>
      <c r="N701" s="155"/>
      <c r="O701" s="155"/>
      <c r="P701" s="154"/>
      <c r="Q701" s="154"/>
      <c r="R701" s="154"/>
      <c r="S701" s="154"/>
      <c r="T701" s="154"/>
    </row>
    <row r="702" spans="1:20" ht="24" customHeight="1">
      <c r="A702" s="247" t="s">
        <v>765</v>
      </c>
      <c r="B702" s="248"/>
      <c r="C702" s="248"/>
      <c r="D702" s="247" t="s">
        <v>879</v>
      </c>
      <c r="E702" s="248"/>
      <c r="F702" s="248"/>
      <c r="G702" s="248"/>
      <c r="H702" s="248"/>
      <c r="I702" s="248"/>
      <c r="J702" s="248"/>
      <c r="K702" s="248"/>
      <c r="L702" s="192">
        <v>745000</v>
      </c>
      <c r="M702" s="192">
        <v>780000</v>
      </c>
      <c r="N702" s="144">
        <v>810000</v>
      </c>
      <c r="O702" s="144">
        <v>810000</v>
      </c>
      <c r="P702" s="143">
        <v>845000</v>
      </c>
      <c r="Q702" s="143">
        <v>885000</v>
      </c>
      <c r="R702" s="143">
        <v>920000</v>
      </c>
      <c r="S702" s="143">
        <v>960000</v>
      </c>
      <c r="T702" s="143">
        <v>1000000</v>
      </c>
    </row>
    <row r="703" spans="1:20" ht="24" customHeight="1">
      <c r="A703" s="247" t="s">
        <v>766</v>
      </c>
      <c r="B703" s="248"/>
      <c r="C703" s="248"/>
      <c r="D703" s="247" t="s">
        <v>931</v>
      </c>
      <c r="E703" s="248"/>
      <c r="F703" s="248"/>
      <c r="G703" s="248"/>
      <c r="H703" s="248"/>
      <c r="I703" s="248"/>
      <c r="J703" s="248"/>
      <c r="K703" s="248"/>
      <c r="L703" s="194">
        <v>389052</v>
      </c>
      <c r="M703" s="194">
        <v>357166</v>
      </c>
      <c r="N703" s="147">
        <v>323782</v>
      </c>
      <c r="O703" s="147">
        <v>323782</v>
      </c>
      <c r="P703" s="146">
        <v>289114</v>
      </c>
      <c r="Q703" s="146">
        <v>252948</v>
      </c>
      <c r="R703" s="146">
        <v>215070</v>
      </c>
      <c r="S703" s="146">
        <v>175964</v>
      </c>
      <c r="T703" s="146">
        <v>134606</v>
      </c>
    </row>
    <row r="704" spans="1:20" ht="24" customHeight="1">
      <c r="A704" s="251" t="s">
        <v>363</v>
      </c>
      <c r="B704" s="251"/>
      <c r="C704" s="251"/>
      <c r="D704" s="251"/>
      <c r="E704" s="251"/>
      <c r="F704" s="251"/>
      <c r="G704" s="251"/>
      <c r="H704" s="251"/>
      <c r="I704" s="251"/>
      <c r="J704" s="251"/>
      <c r="K704" s="251"/>
      <c r="L704" s="201"/>
      <c r="M704" s="201"/>
      <c r="N704" s="155"/>
      <c r="O704" s="155"/>
      <c r="P704" s="154"/>
      <c r="Q704" s="154"/>
      <c r="R704" s="154"/>
      <c r="S704" s="154"/>
      <c r="T704" s="154"/>
    </row>
    <row r="705" spans="1:21" ht="24" customHeight="1">
      <c r="A705" s="247" t="s">
        <v>364</v>
      </c>
      <c r="B705" s="248"/>
      <c r="C705" s="248"/>
      <c r="D705" s="247" t="s">
        <v>879</v>
      </c>
      <c r="E705" s="248"/>
      <c r="F705" s="248"/>
      <c r="G705" s="248"/>
      <c r="H705" s="248"/>
      <c r="I705" s="248"/>
      <c r="J705" s="248"/>
      <c r="K705" s="248"/>
      <c r="L705" s="192">
        <v>98353</v>
      </c>
      <c r="M705" s="192">
        <v>100952</v>
      </c>
      <c r="N705" s="144">
        <v>103619</v>
      </c>
      <c r="O705" s="144">
        <v>103619</v>
      </c>
      <c r="P705" s="143">
        <v>52832</v>
      </c>
      <c r="Q705" s="143">
        <v>0</v>
      </c>
      <c r="R705" s="143">
        <v>0</v>
      </c>
      <c r="S705" s="143">
        <v>0</v>
      </c>
      <c r="T705" s="143">
        <v>0</v>
      </c>
    </row>
    <row r="706" spans="1:21" ht="24" customHeight="1">
      <c r="A706" s="247" t="s">
        <v>365</v>
      </c>
      <c r="B706" s="248"/>
      <c r="C706" s="248"/>
      <c r="D706" s="247" t="s">
        <v>931</v>
      </c>
      <c r="E706" s="248"/>
      <c r="F706" s="248"/>
      <c r="G706" s="248"/>
      <c r="H706" s="248"/>
      <c r="I706" s="248"/>
      <c r="J706" s="248"/>
      <c r="K706" s="248"/>
      <c r="L706" s="194">
        <v>8697</v>
      </c>
      <c r="M706" s="194">
        <v>6099</v>
      </c>
      <c r="N706" s="144">
        <v>3431</v>
      </c>
      <c r="O706" s="144">
        <v>3431</v>
      </c>
      <c r="P706" s="143">
        <v>693</v>
      </c>
      <c r="Q706" s="143">
        <v>0</v>
      </c>
      <c r="R706" s="143">
        <v>0</v>
      </c>
      <c r="S706" s="143">
        <v>0</v>
      </c>
      <c r="T706" s="143">
        <v>0</v>
      </c>
    </row>
    <row r="707" spans="1:21" ht="24" customHeight="1">
      <c r="A707" s="247" t="s">
        <v>770</v>
      </c>
      <c r="B707" s="248"/>
      <c r="C707" s="248"/>
      <c r="D707" s="247" t="s">
        <v>199</v>
      </c>
      <c r="E707" s="248"/>
      <c r="F707" s="248"/>
      <c r="G707" s="248"/>
      <c r="H707" s="248"/>
      <c r="I707" s="248"/>
      <c r="J707" s="248"/>
      <c r="K707" s="248"/>
      <c r="L707" s="210">
        <v>75075</v>
      </c>
      <c r="M707" s="210">
        <v>73875</v>
      </c>
      <c r="N707" s="168">
        <v>77675</v>
      </c>
      <c r="O707" s="168">
        <v>77675</v>
      </c>
      <c r="P707" s="167">
        <v>73875</v>
      </c>
      <c r="Q707" s="167">
        <v>75125</v>
      </c>
      <c r="R707" s="167">
        <v>75675</v>
      </c>
      <c r="S707" s="167">
        <v>73650</v>
      </c>
      <c r="T707" s="167">
        <v>74125</v>
      </c>
    </row>
    <row r="708" spans="1:21" ht="15" customHeight="1">
      <c r="A708" s="247"/>
      <c r="B708" s="183"/>
      <c r="C708" s="183"/>
      <c r="D708" s="247"/>
      <c r="E708" s="183"/>
      <c r="F708" s="183"/>
      <c r="G708" s="183"/>
      <c r="H708" s="183"/>
      <c r="I708" s="183"/>
      <c r="J708" s="183"/>
      <c r="K708" s="183"/>
      <c r="L708" s="199"/>
      <c r="M708" s="199"/>
      <c r="N708" s="155"/>
      <c r="O708" s="155"/>
      <c r="P708" s="154"/>
      <c r="Q708" s="154"/>
      <c r="R708" s="154"/>
      <c r="S708" s="154"/>
      <c r="T708" s="154"/>
    </row>
    <row r="709" spans="1:21" s="183" customFormat="1" ht="24" customHeight="1">
      <c r="K709" s="251" t="s">
        <v>459</v>
      </c>
      <c r="L709" s="201">
        <f t="shared" ref="L709:T709" si="44">SUM(L649:L707)</f>
        <v>2731226</v>
      </c>
      <c r="M709" s="201">
        <f t="shared" si="44"/>
        <v>2816811</v>
      </c>
      <c r="N709" s="202">
        <f t="shared" si="44"/>
        <v>3050254</v>
      </c>
      <c r="O709" s="202">
        <f t="shared" si="44"/>
        <v>2741983</v>
      </c>
      <c r="P709" s="201">
        <f t="shared" si="44"/>
        <v>2538097</v>
      </c>
      <c r="Q709" s="201">
        <f t="shared" si="44"/>
        <v>2413499</v>
      </c>
      <c r="R709" s="201">
        <f t="shared" si="44"/>
        <v>2503918</v>
      </c>
      <c r="S709" s="201">
        <f t="shared" si="44"/>
        <v>2534903</v>
      </c>
      <c r="T709" s="201">
        <f t="shared" si="44"/>
        <v>2168500</v>
      </c>
      <c r="U709" s="64"/>
    </row>
    <row r="710" spans="1:21" s="183" customFormat="1" ht="15" customHeight="1">
      <c r="L710" s="218"/>
      <c r="M710" s="218"/>
      <c r="N710" s="219"/>
      <c r="O710" s="219"/>
      <c r="P710" s="218"/>
      <c r="Q710" s="218"/>
      <c r="R710" s="218"/>
      <c r="S710" s="218"/>
      <c r="T710" s="218"/>
      <c r="U710" s="64"/>
    </row>
    <row r="711" spans="1:21" s="183" customFormat="1" ht="24" customHeight="1">
      <c r="K711" s="251" t="s">
        <v>458</v>
      </c>
      <c r="L711" s="218">
        <f t="shared" ref="L711:T711" si="45">L646-L709</f>
        <v>-192843</v>
      </c>
      <c r="M711" s="218">
        <f t="shared" si="45"/>
        <v>33021</v>
      </c>
      <c r="N711" s="219">
        <f t="shared" si="45"/>
        <v>-633763</v>
      </c>
      <c r="O711" s="219">
        <f t="shared" si="45"/>
        <v>-338057</v>
      </c>
      <c r="P711" s="218">
        <f t="shared" si="45"/>
        <v>-388418</v>
      </c>
      <c r="Q711" s="218">
        <f t="shared" si="45"/>
        <v>-224868</v>
      </c>
      <c r="R711" s="218">
        <f t="shared" si="45"/>
        <v>129063</v>
      </c>
      <c r="S711" s="218">
        <f t="shared" si="45"/>
        <v>273524</v>
      </c>
      <c r="T711" s="218">
        <f t="shared" si="45"/>
        <v>682531</v>
      </c>
      <c r="U711" s="64"/>
    </row>
    <row r="712" spans="1:21" s="183" customFormat="1" ht="15" customHeight="1">
      <c r="L712" s="218"/>
      <c r="M712" s="218"/>
      <c r="N712" s="219"/>
      <c r="O712" s="219"/>
      <c r="P712" s="218"/>
      <c r="Q712" s="218"/>
      <c r="R712" s="218"/>
      <c r="S712" s="218"/>
      <c r="T712" s="218"/>
      <c r="U712" s="64"/>
    </row>
    <row r="713" spans="1:21" s="183" customFormat="1" ht="24" customHeight="1">
      <c r="J713" s="256" t="s">
        <v>465</v>
      </c>
      <c r="L713" s="218">
        <v>1378030</v>
      </c>
      <c r="M713" s="218">
        <v>1411053</v>
      </c>
      <c r="N713" s="219">
        <v>705765</v>
      </c>
      <c r="O713" s="219">
        <f>M713+O711</f>
        <v>1072996</v>
      </c>
      <c r="P713" s="218">
        <f>O713+P711</f>
        <v>684578</v>
      </c>
      <c r="Q713" s="218">
        <f>P713+Q711</f>
        <v>459710</v>
      </c>
      <c r="R713" s="218">
        <f>Q713+R711</f>
        <v>588773</v>
      </c>
      <c r="S713" s="218">
        <f>R713+S711</f>
        <v>862297</v>
      </c>
      <c r="T713" s="218">
        <f>S713+T711</f>
        <v>1544828</v>
      </c>
      <c r="U713" s="64"/>
    </row>
    <row r="714" spans="1:21" s="260" customFormat="1" ht="24" customHeight="1">
      <c r="L714" s="220">
        <f t="shared" ref="L714:T714" si="46">L713/L709</f>
        <v>0.50454630997215166</v>
      </c>
      <c r="M714" s="220">
        <f t="shared" si="46"/>
        <v>0.50093989266585515</v>
      </c>
      <c r="N714" s="221">
        <f t="shared" si="46"/>
        <v>0.23137909170842821</v>
      </c>
      <c r="O714" s="221">
        <f t="shared" si="46"/>
        <v>0.39132117157546198</v>
      </c>
      <c r="P714" s="220">
        <f t="shared" si="46"/>
        <v>0.26972097599106731</v>
      </c>
      <c r="Q714" s="220">
        <f t="shared" si="46"/>
        <v>0.1904744936708074</v>
      </c>
      <c r="R714" s="220">
        <f t="shared" si="46"/>
        <v>0.23514068751452724</v>
      </c>
      <c r="S714" s="220">
        <f t="shared" si="46"/>
        <v>0.34016962384753974</v>
      </c>
      <c r="T714" s="220">
        <f t="shared" si="46"/>
        <v>0.7123947429098455</v>
      </c>
      <c r="U714" s="386"/>
    </row>
    <row r="715" spans="1:21" s="257" customFormat="1" ht="15" customHeight="1">
      <c r="A715" s="183"/>
      <c r="B715" s="183"/>
      <c r="C715" s="183"/>
      <c r="D715" s="183"/>
      <c r="E715" s="183"/>
      <c r="F715" s="183"/>
      <c r="G715" s="183"/>
      <c r="H715" s="183"/>
      <c r="I715" s="183"/>
      <c r="J715" s="183"/>
      <c r="K715" s="256"/>
      <c r="L715" s="303"/>
      <c r="M715" s="303"/>
      <c r="N715" s="308"/>
      <c r="O715" s="308"/>
      <c r="P715" s="309"/>
      <c r="Q715" s="309"/>
      <c r="R715" s="309"/>
      <c r="S715" s="309"/>
      <c r="T715" s="309"/>
      <c r="U715" s="352"/>
    </row>
    <row r="716" spans="1:21" ht="15" customHeight="1">
      <c r="A716" s="183"/>
      <c r="B716" s="183"/>
      <c r="C716" s="183"/>
      <c r="D716" s="183"/>
      <c r="E716" s="183"/>
      <c r="F716" s="183"/>
      <c r="G716" s="183"/>
      <c r="H716" s="183"/>
      <c r="I716" s="183"/>
      <c r="J716" s="183"/>
      <c r="K716" s="183"/>
      <c r="L716" s="302"/>
      <c r="M716" s="302"/>
      <c r="N716" s="306"/>
      <c r="O716" s="306"/>
      <c r="P716" s="307"/>
      <c r="Q716" s="307"/>
      <c r="R716" s="307"/>
      <c r="S716" s="307"/>
      <c r="T716" s="307"/>
    </row>
    <row r="717" spans="1:21" ht="15" customHeight="1">
      <c r="A717" s="438"/>
      <c r="B717" s="438"/>
      <c r="C717" s="438"/>
      <c r="D717" s="438"/>
      <c r="E717" s="438"/>
      <c r="F717" s="438"/>
      <c r="G717" s="438"/>
      <c r="H717" s="438"/>
      <c r="I717" s="438"/>
      <c r="J717" s="438"/>
      <c r="K717" s="438"/>
      <c r="L717" s="302"/>
      <c r="M717" s="302"/>
      <c r="N717" s="306"/>
      <c r="O717" s="306"/>
      <c r="P717" s="307"/>
      <c r="Q717" s="307"/>
      <c r="R717" s="307"/>
      <c r="S717" s="307"/>
      <c r="T717" s="307"/>
    </row>
    <row r="718" spans="1:21" ht="24" customHeight="1">
      <c r="A718" s="258" t="s">
        <v>471</v>
      </c>
      <c r="B718" s="183"/>
      <c r="C718" s="183"/>
      <c r="D718" s="183"/>
      <c r="E718" s="183"/>
      <c r="F718" s="183"/>
      <c r="G718" s="183"/>
      <c r="H718" s="183"/>
      <c r="I718" s="183"/>
      <c r="J718" s="183"/>
      <c r="K718" s="183"/>
      <c r="L718" s="245"/>
      <c r="M718" s="245"/>
      <c r="N718" s="300"/>
      <c r="O718" s="300"/>
      <c r="P718" s="301"/>
      <c r="Q718" s="301"/>
      <c r="R718" s="301"/>
      <c r="S718" s="301"/>
      <c r="T718" s="301"/>
    </row>
    <row r="719" spans="1:21" ht="15" customHeight="1">
      <c r="A719" s="183"/>
      <c r="B719" s="183"/>
      <c r="C719" s="183"/>
      <c r="D719" s="183"/>
      <c r="E719" s="183"/>
      <c r="F719" s="183"/>
      <c r="G719" s="183"/>
      <c r="H719" s="183"/>
      <c r="I719" s="183"/>
      <c r="J719" s="183"/>
      <c r="K719" s="183"/>
      <c r="L719" s="245"/>
      <c r="M719" s="245"/>
      <c r="N719" s="300"/>
      <c r="O719" s="300"/>
      <c r="P719" s="301"/>
      <c r="Q719" s="301"/>
      <c r="R719" s="301"/>
      <c r="S719" s="301"/>
      <c r="T719" s="301"/>
    </row>
    <row r="720" spans="1:21" ht="24" customHeight="1">
      <c r="A720" s="247" t="s">
        <v>570</v>
      </c>
      <c r="B720" s="248"/>
      <c r="C720" s="248"/>
      <c r="D720" s="266" t="s">
        <v>1044</v>
      </c>
      <c r="E720" s="248"/>
      <c r="F720" s="248"/>
      <c r="G720" s="248"/>
      <c r="H720" s="248"/>
      <c r="I720" s="248"/>
      <c r="J720" s="248"/>
      <c r="K720" s="248"/>
      <c r="L720" s="193">
        <v>5514</v>
      </c>
      <c r="M720" s="193">
        <v>0</v>
      </c>
      <c r="N720" s="148">
        <v>312671</v>
      </c>
      <c r="O720" s="148">
        <v>312671</v>
      </c>
      <c r="P720" s="145">
        <v>0</v>
      </c>
      <c r="Q720" s="145">
        <v>0</v>
      </c>
      <c r="R720" s="145">
        <v>0</v>
      </c>
      <c r="S720" s="145">
        <v>0</v>
      </c>
      <c r="T720" s="145">
        <v>0</v>
      </c>
    </row>
    <row r="721" spans="1:20" ht="24" customHeight="1">
      <c r="A721" s="247" t="s">
        <v>1042</v>
      </c>
      <c r="B721" s="248"/>
      <c r="C721" s="248"/>
      <c r="D721" s="266" t="s">
        <v>1043</v>
      </c>
      <c r="E721" s="248"/>
      <c r="F721" s="248"/>
      <c r="G721" s="248"/>
      <c r="H721" s="248"/>
      <c r="I721" s="248"/>
      <c r="J721" s="248"/>
      <c r="K721" s="248"/>
      <c r="L721" s="193">
        <v>10197</v>
      </c>
      <c r="M721" s="193">
        <v>0</v>
      </c>
      <c r="N721" s="148">
        <v>389803</v>
      </c>
      <c r="O721" s="148">
        <v>389803</v>
      </c>
      <c r="P721" s="145">
        <v>0</v>
      </c>
      <c r="Q721" s="145">
        <v>0</v>
      </c>
      <c r="R721" s="145">
        <v>0</v>
      </c>
      <c r="S721" s="145">
        <v>0</v>
      </c>
      <c r="T721" s="145">
        <v>0</v>
      </c>
    </row>
    <row r="722" spans="1:20" ht="24" customHeight="1">
      <c r="A722" s="247" t="s">
        <v>966</v>
      </c>
      <c r="B722" s="248"/>
      <c r="C722" s="248"/>
      <c r="D722" s="247" t="s">
        <v>781</v>
      </c>
      <c r="E722" s="248"/>
      <c r="F722" s="248"/>
      <c r="G722" s="248"/>
      <c r="H722" s="248"/>
      <c r="I722" s="248"/>
      <c r="J722" s="248"/>
      <c r="K722" s="248"/>
      <c r="L722" s="193">
        <v>1103</v>
      </c>
      <c r="M722" s="193">
        <v>1505</v>
      </c>
      <c r="N722" s="148">
        <v>0</v>
      </c>
      <c r="O722" s="148">
        <v>0</v>
      </c>
      <c r="P722" s="145">
        <v>0</v>
      </c>
      <c r="Q722" s="145">
        <v>0</v>
      </c>
      <c r="R722" s="145">
        <v>0</v>
      </c>
      <c r="S722" s="145">
        <v>0</v>
      </c>
      <c r="T722" s="145">
        <v>0</v>
      </c>
    </row>
    <row r="723" spans="1:20" ht="24" customHeight="1">
      <c r="A723" s="247" t="s">
        <v>1039</v>
      </c>
      <c r="B723" s="248"/>
      <c r="C723" s="248"/>
      <c r="D723" s="248" t="s">
        <v>1110</v>
      </c>
      <c r="E723" s="248"/>
      <c r="F723" s="248"/>
      <c r="G723" s="248"/>
      <c r="H723" s="248"/>
      <c r="I723" s="248"/>
      <c r="J723" s="248"/>
      <c r="K723" s="248"/>
      <c r="L723" s="193">
        <v>63796</v>
      </c>
      <c r="M723" s="193">
        <v>5701</v>
      </c>
      <c r="N723" s="148">
        <v>0</v>
      </c>
      <c r="O723" s="148">
        <v>0</v>
      </c>
      <c r="P723" s="145">
        <v>0</v>
      </c>
      <c r="Q723" s="145">
        <v>0</v>
      </c>
      <c r="R723" s="145">
        <v>0</v>
      </c>
      <c r="S723" s="145">
        <v>0</v>
      </c>
      <c r="T723" s="145">
        <v>0</v>
      </c>
    </row>
    <row r="724" spans="1:20" ht="24" customHeight="1">
      <c r="A724" s="183" t="s">
        <v>1335</v>
      </c>
      <c r="B724" s="248"/>
      <c r="C724" s="248"/>
      <c r="D724" s="248" t="s">
        <v>1336</v>
      </c>
      <c r="E724" s="248"/>
      <c r="F724" s="248"/>
      <c r="G724" s="248"/>
      <c r="H724" s="248"/>
      <c r="I724" s="248"/>
      <c r="J724" s="248"/>
      <c r="K724" s="248"/>
      <c r="L724" s="193">
        <v>0</v>
      </c>
      <c r="M724" s="193">
        <v>0</v>
      </c>
      <c r="N724" s="148">
        <v>0</v>
      </c>
      <c r="O724" s="148">
        <v>0</v>
      </c>
      <c r="P724" s="145">
        <v>0</v>
      </c>
      <c r="Q724" s="145">
        <v>0</v>
      </c>
      <c r="R724" s="145">
        <v>0</v>
      </c>
      <c r="S724" s="145">
        <v>0</v>
      </c>
      <c r="T724" s="145">
        <v>0</v>
      </c>
    </row>
    <row r="725" spans="1:20" ht="24" customHeight="1">
      <c r="A725" s="183" t="s">
        <v>366</v>
      </c>
      <c r="B725" s="183"/>
      <c r="C725" s="183"/>
      <c r="D725" s="183" t="s">
        <v>367</v>
      </c>
      <c r="E725" s="183"/>
      <c r="F725" s="183"/>
      <c r="G725" s="183"/>
      <c r="H725" s="183"/>
      <c r="I725" s="183"/>
      <c r="J725" s="183"/>
      <c r="K725" s="183"/>
      <c r="L725" s="194">
        <v>27690</v>
      </c>
      <c r="M725" s="194">
        <v>0</v>
      </c>
      <c r="N725" s="147">
        <v>0</v>
      </c>
      <c r="O725" s="147">
        <v>0</v>
      </c>
      <c r="P725" s="146">
        <v>6606</v>
      </c>
      <c r="Q725" s="146">
        <v>0</v>
      </c>
      <c r="R725" s="146">
        <v>0</v>
      </c>
      <c r="S725" s="146">
        <v>0</v>
      </c>
      <c r="T725" s="146">
        <v>0</v>
      </c>
    </row>
    <row r="726" spans="1:20" ht="24" customHeight="1">
      <c r="A726" s="183" t="s">
        <v>368</v>
      </c>
      <c r="B726" s="183"/>
      <c r="C726" s="183"/>
      <c r="D726" s="183" t="s">
        <v>369</v>
      </c>
      <c r="E726" s="183"/>
      <c r="F726" s="183"/>
      <c r="G726" s="183"/>
      <c r="H726" s="183"/>
      <c r="I726" s="183"/>
      <c r="J726" s="183"/>
      <c r="K726" s="183"/>
      <c r="L726" s="194">
        <v>7955</v>
      </c>
      <c r="M726" s="194">
        <v>17614</v>
      </c>
      <c r="N726" s="147">
        <v>0</v>
      </c>
      <c r="O726" s="147">
        <v>9091</v>
      </c>
      <c r="P726" s="146">
        <v>15909</v>
      </c>
      <c r="Q726" s="146">
        <v>0</v>
      </c>
      <c r="R726" s="146">
        <v>0</v>
      </c>
      <c r="S726" s="146">
        <v>0</v>
      </c>
      <c r="T726" s="146">
        <v>0</v>
      </c>
    </row>
    <row r="727" spans="1:20" ht="24" customHeight="1">
      <c r="A727" s="183" t="s">
        <v>1177</v>
      </c>
      <c r="B727" s="183"/>
      <c r="C727" s="183"/>
      <c r="D727" s="183" t="s">
        <v>1178</v>
      </c>
      <c r="E727" s="183"/>
      <c r="F727" s="183"/>
      <c r="G727" s="183"/>
      <c r="H727" s="183"/>
      <c r="I727" s="183"/>
      <c r="J727" s="183"/>
      <c r="K727" s="183"/>
      <c r="L727" s="193">
        <v>2013</v>
      </c>
      <c r="M727" s="193">
        <v>39261</v>
      </c>
      <c r="N727" s="148">
        <v>11639</v>
      </c>
      <c r="O727" s="148">
        <v>35000</v>
      </c>
      <c r="P727" s="145">
        <v>16341</v>
      </c>
      <c r="Q727" s="145">
        <v>0</v>
      </c>
      <c r="R727" s="145">
        <v>0</v>
      </c>
      <c r="S727" s="145">
        <v>0</v>
      </c>
      <c r="T727" s="145">
        <v>0</v>
      </c>
    </row>
    <row r="728" spans="1:20" ht="24" customHeight="1">
      <c r="A728" s="183" t="s">
        <v>1259</v>
      </c>
      <c r="B728" s="183"/>
      <c r="C728" s="183"/>
      <c r="D728" s="183" t="s">
        <v>1260</v>
      </c>
      <c r="E728" s="183"/>
      <c r="F728" s="183"/>
      <c r="G728" s="183"/>
      <c r="H728" s="183"/>
      <c r="I728" s="183"/>
      <c r="J728" s="183"/>
      <c r="K728" s="183"/>
      <c r="L728" s="193">
        <v>0</v>
      </c>
      <c r="M728" s="193">
        <v>671</v>
      </c>
      <c r="N728" s="148">
        <v>0</v>
      </c>
      <c r="O728" s="148">
        <v>0</v>
      </c>
      <c r="P728" s="145">
        <v>0</v>
      </c>
      <c r="Q728" s="145">
        <v>0</v>
      </c>
      <c r="R728" s="145">
        <v>0</v>
      </c>
      <c r="S728" s="145">
        <v>0</v>
      </c>
      <c r="T728" s="145">
        <v>0</v>
      </c>
    </row>
    <row r="729" spans="1:20" ht="24" customHeight="1">
      <c r="A729" s="183" t="s">
        <v>1104</v>
      </c>
      <c r="B729" s="183"/>
      <c r="C729" s="183"/>
      <c r="D729" s="183" t="s">
        <v>1105</v>
      </c>
      <c r="E729" s="183"/>
      <c r="F729" s="183"/>
      <c r="G729" s="183"/>
      <c r="H729" s="183"/>
      <c r="I729" s="183"/>
      <c r="J729" s="183"/>
      <c r="K729" s="183"/>
      <c r="L729" s="193">
        <v>4614</v>
      </c>
      <c r="M729" s="193">
        <v>6152</v>
      </c>
      <c r="N729" s="148">
        <v>0</v>
      </c>
      <c r="O729" s="148">
        <v>1000</v>
      </c>
      <c r="P729" s="145">
        <v>8000</v>
      </c>
      <c r="Q729" s="145">
        <v>8000</v>
      </c>
      <c r="R729" s="145">
        <v>0</v>
      </c>
      <c r="S729" s="145">
        <v>0</v>
      </c>
      <c r="T729" s="145">
        <v>0</v>
      </c>
    </row>
    <row r="730" spans="1:20" ht="24" customHeight="1">
      <c r="A730" s="183" t="s">
        <v>1261</v>
      </c>
      <c r="B730" s="183"/>
      <c r="C730" s="183"/>
      <c r="D730" s="183" t="s">
        <v>1262</v>
      </c>
      <c r="E730" s="183"/>
      <c r="F730" s="183"/>
      <c r="G730" s="183"/>
      <c r="H730" s="183"/>
      <c r="I730" s="183"/>
      <c r="J730" s="183"/>
      <c r="K730" s="183"/>
      <c r="L730" s="193">
        <v>0</v>
      </c>
      <c r="M730" s="193">
        <v>3213</v>
      </c>
      <c r="N730" s="148">
        <v>0</v>
      </c>
      <c r="O730" s="148">
        <v>0</v>
      </c>
      <c r="P730" s="145">
        <v>0</v>
      </c>
      <c r="Q730" s="145">
        <v>0</v>
      </c>
      <c r="R730" s="145">
        <v>0</v>
      </c>
      <c r="S730" s="145">
        <v>0</v>
      </c>
      <c r="T730" s="145">
        <v>0</v>
      </c>
    </row>
    <row r="731" spans="1:20" ht="24" customHeight="1">
      <c r="A731" s="183" t="s">
        <v>1202</v>
      </c>
      <c r="B731" s="183"/>
      <c r="C731" s="183"/>
      <c r="D731" s="183" t="s">
        <v>1203</v>
      </c>
      <c r="E731" s="183"/>
      <c r="F731" s="183"/>
      <c r="G731" s="183"/>
      <c r="H731" s="183"/>
      <c r="I731" s="183"/>
      <c r="J731" s="183"/>
      <c r="K731" s="183"/>
      <c r="L731" s="193">
        <v>1071</v>
      </c>
      <c r="M731" s="193">
        <v>0</v>
      </c>
      <c r="N731" s="148">
        <v>0</v>
      </c>
      <c r="O731" s="148">
        <v>0</v>
      </c>
      <c r="P731" s="145">
        <v>0</v>
      </c>
      <c r="Q731" s="145">
        <v>0</v>
      </c>
      <c r="R731" s="145">
        <v>0</v>
      </c>
      <c r="S731" s="145">
        <v>0</v>
      </c>
      <c r="T731" s="145">
        <v>0</v>
      </c>
    </row>
    <row r="732" spans="1:20" ht="24" customHeight="1">
      <c r="A732" s="183" t="s">
        <v>1159</v>
      </c>
      <c r="B732" s="183"/>
      <c r="C732" s="183"/>
      <c r="D732" s="183" t="s">
        <v>1160</v>
      </c>
      <c r="E732" s="183"/>
      <c r="F732" s="183"/>
      <c r="G732" s="183"/>
      <c r="H732" s="183"/>
      <c r="I732" s="183"/>
      <c r="J732" s="183"/>
      <c r="K732" s="183"/>
      <c r="L732" s="193">
        <v>0</v>
      </c>
      <c r="M732" s="193">
        <v>0</v>
      </c>
      <c r="N732" s="148">
        <v>0</v>
      </c>
      <c r="O732" s="148">
        <v>97162</v>
      </c>
      <c r="P732" s="145">
        <v>0</v>
      </c>
      <c r="Q732" s="145">
        <v>0</v>
      </c>
      <c r="R732" s="145">
        <v>0</v>
      </c>
      <c r="S732" s="145">
        <v>0</v>
      </c>
      <c r="T732" s="145">
        <v>0</v>
      </c>
    </row>
    <row r="733" spans="1:20" ht="24" customHeight="1">
      <c r="A733" s="183" t="s">
        <v>1179</v>
      </c>
      <c r="B733" s="183"/>
      <c r="C733" s="183"/>
      <c r="D733" s="183" t="s">
        <v>1180</v>
      </c>
      <c r="E733" s="183"/>
      <c r="F733" s="183"/>
      <c r="G733" s="183"/>
      <c r="H733" s="183"/>
      <c r="I733" s="183"/>
      <c r="J733" s="183"/>
      <c r="K733" s="183"/>
      <c r="L733" s="193">
        <v>0</v>
      </c>
      <c r="M733" s="193">
        <v>50000</v>
      </c>
      <c r="N733" s="148">
        <v>0</v>
      </c>
      <c r="O733" s="148">
        <v>10000</v>
      </c>
      <c r="P733" s="145">
        <v>0</v>
      </c>
      <c r="Q733" s="145">
        <v>0</v>
      </c>
      <c r="R733" s="145">
        <v>0</v>
      </c>
      <c r="S733" s="145">
        <v>0</v>
      </c>
      <c r="T733" s="145">
        <v>0</v>
      </c>
    </row>
    <row r="734" spans="1:20" ht="24" customHeight="1">
      <c r="A734" s="183" t="s">
        <v>1316</v>
      </c>
      <c r="B734" s="183"/>
      <c r="C734" s="183"/>
      <c r="D734" s="183" t="s">
        <v>1317</v>
      </c>
      <c r="E734" s="183"/>
      <c r="F734" s="183"/>
      <c r="G734" s="183"/>
      <c r="H734" s="183"/>
      <c r="I734" s="183"/>
      <c r="J734" s="183"/>
      <c r="K734" s="183"/>
      <c r="L734" s="193">
        <v>0</v>
      </c>
      <c r="M734" s="193">
        <v>162</v>
      </c>
      <c r="N734" s="148">
        <v>0</v>
      </c>
      <c r="O734" s="148">
        <v>971</v>
      </c>
      <c r="P734" s="145">
        <v>2024</v>
      </c>
      <c r="Q734" s="145">
        <v>2024</v>
      </c>
      <c r="R734" s="145">
        <v>0</v>
      </c>
      <c r="S734" s="145">
        <v>0</v>
      </c>
      <c r="T734" s="145">
        <v>0</v>
      </c>
    </row>
    <row r="735" spans="1:20" ht="24" customHeight="1">
      <c r="A735" s="183" t="s">
        <v>1331</v>
      </c>
      <c r="B735" s="183"/>
      <c r="C735" s="183"/>
      <c r="D735" s="183" t="s">
        <v>1332</v>
      </c>
      <c r="E735" s="183"/>
      <c r="F735" s="183"/>
      <c r="G735" s="183"/>
      <c r="H735" s="183"/>
      <c r="I735" s="183"/>
      <c r="J735" s="183"/>
      <c r="K735" s="183"/>
      <c r="L735" s="193">
        <v>0</v>
      </c>
      <c r="M735" s="193">
        <v>0</v>
      </c>
      <c r="N735" s="148">
        <v>0</v>
      </c>
      <c r="O735" s="148">
        <v>0</v>
      </c>
      <c r="P735" s="145">
        <v>0</v>
      </c>
      <c r="Q735" s="145">
        <v>0</v>
      </c>
      <c r="R735" s="145">
        <v>0</v>
      </c>
      <c r="S735" s="145">
        <v>0</v>
      </c>
      <c r="T735" s="145">
        <v>28305</v>
      </c>
    </row>
    <row r="736" spans="1:20" ht="24" customHeight="1">
      <c r="A736" s="183" t="s">
        <v>1333</v>
      </c>
      <c r="B736" s="183"/>
      <c r="C736" s="183"/>
      <c r="D736" s="183" t="s">
        <v>1334</v>
      </c>
      <c r="E736" s="183"/>
      <c r="F736" s="183"/>
      <c r="G736" s="183"/>
      <c r="H736" s="183"/>
      <c r="I736" s="183"/>
      <c r="J736" s="183"/>
      <c r="K736" s="183"/>
      <c r="L736" s="193">
        <v>0</v>
      </c>
      <c r="M736" s="193">
        <v>0</v>
      </c>
      <c r="N736" s="148">
        <v>0</v>
      </c>
      <c r="O736" s="148">
        <v>0</v>
      </c>
      <c r="P736" s="145">
        <v>0</v>
      </c>
      <c r="Q736" s="145">
        <v>0</v>
      </c>
      <c r="R736" s="145">
        <v>0</v>
      </c>
      <c r="S736" s="145">
        <v>0</v>
      </c>
      <c r="T736" s="145">
        <v>0</v>
      </c>
    </row>
    <row r="737" spans="1:21" ht="24" customHeight="1">
      <c r="A737" s="183" t="s">
        <v>975</v>
      </c>
      <c r="B737" s="183"/>
      <c r="C737" s="183"/>
      <c r="D737" s="183" t="s">
        <v>976</v>
      </c>
      <c r="E737" s="183"/>
      <c r="F737" s="183"/>
      <c r="G737" s="183"/>
      <c r="H737" s="183"/>
      <c r="I737" s="183"/>
      <c r="J737" s="183"/>
      <c r="K737" s="183"/>
      <c r="L737" s="193">
        <v>4410</v>
      </c>
      <c r="M737" s="193">
        <v>8418</v>
      </c>
      <c r="N737" s="148">
        <v>0</v>
      </c>
      <c r="O737" s="148">
        <v>9555</v>
      </c>
      <c r="P737" s="145">
        <v>9555</v>
      </c>
      <c r="Q737" s="145">
        <v>9555</v>
      </c>
      <c r="R737" s="145">
        <v>0</v>
      </c>
      <c r="S737" s="145">
        <v>0</v>
      </c>
      <c r="T737" s="145">
        <v>0</v>
      </c>
    </row>
    <row r="738" spans="1:21" ht="24" customHeight="1">
      <c r="A738" s="433" t="s">
        <v>1358</v>
      </c>
      <c r="B738" s="433"/>
      <c r="C738" s="433"/>
      <c r="D738" s="433" t="s">
        <v>7</v>
      </c>
      <c r="E738" s="433"/>
      <c r="F738" s="433"/>
      <c r="G738" s="433"/>
      <c r="H738" s="433"/>
      <c r="I738" s="433"/>
      <c r="J738" s="433"/>
      <c r="K738" s="433"/>
      <c r="L738" s="193">
        <v>0</v>
      </c>
      <c r="M738" s="193">
        <v>0</v>
      </c>
      <c r="N738" s="148">
        <v>0</v>
      </c>
      <c r="O738" s="148">
        <v>3406</v>
      </c>
      <c r="P738" s="145">
        <v>0</v>
      </c>
      <c r="Q738" s="145">
        <v>0</v>
      </c>
      <c r="R738" s="145">
        <v>0</v>
      </c>
      <c r="S738" s="145">
        <v>0</v>
      </c>
      <c r="T738" s="145">
        <v>0</v>
      </c>
    </row>
    <row r="739" spans="1:21" ht="24" customHeight="1">
      <c r="A739" s="183" t="s">
        <v>1149</v>
      </c>
      <c r="B739" s="183"/>
      <c r="C739" s="183"/>
      <c r="D739" s="247" t="s">
        <v>930</v>
      </c>
      <c r="E739" s="183"/>
      <c r="F739" s="183"/>
      <c r="G739" s="183"/>
      <c r="H739" s="183"/>
      <c r="I739" s="183"/>
      <c r="J739" s="183"/>
      <c r="K739" s="183"/>
      <c r="L739" s="198">
        <v>2500</v>
      </c>
      <c r="M739" s="198">
        <f>2500+3</f>
        <v>2503</v>
      </c>
      <c r="N739" s="153">
        <v>0</v>
      </c>
      <c r="O739" s="153">
        <v>0</v>
      </c>
      <c r="P739" s="152">
        <v>0</v>
      </c>
      <c r="Q739" s="152">
        <v>0</v>
      </c>
      <c r="R739" s="152">
        <v>0</v>
      </c>
      <c r="S739" s="152">
        <v>0</v>
      </c>
      <c r="T739" s="152">
        <v>0</v>
      </c>
    </row>
    <row r="740" spans="1:21" ht="15" customHeight="1">
      <c r="A740" s="183"/>
      <c r="B740" s="183"/>
      <c r="C740" s="183"/>
      <c r="D740" s="183"/>
      <c r="E740" s="183"/>
      <c r="F740" s="183"/>
      <c r="G740" s="183"/>
      <c r="H740" s="183"/>
      <c r="I740" s="183"/>
      <c r="J740" s="183"/>
      <c r="K740" s="183"/>
      <c r="L740" s="199"/>
      <c r="M740" s="199"/>
      <c r="N740" s="155"/>
      <c r="O740" s="155"/>
      <c r="P740" s="154"/>
      <c r="Q740" s="154"/>
      <c r="R740" s="154"/>
      <c r="S740" s="154"/>
      <c r="T740" s="154"/>
    </row>
    <row r="741" spans="1:21" s="183" customFormat="1" ht="24" customHeight="1">
      <c r="K741" s="251" t="s">
        <v>454</v>
      </c>
      <c r="L741" s="201">
        <f t="shared" ref="L741:T741" si="47">SUM(L720:L740)</f>
        <v>130863</v>
      </c>
      <c r="M741" s="201">
        <f t="shared" si="47"/>
        <v>135200</v>
      </c>
      <c r="N741" s="202">
        <f t="shared" si="47"/>
        <v>714113</v>
      </c>
      <c r="O741" s="202">
        <f t="shared" si="47"/>
        <v>868659</v>
      </c>
      <c r="P741" s="201">
        <f t="shared" si="47"/>
        <v>58435</v>
      </c>
      <c r="Q741" s="201">
        <f t="shared" si="47"/>
        <v>19579</v>
      </c>
      <c r="R741" s="201">
        <f t="shared" si="47"/>
        <v>0</v>
      </c>
      <c r="S741" s="201">
        <f t="shared" si="47"/>
        <v>0</v>
      </c>
      <c r="T741" s="201">
        <f t="shared" si="47"/>
        <v>28305</v>
      </c>
      <c r="U741" s="64"/>
    </row>
    <row r="742" spans="1:21" ht="15" customHeight="1">
      <c r="A742" s="183"/>
      <c r="B742" s="183"/>
      <c r="C742" s="183"/>
      <c r="D742" s="183"/>
      <c r="E742" s="183"/>
      <c r="F742" s="183"/>
      <c r="G742" s="183"/>
      <c r="H742" s="183"/>
      <c r="I742" s="183"/>
      <c r="J742" s="183"/>
      <c r="K742" s="183"/>
      <c r="L742" s="199"/>
      <c r="M742" s="199"/>
      <c r="N742" s="155"/>
      <c r="O742" s="155"/>
      <c r="P742" s="154"/>
      <c r="Q742" s="154"/>
      <c r="R742" s="154"/>
      <c r="S742" s="154"/>
      <c r="T742" s="154"/>
    </row>
    <row r="743" spans="1:21" ht="24" customHeight="1">
      <c r="A743" s="247" t="s">
        <v>969</v>
      </c>
      <c r="B743" s="183"/>
      <c r="C743" s="183"/>
      <c r="D743" s="183" t="s">
        <v>756</v>
      </c>
      <c r="E743" s="183"/>
      <c r="F743" s="183"/>
      <c r="G743" s="248"/>
      <c r="H743" s="248"/>
      <c r="I743" s="248"/>
      <c r="J743" s="248"/>
      <c r="K743" s="248"/>
      <c r="L743" s="190">
        <v>1103</v>
      </c>
      <c r="M743" s="190">
        <v>1505</v>
      </c>
      <c r="N743" s="141">
        <v>0</v>
      </c>
      <c r="O743" s="141">
        <v>0</v>
      </c>
      <c r="P743" s="140">
        <v>0</v>
      </c>
      <c r="Q743" s="140">
        <v>0</v>
      </c>
      <c r="R743" s="140">
        <v>0</v>
      </c>
      <c r="S743" s="140">
        <v>0</v>
      </c>
      <c r="T743" s="140">
        <v>0</v>
      </c>
    </row>
    <row r="744" spans="1:21" ht="24" customHeight="1">
      <c r="A744" s="247" t="s">
        <v>1321</v>
      </c>
      <c r="B744" s="183"/>
      <c r="C744" s="183"/>
      <c r="D744" s="183" t="s">
        <v>85</v>
      </c>
      <c r="E744" s="183"/>
      <c r="F744" s="183"/>
      <c r="G744" s="248"/>
      <c r="H744" s="248"/>
      <c r="I744" s="248"/>
      <c r="J744" s="248"/>
      <c r="K744" s="248"/>
      <c r="L744" s="190">
        <v>0</v>
      </c>
      <c r="M744" s="190">
        <v>0</v>
      </c>
      <c r="N744" s="141">
        <v>0</v>
      </c>
      <c r="O744" s="141">
        <v>4795</v>
      </c>
      <c r="P744" s="140">
        <v>4850</v>
      </c>
      <c r="Q744" s="140">
        <v>4850</v>
      </c>
      <c r="R744" s="140">
        <v>5000</v>
      </c>
      <c r="S744" s="140">
        <v>5000</v>
      </c>
      <c r="T744" s="140">
        <v>5000</v>
      </c>
    </row>
    <row r="745" spans="1:21" ht="24" customHeight="1">
      <c r="A745" s="247" t="s">
        <v>1286</v>
      </c>
      <c r="B745" s="183"/>
      <c r="C745" s="183"/>
      <c r="D745" s="183" t="s">
        <v>1287</v>
      </c>
      <c r="E745" s="183"/>
      <c r="F745" s="183"/>
      <c r="G745" s="248"/>
      <c r="H745" s="248"/>
      <c r="I745" s="248"/>
      <c r="J745" s="248"/>
      <c r="K745" s="248"/>
      <c r="L745" s="190">
        <v>0</v>
      </c>
      <c r="M745" s="190">
        <v>0</v>
      </c>
      <c r="N745" s="141">
        <v>300000</v>
      </c>
      <c r="O745" s="141">
        <v>270000</v>
      </c>
      <c r="P745" s="140">
        <v>0</v>
      </c>
      <c r="Q745" s="140">
        <v>0</v>
      </c>
      <c r="R745" s="140">
        <v>0</v>
      </c>
      <c r="S745" s="140">
        <v>0</v>
      </c>
      <c r="T745" s="140">
        <v>0</v>
      </c>
    </row>
    <row r="746" spans="1:21" ht="24" customHeight="1">
      <c r="A746" s="247" t="s">
        <v>1343</v>
      </c>
      <c r="B746" s="183"/>
      <c r="C746" s="183"/>
      <c r="D746" s="183" t="s">
        <v>1344</v>
      </c>
      <c r="E746" s="183"/>
      <c r="F746" s="183"/>
      <c r="G746" s="248"/>
      <c r="H746" s="248"/>
      <c r="I746" s="248"/>
      <c r="J746" s="248"/>
      <c r="K746" s="248"/>
      <c r="L746" s="190">
        <v>0</v>
      </c>
      <c r="M746" s="190">
        <v>0</v>
      </c>
      <c r="N746" s="141">
        <v>0</v>
      </c>
      <c r="O746" s="141">
        <v>0</v>
      </c>
      <c r="P746" s="140">
        <v>0</v>
      </c>
      <c r="Q746" s="140">
        <v>0</v>
      </c>
      <c r="R746" s="140">
        <v>0</v>
      </c>
      <c r="S746" s="140">
        <v>0</v>
      </c>
      <c r="T746" s="140">
        <v>75000</v>
      </c>
    </row>
    <row r="747" spans="1:21" ht="24" customHeight="1">
      <c r="A747" s="247" t="s">
        <v>1327</v>
      </c>
      <c r="B747" s="183"/>
      <c r="C747" s="183"/>
      <c r="D747" s="183" t="s">
        <v>369</v>
      </c>
      <c r="E747" s="183"/>
      <c r="F747" s="183"/>
      <c r="G747" s="248"/>
      <c r="H747" s="248"/>
      <c r="I747" s="248"/>
      <c r="J747" s="248"/>
      <c r="K747" s="248"/>
      <c r="L747" s="190">
        <v>0</v>
      </c>
      <c r="M747" s="190">
        <v>0</v>
      </c>
      <c r="N747" s="141">
        <v>0</v>
      </c>
      <c r="O747" s="141">
        <v>0</v>
      </c>
      <c r="P747" s="140">
        <v>0</v>
      </c>
      <c r="Q747" s="140">
        <v>0</v>
      </c>
      <c r="R747" s="140">
        <v>0</v>
      </c>
      <c r="S747" s="140">
        <v>0</v>
      </c>
      <c r="T747" s="140">
        <v>75000</v>
      </c>
    </row>
    <row r="748" spans="1:21" ht="24" customHeight="1">
      <c r="A748" s="247" t="s">
        <v>1175</v>
      </c>
      <c r="B748" s="248"/>
      <c r="C748" s="248"/>
      <c r="D748" s="247" t="s">
        <v>1176</v>
      </c>
      <c r="E748" s="248"/>
      <c r="F748" s="248"/>
      <c r="G748" s="248"/>
      <c r="H748" s="248"/>
      <c r="I748" s="248"/>
      <c r="J748" s="248"/>
      <c r="K748" s="248"/>
      <c r="L748" s="193">
        <v>0</v>
      </c>
      <c r="M748" s="193">
        <v>0</v>
      </c>
      <c r="N748" s="148">
        <v>0</v>
      </c>
      <c r="O748" s="148">
        <v>0</v>
      </c>
      <c r="P748" s="145">
        <v>0</v>
      </c>
      <c r="Q748" s="145">
        <v>75000</v>
      </c>
      <c r="R748" s="145">
        <v>0</v>
      </c>
      <c r="S748" s="145">
        <v>0</v>
      </c>
      <c r="T748" s="145">
        <v>0</v>
      </c>
    </row>
    <row r="749" spans="1:21" ht="24" customHeight="1">
      <c r="A749" s="247" t="s">
        <v>370</v>
      </c>
      <c r="B749" s="248"/>
      <c r="C749" s="248"/>
      <c r="D749" s="247" t="s">
        <v>1016</v>
      </c>
      <c r="E749" s="248"/>
      <c r="F749" s="248"/>
      <c r="G749" s="248"/>
      <c r="H749" s="248"/>
      <c r="I749" s="248"/>
      <c r="J749" s="248"/>
      <c r="K749" s="248"/>
      <c r="L749" s="193">
        <v>8612</v>
      </c>
      <c r="M749" s="193">
        <v>0</v>
      </c>
      <c r="N749" s="148">
        <v>0</v>
      </c>
      <c r="O749" s="148">
        <v>0</v>
      </c>
      <c r="P749" s="145">
        <v>0</v>
      </c>
      <c r="Q749" s="145">
        <v>0</v>
      </c>
      <c r="R749" s="145">
        <v>0</v>
      </c>
      <c r="S749" s="145">
        <v>0</v>
      </c>
      <c r="T749" s="145">
        <v>0</v>
      </c>
    </row>
    <row r="750" spans="1:21" ht="24" customHeight="1">
      <c r="A750" s="247" t="s">
        <v>1328</v>
      </c>
      <c r="B750" s="248"/>
      <c r="C750" s="248"/>
      <c r="D750" s="247" t="s">
        <v>1329</v>
      </c>
      <c r="E750" s="248"/>
      <c r="F750" s="248"/>
      <c r="G750" s="248"/>
      <c r="H750" s="248"/>
      <c r="I750" s="248"/>
      <c r="J750" s="248"/>
      <c r="K750" s="248"/>
      <c r="L750" s="193">
        <v>0</v>
      </c>
      <c r="M750" s="193">
        <v>0</v>
      </c>
      <c r="N750" s="148">
        <v>0</v>
      </c>
      <c r="O750" s="148">
        <v>0</v>
      </c>
      <c r="P750" s="145">
        <v>0</v>
      </c>
      <c r="Q750" s="145">
        <v>0</v>
      </c>
      <c r="R750" s="145">
        <v>0</v>
      </c>
      <c r="S750" s="145">
        <v>75000</v>
      </c>
      <c r="T750" s="145">
        <v>0</v>
      </c>
    </row>
    <row r="751" spans="1:21" ht="24" customHeight="1">
      <c r="A751" s="247" t="s">
        <v>1018</v>
      </c>
      <c r="B751" s="248"/>
      <c r="C751" s="248"/>
      <c r="D751" s="247" t="s">
        <v>1019</v>
      </c>
      <c r="E751" s="248"/>
      <c r="F751" s="248"/>
      <c r="G751" s="248"/>
      <c r="H751" s="248"/>
      <c r="I751" s="248"/>
      <c r="J751" s="248"/>
      <c r="K751" s="248"/>
      <c r="L751" s="193">
        <v>10197</v>
      </c>
      <c r="M751" s="193">
        <v>384922</v>
      </c>
      <c r="N751" s="148">
        <v>20000</v>
      </c>
      <c r="O751" s="148">
        <v>7000</v>
      </c>
      <c r="P751" s="145">
        <v>0</v>
      </c>
      <c r="Q751" s="145">
        <v>0</v>
      </c>
      <c r="R751" s="145">
        <v>0</v>
      </c>
      <c r="S751" s="145">
        <v>0</v>
      </c>
      <c r="T751" s="145">
        <v>0</v>
      </c>
    </row>
    <row r="752" spans="1:21" ht="24" customHeight="1">
      <c r="A752" s="247" t="s">
        <v>371</v>
      </c>
      <c r="B752" s="248"/>
      <c r="C752" s="248"/>
      <c r="D752" s="247" t="s">
        <v>372</v>
      </c>
      <c r="E752" s="248"/>
      <c r="F752" s="248"/>
      <c r="G752" s="248"/>
      <c r="H752" s="248"/>
      <c r="I752" s="248"/>
      <c r="J752" s="248"/>
      <c r="K752" s="248"/>
      <c r="L752" s="193">
        <v>9864</v>
      </c>
      <c r="M752" s="193">
        <v>276616</v>
      </c>
      <c r="N752" s="148">
        <v>40000</v>
      </c>
      <c r="O752" s="148">
        <v>42500</v>
      </c>
      <c r="P752" s="145">
        <v>0</v>
      </c>
      <c r="Q752" s="145">
        <v>0</v>
      </c>
      <c r="R752" s="145">
        <v>0</v>
      </c>
      <c r="S752" s="145">
        <v>0</v>
      </c>
      <c r="T752" s="145">
        <v>0</v>
      </c>
    </row>
    <row r="753" spans="1:21" ht="24" customHeight="1">
      <c r="A753" s="247" t="s">
        <v>573</v>
      </c>
      <c r="B753" s="248"/>
      <c r="C753" s="248"/>
      <c r="D753" s="249" t="s">
        <v>1330</v>
      </c>
      <c r="E753" s="248"/>
      <c r="F753" s="248"/>
      <c r="G753" s="248"/>
      <c r="H753" s="248"/>
      <c r="I753" s="248"/>
      <c r="J753" s="248"/>
      <c r="K753" s="248"/>
      <c r="L753" s="193">
        <v>63089</v>
      </c>
      <c r="M753" s="193">
        <v>677</v>
      </c>
      <c r="N753" s="148">
        <v>0</v>
      </c>
      <c r="O753" s="148">
        <v>0</v>
      </c>
      <c r="P753" s="145">
        <v>25000</v>
      </c>
      <c r="Q753" s="145">
        <v>0</v>
      </c>
      <c r="R753" s="145">
        <v>0</v>
      </c>
      <c r="S753" s="145">
        <v>0</v>
      </c>
      <c r="T753" s="145">
        <v>0</v>
      </c>
    </row>
    <row r="754" spans="1:21" ht="24" customHeight="1">
      <c r="A754" s="247" t="s">
        <v>1322</v>
      </c>
      <c r="B754" s="248"/>
      <c r="C754" s="248"/>
      <c r="D754" s="249" t="s">
        <v>367</v>
      </c>
      <c r="E754" s="248"/>
      <c r="F754" s="248"/>
      <c r="G754" s="248"/>
      <c r="H754" s="248"/>
      <c r="I754" s="248"/>
      <c r="J754" s="248"/>
      <c r="K754" s="248"/>
      <c r="L754" s="193">
        <v>0</v>
      </c>
      <c r="M754" s="193">
        <v>0</v>
      </c>
      <c r="N754" s="148">
        <v>0</v>
      </c>
      <c r="O754" s="148">
        <v>0</v>
      </c>
      <c r="P754" s="145">
        <v>50000</v>
      </c>
      <c r="Q754" s="145">
        <v>0</v>
      </c>
      <c r="R754" s="145">
        <v>0</v>
      </c>
      <c r="S754" s="145">
        <v>0</v>
      </c>
      <c r="T754" s="145">
        <v>0</v>
      </c>
    </row>
    <row r="755" spans="1:21" ht="24" customHeight="1">
      <c r="A755" s="247" t="s">
        <v>1323</v>
      </c>
      <c r="B755" s="248"/>
      <c r="C755" s="248"/>
      <c r="D755" s="249" t="s">
        <v>1324</v>
      </c>
      <c r="E755" s="248"/>
      <c r="F755" s="248"/>
      <c r="G755" s="248"/>
      <c r="H755" s="248"/>
      <c r="I755" s="248"/>
      <c r="J755" s="248"/>
      <c r="K755" s="248"/>
      <c r="L755" s="193">
        <v>0</v>
      </c>
      <c r="M755" s="193">
        <v>0</v>
      </c>
      <c r="N755" s="148">
        <v>0</v>
      </c>
      <c r="O755" s="148">
        <v>0</v>
      </c>
      <c r="P755" s="145">
        <v>25000</v>
      </c>
      <c r="Q755" s="145">
        <v>0</v>
      </c>
      <c r="R755" s="145">
        <v>0</v>
      </c>
      <c r="S755" s="145">
        <v>0</v>
      </c>
      <c r="T755" s="145">
        <v>0</v>
      </c>
    </row>
    <row r="756" spans="1:21" ht="24" customHeight="1">
      <c r="A756" s="247" t="s">
        <v>1068</v>
      </c>
      <c r="B756" s="248"/>
      <c r="C756" s="248"/>
      <c r="D756" s="249" t="s">
        <v>1067</v>
      </c>
      <c r="E756" s="248"/>
      <c r="F756" s="248"/>
      <c r="G756" s="248"/>
      <c r="H756" s="248"/>
      <c r="I756" s="248"/>
      <c r="J756" s="248"/>
      <c r="K756" s="248"/>
      <c r="L756" s="193">
        <v>0</v>
      </c>
      <c r="M756" s="193">
        <v>0</v>
      </c>
      <c r="N756" s="148">
        <v>25000</v>
      </c>
      <c r="O756" s="148">
        <v>0</v>
      </c>
      <c r="P756" s="145">
        <v>0</v>
      </c>
      <c r="Q756" s="145">
        <v>25000</v>
      </c>
      <c r="R756" s="145">
        <v>0</v>
      </c>
      <c r="S756" s="145">
        <v>0</v>
      </c>
      <c r="T756" s="145">
        <v>0</v>
      </c>
    </row>
    <row r="757" spans="1:21" ht="24" customHeight="1">
      <c r="A757" s="247" t="s">
        <v>1181</v>
      </c>
      <c r="B757" s="248"/>
      <c r="C757" s="248"/>
      <c r="D757" s="249" t="s">
        <v>1182</v>
      </c>
      <c r="E757" s="248"/>
      <c r="F757" s="248"/>
      <c r="G757" s="248"/>
      <c r="H757" s="248"/>
      <c r="I757" s="248"/>
      <c r="J757" s="248"/>
      <c r="K757" s="248"/>
      <c r="L757" s="193">
        <v>0</v>
      </c>
      <c r="M757" s="193">
        <v>0</v>
      </c>
      <c r="N757" s="148">
        <v>50000</v>
      </c>
      <c r="O757" s="148">
        <v>60000</v>
      </c>
      <c r="P757" s="145">
        <v>0</v>
      </c>
      <c r="Q757" s="145">
        <v>0</v>
      </c>
      <c r="R757" s="145">
        <v>0</v>
      </c>
      <c r="S757" s="145">
        <v>0</v>
      </c>
      <c r="T757" s="145">
        <v>0</v>
      </c>
    </row>
    <row r="758" spans="1:21" ht="24" customHeight="1">
      <c r="A758" s="247" t="s">
        <v>1325</v>
      </c>
      <c r="B758" s="248"/>
      <c r="C758" s="248"/>
      <c r="D758" s="1" t="s">
        <v>1326</v>
      </c>
      <c r="E758" s="248"/>
      <c r="F758" s="248"/>
      <c r="G758" s="248"/>
      <c r="H758" s="248"/>
      <c r="I758" s="248"/>
      <c r="J758" s="248"/>
      <c r="K758" s="248"/>
      <c r="L758" s="198">
        <v>0</v>
      </c>
      <c r="M758" s="198">
        <v>0</v>
      </c>
      <c r="N758" s="153">
        <v>0</v>
      </c>
      <c r="O758" s="153">
        <v>0</v>
      </c>
      <c r="P758" s="152">
        <v>0</v>
      </c>
      <c r="Q758" s="152">
        <v>0</v>
      </c>
      <c r="R758" s="152">
        <v>0</v>
      </c>
      <c r="S758" s="152">
        <v>0</v>
      </c>
      <c r="T758" s="152">
        <v>60000</v>
      </c>
    </row>
    <row r="759" spans="1:21" ht="15" customHeight="1">
      <c r="A759" s="247"/>
      <c r="B759" s="183"/>
      <c r="C759" s="183"/>
      <c r="D759" s="183"/>
      <c r="E759" s="183"/>
      <c r="F759" s="183"/>
      <c r="G759" s="183"/>
      <c r="H759" s="183"/>
      <c r="I759" s="183"/>
      <c r="J759" s="183"/>
      <c r="K759" s="183"/>
      <c r="L759" s="199"/>
      <c r="M759" s="199"/>
      <c r="N759" s="155"/>
      <c r="O759" s="155"/>
      <c r="P759" s="154"/>
      <c r="Q759" s="154"/>
      <c r="R759" s="154"/>
      <c r="S759" s="154"/>
      <c r="T759" s="154"/>
    </row>
    <row r="760" spans="1:21" s="183" customFormat="1" ht="24" customHeight="1">
      <c r="K760" s="251" t="s">
        <v>457</v>
      </c>
      <c r="L760" s="201">
        <f>SUM(L743:L759)</f>
        <v>92865</v>
      </c>
      <c r="M760" s="201">
        <f t="shared" ref="M760:T760" si="48">SUM(M743:M759)</f>
        <v>663720</v>
      </c>
      <c r="N760" s="202">
        <f t="shared" si="48"/>
        <v>435000</v>
      </c>
      <c r="O760" s="202">
        <f t="shared" si="48"/>
        <v>384295</v>
      </c>
      <c r="P760" s="201">
        <f t="shared" si="48"/>
        <v>104850</v>
      </c>
      <c r="Q760" s="201">
        <f t="shared" si="48"/>
        <v>104850</v>
      </c>
      <c r="R760" s="201">
        <f t="shared" si="48"/>
        <v>5000</v>
      </c>
      <c r="S760" s="201">
        <f t="shared" si="48"/>
        <v>80000</v>
      </c>
      <c r="T760" s="201">
        <f t="shared" si="48"/>
        <v>215000</v>
      </c>
      <c r="U760" s="64"/>
    </row>
    <row r="761" spans="1:21" s="183" customFormat="1" ht="15" customHeight="1">
      <c r="L761" s="218"/>
      <c r="M761" s="218"/>
      <c r="N761" s="219"/>
      <c r="O761" s="219"/>
      <c r="P761" s="218"/>
      <c r="Q761" s="218"/>
      <c r="R761" s="218"/>
      <c r="S761" s="218"/>
      <c r="T761" s="218"/>
      <c r="U761" s="64"/>
    </row>
    <row r="762" spans="1:21" s="183" customFormat="1" ht="24" customHeight="1">
      <c r="K762" s="251" t="s">
        <v>458</v>
      </c>
      <c r="L762" s="218">
        <f t="shared" ref="L762:T762" si="49">L741-L760</f>
        <v>37998</v>
      </c>
      <c r="M762" s="218">
        <f t="shared" si="49"/>
        <v>-528520</v>
      </c>
      <c r="N762" s="219">
        <f t="shared" si="49"/>
        <v>279113</v>
      </c>
      <c r="O762" s="219">
        <f t="shared" si="49"/>
        <v>484364</v>
      </c>
      <c r="P762" s="218">
        <f t="shared" si="49"/>
        <v>-46415</v>
      </c>
      <c r="Q762" s="218">
        <f t="shared" si="49"/>
        <v>-85271</v>
      </c>
      <c r="R762" s="218">
        <f t="shared" si="49"/>
        <v>-5000</v>
      </c>
      <c r="S762" s="218">
        <f t="shared" si="49"/>
        <v>-80000</v>
      </c>
      <c r="T762" s="218">
        <f t="shared" si="49"/>
        <v>-186695</v>
      </c>
      <c r="U762" s="64"/>
    </row>
    <row r="763" spans="1:21" s="183" customFormat="1" ht="15" customHeight="1">
      <c r="L763" s="218"/>
      <c r="M763" s="218"/>
      <c r="N763" s="219"/>
      <c r="O763" s="219"/>
      <c r="P763" s="218"/>
      <c r="Q763" s="218"/>
      <c r="R763" s="218"/>
      <c r="S763" s="218"/>
      <c r="T763" s="218"/>
      <c r="U763" s="64"/>
    </row>
    <row r="764" spans="1:21" s="183" customFormat="1" ht="24" customHeight="1">
      <c r="K764" s="256" t="s">
        <v>460</v>
      </c>
      <c r="L764" s="218">
        <v>250318</v>
      </c>
      <c r="M764" s="218">
        <v>-278204</v>
      </c>
      <c r="N764" s="219">
        <v>62362</v>
      </c>
      <c r="O764" s="219">
        <f>M764+O762</f>
        <v>206160</v>
      </c>
      <c r="P764" s="218">
        <f>O764+P762</f>
        <v>159745</v>
      </c>
      <c r="Q764" s="218">
        <f>P764+Q762</f>
        <v>74474</v>
      </c>
      <c r="R764" s="218">
        <f>Q764+R762</f>
        <v>69474</v>
      </c>
      <c r="S764" s="218">
        <f>R764+S762</f>
        <v>-10526</v>
      </c>
      <c r="T764" s="218">
        <f>S764+T762</f>
        <v>-197221</v>
      </c>
      <c r="U764" s="64"/>
    </row>
    <row r="765" spans="1:21" ht="15" customHeight="1">
      <c r="A765" s="183"/>
      <c r="B765" s="183"/>
      <c r="C765" s="183"/>
      <c r="D765" s="183"/>
      <c r="E765" s="183"/>
      <c r="F765" s="183"/>
      <c r="G765" s="183"/>
      <c r="H765" s="183"/>
      <c r="I765" s="183"/>
      <c r="J765" s="183"/>
      <c r="K765" s="183"/>
      <c r="L765" s="302"/>
      <c r="M765" s="302"/>
      <c r="N765" s="306"/>
      <c r="O765" s="306"/>
      <c r="P765" s="307"/>
      <c r="Q765" s="307"/>
      <c r="R765" s="307"/>
      <c r="S765" s="307"/>
      <c r="T765" s="307"/>
    </row>
    <row r="766" spans="1:21" ht="24" customHeight="1">
      <c r="A766" s="258" t="s">
        <v>472</v>
      </c>
      <c r="B766" s="428"/>
      <c r="C766" s="428"/>
      <c r="D766" s="428"/>
      <c r="E766" s="183"/>
      <c r="F766" s="183"/>
      <c r="G766" s="183"/>
      <c r="H766" s="183"/>
      <c r="I766" s="183"/>
      <c r="J766" s="183"/>
      <c r="K766" s="183"/>
      <c r="L766" s="245"/>
      <c r="M766" s="245"/>
      <c r="N766" s="300"/>
      <c r="O766" s="300"/>
      <c r="P766" s="301"/>
      <c r="Q766" s="301"/>
      <c r="R766" s="301"/>
      <c r="S766" s="301"/>
      <c r="T766" s="301"/>
    </row>
    <row r="767" spans="1:21" ht="15" customHeight="1">
      <c r="A767" s="183"/>
      <c r="B767" s="183"/>
      <c r="C767" s="183"/>
      <c r="D767" s="183"/>
      <c r="E767" s="183"/>
      <c r="F767" s="183"/>
      <c r="G767" s="183"/>
      <c r="H767" s="183"/>
      <c r="I767" s="183"/>
      <c r="J767" s="183"/>
      <c r="K767" s="183"/>
      <c r="L767" s="245"/>
      <c r="M767" s="245"/>
      <c r="N767" s="300"/>
      <c r="O767" s="300"/>
      <c r="P767" s="301"/>
      <c r="Q767" s="301"/>
      <c r="R767" s="301"/>
      <c r="S767" s="301"/>
      <c r="T767" s="301"/>
    </row>
    <row r="768" spans="1:21" ht="24" customHeight="1">
      <c r="A768" s="247" t="s">
        <v>1276</v>
      </c>
      <c r="B768" s="248"/>
      <c r="C768" s="248"/>
      <c r="D768" s="266" t="s">
        <v>1044</v>
      </c>
      <c r="E768" s="248"/>
      <c r="F768" s="248"/>
      <c r="G768" s="248"/>
      <c r="H768" s="248"/>
      <c r="I768" s="248"/>
      <c r="J768" s="248"/>
      <c r="K768" s="248"/>
      <c r="L768" s="194">
        <v>0</v>
      </c>
      <c r="M768" s="194">
        <v>0</v>
      </c>
      <c r="N768" s="147">
        <v>81815</v>
      </c>
      <c r="O768" s="147">
        <v>81815</v>
      </c>
      <c r="P768" s="146">
        <v>0</v>
      </c>
      <c r="Q768" s="146">
        <v>0</v>
      </c>
      <c r="R768" s="146">
        <v>0</v>
      </c>
      <c r="S768" s="146">
        <v>0</v>
      </c>
      <c r="T768" s="146">
        <v>0</v>
      </c>
    </row>
    <row r="769" spans="1:21" ht="24" customHeight="1">
      <c r="A769" s="247" t="s">
        <v>783</v>
      </c>
      <c r="B769" s="183"/>
      <c r="C769" s="183"/>
      <c r="D769" s="125" t="s">
        <v>784</v>
      </c>
      <c r="E769" s="183"/>
      <c r="F769" s="183"/>
      <c r="G769" s="183"/>
      <c r="H769" s="183"/>
      <c r="I769" s="183"/>
      <c r="J769" s="183"/>
      <c r="K769" s="183"/>
      <c r="L769" s="194">
        <v>109109</v>
      </c>
      <c r="M769" s="194">
        <v>87666</v>
      </c>
      <c r="N769" s="147">
        <v>90000</v>
      </c>
      <c r="O769" s="147">
        <v>90000</v>
      </c>
      <c r="P769" s="146">
        <v>90000</v>
      </c>
      <c r="Q769" s="146">
        <v>90000</v>
      </c>
      <c r="R769" s="146">
        <v>90000</v>
      </c>
      <c r="S769" s="146">
        <v>90000</v>
      </c>
      <c r="T769" s="146">
        <v>90000</v>
      </c>
    </row>
    <row r="770" spans="1:21" ht="24" customHeight="1">
      <c r="A770" s="247" t="s">
        <v>785</v>
      </c>
      <c r="B770" s="183"/>
      <c r="C770" s="183"/>
      <c r="D770" s="125" t="s">
        <v>786</v>
      </c>
      <c r="E770" s="183"/>
      <c r="F770" s="183"/>
      <c r="G770" s="183"/>
      <c r="H770" s="183"/>
      <c r="I770" s="183"/>
      <c r="J770" s="183"/>
      <c r="K770" s="183"/>
      <c r="L770" s="194">
        <v>135445</v>
      </c>
      <c r="M770" s="194">
        <v>141046</v>
      </c>
      <c r="N770" s="147">
        <v>130000</v>
      </c>
      <c r="O770" s="147">
        <v>145000</v>
      </c>
      <c r="P770" s="146">
        <v>145000</v>
      </c>
      <c r="Q770" s="146">
        <v>145000</v>
      </c>
      <c r="R770" s="146">
        <v>145000</v>
      </c>
      <c r="S770" s="146">
        <v>145000</v>
      </c>
      <c r="T770" s="146">
        <v>145000</v>
      </c>
    </row>
    <row r="771" spans="1:21" ht="24" customHeight="1">
      <c r="A771" s="247" t="s">
        <v>787</v>
      </c>
      <c r="B771" s="183"/>
      <c r="C771" s="183"/>
      <c r="D771" s="437" t="s">
        <v>916</v>
      </c>
      <c r="E771" s="436"/>
      <c r="F771" s="436"/>
      <c r="G771" s="436"/>
      <c r="H771" s="436"/>
      <c r="I771" s="436"/>
      <c r="J771" s="436"/>
      <c r="K771" s="183"/>
      <c r="L771" s="194">
        <v>178613</v>
      </c>
      <c r="M771" s="194">
        <v>187611</v>
      </c>
      <c r="N771" s="147">
        <v>315000</v>
      </c>
      <c r="O771" s="147">
        <v>315000</v>
      </c>
      <c r="P771" s="146">
        <v>365000</v>
      </c>
      <c r="Q771" s="146">
        <v>365000</v>
      </c>
      <c r="R771" s="146">
        <v>365000</v>
      </c>
      <c r="S771" s="146">
        <v>365000</v>
      </c>
      <c r="T771" s="146">
        <v>365000</v>
      </c>
    </row>
    <row r="772" spans="1:21" ht="24" customHeight="1">
      <c r="A772" s="247" t="s">
        <v>374</v>
      </c>
      <c r="B772" s="183"/>
      <c r="C772" s="183"/>
      <c r="D772" s="247" t="s">
        <v>375</v>
      </c>
      <c r="E772" s="183"/>
      <c r="F772" s="183"/>
      <c r="G772" s="183"/>
      <c r="H772" s="183"/>
      <c r="I772" s="183"/>
      <c r="J772" s="183"/>
      <c r="K772" s="183"/>
      <c r="L772" s="192">
        <v>32509</v>
      </c>
      <c r="M772" s="192">
        <v>37143</v>
      </c>
      <c r="N772" s="144">
        <v>30000</v>
      </c>
      <c r="O772" s="144">
        <v>28000</v>
      </c>
      <c r="P772" s="143">
        <v>32000</v>
      </c>
      <c r="Q772" s="143">
        <v>32000</v>
      </c>
      <c r="R772" s="143">
        <v>32000</v>
      </c>
      <c r="S772" s="143">
        <v>32000</v>
      </c>
      <c r="T772" s="143">
        <v>32000</v>
      </c>
    </row>
    <row r="773" spans="1:21" ht="24" customHeight="1">
      <c r="A773" s="247" t="s">
        <v>377</v>
      </c>
      <c r="B773" s="248"/>
      <c r="C773" s="248"/>
      <c r="D773" s="489" t="s">
        <v>6</v>
      </c>
      <c r="E773" s="489"/>
      <c r="F773" s="489"/>
      <c r="G773" s="489"/>
      <c r="H773" s="489"/>
      <c r="I773" s="489"/>
      <c r="J773" s="489"/>
      <c r="K773" s="489"/>
      <c r="L773" s="192">
        <v>328</v>
      </c>
      <c r="M773" s="192">
        <v>800</v>
      </c>
      <c r="N773" s="144">
        <v>500</v>
      </c>
      <c r="O773" s="144">
        <v>1500</v>
      </c>
      <c r="P773" s="143">
        <v>1500</v>
      </c>
      <c r="Q773" s="143">
        <v>1500</v>
      </c>
      <c r="R773" s="143">
        <v>1500</v>
      </c>
      <c r="S773" s="143">
        <v>1500</v>
      </c>
      <c r="T773" s="143">
        <v>1500</v>
      </c>
    </row>
    <row r="774" spans="1:21" ht="24" customHeight="1">
      <c r="A774" s="247" t="s">
        <v>584</v>
      </c>
      <c r="B774" s="248"/>
      <c r="C774" s="248"/>
      <c r="D774" s="248" t="s">
        <v>61</v>
      </c>
      <c r="E774" s="248"/>
      <c r="F774" s="248"/>
      <c r="G774" s="248"/>
      <c r="H774" s="248"/>
      <c r="I774" s="248"/>
      <c r="J774" s="248"/>
      <c r="K774" s="248"/>
      <c r="L774" s="193">
        <v>3002</v>
      </c>
      <c r="M774" s="193">
        <v>174</v>
      </c>
      <c r="N774" s="148">
        <v>0</v>
      </c>
      <c r="O774" s="148">
        <v>19158</v>
      </c>
      <c r="P774" s="145">
        <v>0</v>
      </c>
      <c r="Q774" s="145">
        <v>0</v>
      </c>
      <c r="R774" s="145">
        <v>0</v>
      </c>
      <c r="S774" s="145">
        <v>0</v>
      </c>
      <c r="T774" s="145">
        <v>0</v>
      </c>
    </row>
    <row r="775" spans="1:21" ht="24" customHeight="1">
      <c r="A775" s="247" t="s">
        <v>378</v>
      </c>
      <c r="B775" s="183"/>
      <c r="C775" s="183"/>
      <c r="D775" s="247" t="s">
        <v>214</v>
      </c>
      <c r="E775" s="183"/>
      <c r="F775" s="183"/>
      <c r="G775" s="183"/>
      <c r="H775" s="183"/>
      <c r="I775" s="183"/>
      <c r="J775" s="183"/>
      <c r="K775" s="183"/>
      <c r="L775" s="193">
        <v>53345</v>
      </c>
      <c r="M775" s="193">
        <v>54701</v>
      </c>
      <c r="N775" s="150">
        <v>55000</v>
      </c>
      <c r="O775" s="150">
        <v>53208</v>
      </c>
      <c r="P775" s="149">
        <v>54500</v>
      </c>
      <c r="Q775" s="149">
        <v>56416</v>
      </c>
      <c r="R775" s="149">
        <v>58409</v>
      </c>
      <c r="S775" s="149">
        <v>60481</v>
      </c>
      <c r="T775" s="149">
        <v>62636</v>
      </c>
    </row>
    <row r="776" spans="1:21" ht="24" customHeight="1">
      <c r="A776" s="247" t="s">
        <v>574</v>
      </c>
      <c r="B776" s="183"/>
      <c r="C776" s="183"/>
      <c r="D776" s="247" t="s">
        <v>767</v>
      </c>
      <c r="E776" s="183"/>
      <c r="F776" s="183"/>
      <c r="G776" s="183"/>
      <c r="H776" s="183"/>
      <c r="I776" s="183"/>
      <c r="J776" s="183"/>
      <c r="K776" s="183"/>
      <c r="L776" s="193">
        <v>13221</v>
      </c>
      <c r="M776" s="193">
        <v>20200</v>
      </c>
      <c r="N776" s="150">
        <v>15000</v>
      </c>
      <c r="O776" s="150">
        <v>15500</v>
      </c>
      <c r="P776" s="149">
        <v>15000</v>
      </c>
      <c r="Q776" s="149">
        <v>15000</v>
      </c>
      <c r="R776" s="149">
        <v>15000</v>
      </c>
      <c r="S776" s="149">
        <v>15000</v>
      </c>
      <c r="T776" s="149">
        <v>15000</v>
      </c>
    </row>
    <row r="777" spans="1:21" ht="24" customHeight="1">
      <c r="A777" s="247" t="s">
        <v>802</v>
      </c>
      <c r="B777" s="183"/>
      <c r="C777" s="183"/>
      <c r="D777" s="247" t="s">
        <v>376</v>
      </c>
      <c r="E777" s="183"/>
      <c r="F777" s="183"/>
      <c r="G777" s="183"/>
      <c r="H777" s="183"/>
      <c r="I777" s="183"/>
      <c r="J777" s="183"/>
      <c r="K777" s="183"/>
      <c r="L777" s="192">
        <v>117354</v>
      </c>
      <c r="M777" s="192">
        <v>128156</v>
      </c>
      <c r="N777" s="144">
        <v>108000</v>
      </c>
      <c r="O777" s="144">
        <v>118141</v>
      </c>
      <c r="P777" s="143">
        <v>108000</v>
      </c>
      <c r="Q777" s="143">
        <v>108000</v>
      </c>
      <c r="R777" s="143">
        <v>108000</v>
      </c>
      <c r="S777" s="143">
        <v>108000</v>
      </c>
      <c r="T777" s="143">
        <v>108000</v>
      </c>
    </row>
    <row r="778" spans="1:21" ht="24" customHeight="1">
      <c r="A778" s="247" t="s">
        <v>379</v>
      </c>
      <c r="B778" s="183"/>
      <c r="C778" s="183"/>
      <c r="D778" s="247" t="s">
        <v>917</v>
      </c>
      <c r="E778" s="183"/>
      <c r="F778" s="183"/>
      <c r="G778" s="183"/>
      <c r="H778" s="183"/>
      <c r="I778" s="183"/>
      <c r="J778" s="183"/>
      <c r="K778" s="183"/>
      <c r="L778" s="196">
        <v>20547</v>
      </c>
      <c r="M778" s="196">
        <v>19753</v>
      </c>
      <c r="N778" s="150">
        <v>20000</v>
      </c>
      <c r="O778" s="150">
        <v>15000</v>
      </c>
      <c r="P778" s="149">
        <v>20000</v>
      </c>
      <c r="Q778" s="149">
        <v>20000</v>
      </c>
      <c r="R778" s="149">
        <v>20000</v>
      </c>
      <c r="S778" s="149">
        <v>20000</v>
      </c>
      <c r="T778" s="149">
        <v>20000</v>
      </c>
    </row>
    <row r="779" spans="1:21" ht="24" customHeight="1">
      <c r="A779" s="247" t="s">
        <v>380</v>
      </c>
      <c r="B779" s="183"/>
      <c r="C779" s="183"/>
      <c r="D779" s="247" t="s">
        <v>7</v>
      </c>
      <c r="E779" s="183"/>
      <c r="F779" s="183"/>
      <c r="G779" s="183"/>
      <c r="H779" s="183"/>
      <c r="I779" s="183"/>
      <c r="J779" s="183"/>
      <c r="K779" s="183"/>
      <c r="L779" s="192">
        <v>5503</v>
      </c>
      <c r="M779" s="192">
        <v>11974</v>
      </c>
      <c r="N779" s="144">
        <v>3000</v>
      </c>
      <c r="O779" s="144">
        <v>3000</v>
      </c>
      <c r="P779" s="143">
        <v>3000</v>
      </c>
      <c r="Q779" s="143">
        <v>3000</v>
      </c>
      <c r="R779" s="143">
        <v>3000</v>
      </c>
      <c r="S779" s="143">
        <v>3000</v>
      </c>
      <c r="T779" s="143">
        <v>3000</v>
      </c>
      <c r="U779" s="283"/>
    </row>
    <row r="780" spans="1:21" ht="24" customHeight="1">
      <c r="A780" s="247" t="s">
        <v>381</v>
      </c>
      <c r="B780" s="248"/>
      <c r="C780" s="248"/>
      <c r="D780" s="247" t="s">
        <v>245</v>
      </c>
      <c r="E780" s="248"/>
      <c r="F780" s="248"/>
      <c r="G780" s="248"/>
      <c r="H780" s="248"/>
      <c r="I780" s="248"/>
      <c r="J780" s="248"/>
      <c r="K780" s="248"/>
      <c r="L780" s="207">
        <v>1118638</v>
      </c>
      <c r="M780" s="207">
        <v>1308583</v>
      </c>
      <c r="N780" s="163">
        <v>1274699</v>
      </c>
      <c r="O780" s="163">
        <v>1274699</v>
      </c>
      <c r="P780" s="162">
        <v>1410988</v>
      </c>
      <c r="Q780" s="162">
        <v>1558701</v>
      </c>
      <c r="R780" s="162">
        <v>1622068</v>
      </c>
      <c r="S780" s="162">
        <v>1699258</v>
      </c>
      <c r="T780" s="162">
        <v>1765181</v>
      </c>
      <c r="U780" s="283"/>
    </row>
    <row r="781" spans="1:21" ht="15" customHeight="1">
      <c r="A781" s="183"/>
      <c r="B781" s="183"/>
      <c r="C781" s="183"/>
      <c r="D781" s="183"/>
      <c r="E781" s="183"/>
      <c r="F781" s="183"/>
      <c r="G781" s="183"/>
      <c r="H781" s="183"/>
      <c r="I781" s="183"/>
      <c r="J781" s="183"/>
      <c r="K781" s="183"/>
      <c r="L781" s="199"/>
      <c r="M781" s="199"/>
      <c r="N781" s="155"/>
      <c r="O781" s="155"/>
      <c r="P781" s="154"/>
      <c r="Q781" s="154"/>
      <c r="R781" s="154"/>
      <c r="S781" s="154"/>
      <c r="T781" s="154"/>
    </row>
    <row r="782" spans="1:21" s="183" customFormat="1" ht="24" customHeight="1">
      <c r="K782" s="251" t="s">
        <v>454</v>
      </c>
      <c r="L782" s="201">
        <f>SUM(L768:L781)</f>
        <v>1787614</v>
      </c>
      <c r="M782" s="201">
        <f t="shared" ref="M782:T782" si="50">SUM(M768:M781)</f>
        <v>1997807</v>
      </c>
      <c r="N782" s="202">
        <f t="shared" si="50"/>
        <v>2123014</v>
      </c>
      <c r="O782" s="202">
        <f t="shared" si="50"/>
        <v>2160021</v>
      </c>
      <c r="P782" s="201">
        <f>SUM(P768:P781)</f>
        <v>2244988</v>
      </c>
      <c r="Q782" s="201">
        <f t="shared" si="50"/>
        <v>2394617</v>
      </c>
      <c r="R782" s="201">
        <f t="shared" si="50"/>
        <v>2459977</v>
      </c>
      <c r="S782" s="201">
        <f t="shared" si="50"/>
        <v>2539239</v>
      </c>
      <c r="T782" s="201">
        <f t="shared" si="50"/>
        <v>2607317</v>
      </c>
      <c r="U782" s="64"/>
    </row>
    <row r="783" spans="1:21" ht="15" customHeight="1">
      <c r="A783" s="183"/>
      <c r="B783" s="183"/>
      <c r="C783" s="183"/>
      <c r="D783" s="183"/>
      <c r="E783" s="183"/>
      <c r="F783" s="183"/>
      <c r="G783" s="183"/>
      <c r="H783" s="183"/>
      <c r="I783" s="183"/>
      <c r="J783" s="183"/>
      <c r="K783" s="183"/>
      <c r="L783" s="199"/>
      <c r="M783" s="199"/>
      <c r="N783" s="155"/>
      <c r="O783" s="155"/>
      <c r="P783" s="154"/>
      <c r="Q783" s="154"/>
      <c r="R783" s="154"/>
      <c r="S783" s="154"/>
      <c r="T783" s="154"/>
    </row>
    <row r="784" spans="1:21" ht="24" customHeight="1">
      <c r="A784" s="251" t="s">
        <v>514</v>
      </c>
      <c r="B784" s="183"/>
      <c r="C784" s="183"/>
      <c r="D784" s="183"/>
      <c r="E784" s="183"/>
      <c r="F784" s="183"/>
      <c r="G784" s="183"/>
      <c r="H784" s="183"/>
      <c r="I784" s="183"/>
      <c r="J784" s="183"/>
      <c r="K784" s="183"/>
      <c r="L784" s="199"/>
      <c r="M784" s="199"/>
      <c r="N784" s="155"/>
      <c r="O784" s="155"/>
      <c r="P784" s="154"/>
      <c r="Q784" s="154"/>
      <c r="R784" s="154"/>
      <c r="S784" s="154"/>
      <c r="T784" s="154"/>
    </row>
    <row r="785" spans="1:20" ht="24" customHeight="1">
      <c r="A785" s="247" t="s">
        <v>382</v>
      </c>
      <c r="B785" s="248"/>
      <c r="C785" s="248"/>
      <c r="D785" s="247" t="s">
        <v>797</v>
      </c>
      <c r="E785" s="248"/>
      <c r="F785" s="248"/>
      <c r="G785" s="248"/>
      <c r="H785" s="248"/>
      <c r="I785" s="248"/>
      <c r="J785" s="248"/>
      <c r="K785" s="248"/>
      <c r="L785" s="192">
        <v>425198</v>
      </c>
      <c r="M785" s="192">
        <v>459025</v>
      </c>
      <c r="N785" s="150">
        <v>492742</v>
      </c>
      <c r="O785" s="150">
        <v>485000</v>
      </c>
      <c r="P785" s="149">
        <v>552859</v>
      </c>
      <c r="Q785" s="149">
        <v>569445</v>
      </c>
      <c r="R785" s="149">
        <v>586528</v>
      </c>
      <c r="S785" s="149">
        <v>604124</v>
      </c>
      <c r="T785" s="149">
        <v>622248</v>
      </c>
    </row>
    <row r="786" spans="1:20" ht="24" customHeight="1">
      <c r="A786" s="247" t="s">
        <v>383</v>
      </c>
      <c r="B786" s="183"/>
      <c r="C786" s="183"/>
      <c r="D786" s="247" t="s">
        <v>68</v>
      </c>
      <c r="E786" s="183"/>
      <c r="F786" s="183"/>
      <c r="G786" s="183"/>
      <c r="H786" s="183"/>
      <c r="I786" s="183"/>
      <c r="J786" s="183"/>
      <c r="K786" s="183"/>
      <c r="L786" s="192">
        <v>35251</v>
      </c>
      <c r="M786" s="192">
        <v>37282</v>
      </c>
      <c r="N786" s="150">
        <v>50000</v>
      </c>
      <c r="O786" s="150">
        <v>50000</v>
      </c>
      <c r="P786" s="149">
        <v>51000</v>
      </c>
      <c r="Q786" s="149">
        <v>52000</v>
      </c>
      <c r="R786" s="149">
        <v>53000</v>
      </c>
      <c r="S786" s="149">
        <v>54000</v>
      </c>
      <c r="T786" s="149">
        <v>55000</v>
      </c>
    </row>
    <row r="787" spans="1:20" ht="24" customHeight="1">
      <c r="A787" s="247" t="s">
        <v>384</v>
      </c>
      <c r="B787" s="248"/>
      <c r="C787" s="248"/>
      <c r="D787" s="247" t="s">
        <v>14</v>
      </c>
      <c r="E787" s="248"/>
      <c r="F787" s="248"/>
      <c r="G787" s="248"/>
      <c r="H787" s="248"/>
      <c r="I787" s="248"/>
      <c r="J787" s="248"/>
      <c r="K787" s="248"/>
      <c r="L787" s="192">
        <v>2091</v>
      </c>
      <c r="M787" s="192">
        <v>2533</v>
      </c>
      <c r="N787" s="144">
        <v>3000</v>
      </c>
      <c r="O787" s="144">
        <v>5000</v>
      </c>
      <c r="P787" s="143">
        <v>5000</v>
      </c>
      <c r="Q787" s="143">
        <v>5000</v>
      </c>
      <c r="R787" s="143">
        <v>5000</v>
      </c>
      <c r="S787" s="143">
        <v>5000</v>
      </c>
      <c r="T787" s="143">
        <v>5000</v>
      </c>
    </row>
    <row r="788" spans="1:20" ht="24" customHeight="1">
      <c r="A788" s="247" t="s">
        <v>385</v>
      </c>
      <c r="B788" s="248"/>
      <c r="C788" s="248"/>
      <c r="D788" s="247" t="s">
        <v>8</v>
      </c>
      <c r="E788" s="248"/>
      <c r="F788" s="248"/>
      <c r="G788" s="248"/>
      <c r="H788" s="248"/>
      <c r="I788" s="248"/>
      <c r="J788" s="248"/>
      <c r="K788" s="248"/>
      <c r="L788" s="192">
        <v>46256</v>
      </c>
      <c r="M788" s="192">
        <v>51254</v>
      </c>
      <c r="N788" s="150">
        <v>54650</v>
      </c>
      <c r="O788" s="150">
        <v>54650</v>
      </c>
      <c r="P788" s="143">
        <v>52725</v>
      </c>
      <c r="Q788" s="143">
        <v>53699</v>
      </c>
      <c r="R788" s="143">
        <v>56952</v>
      </c>
      <c r="S788" s="143">
        <v>60412</v>
      </c>
      <c r="T788" s="143">
        <v>64092</v>
      </c>
    </row>
    <row r="789" spans="1:20" ht="24" customHeight="1">
      <c r="A789" s="247" t="s">
        <v>386</v>
      </c>
      <c r="B789" s="183"/>
      <c r="C789" s="183"/>
      <c r="D789" s="247" t="s">
        <v>9</v>
      </c>
      <c r="E789" s="183"/>
      <c r="F789" s="183"/>
      <c r="G789" s="183"/>
      <c r="H789" s="183"/>
      <c r="I789" s="183"/>
      <c r="J789" s="183"/>
      <c r="K789" s="183"/>
      <c r="L789" s="192">
        <v>34143</v>
      </c>
      <c r="M789" s="192">
        <v>36883</v>
      </c>
      <c r="N789" s="150">
        <v>40354</v>
      </c>
      <c r="O789" s="150">
        <v>40354</v>
      </c>
      <c r="P789" s="149">
        <v>44715</v>
      </c>
      <c r="Q789" s="149">
        <v>46056</v>
      </c>
      <c r="R789" s="149">
        <v>47438</v>
      </c>
      <c r="S789" s="149">
        <v>48861</v>
      </c>
      <c r="T789" s="149">
        <v>50327</v>
      </c>
    </row>
    <row r="790" spans="1:20" ht="24" customHeight="1">
      <c r="A790" s="247" t="s">
        <v>500</v>
      </c>
      <c r="B790" s="183"/>
      <c r="C790" s="183"/>
      <c r="D790" s="247" t="s">
        <v>13</v>
      </c>
      <c r="E790" s="183"/>
      <c r="F790" s="183"/>
      <c r="G790" s="183"/>
      <c r="H790" s="183"/>
      <c r="I790" s="183"/>
      <c r="J790" s="183"/>
      <c r="K790" s="183"/>
      <c r="L790" s="192">
        <v>119781</v>
      </c>
      <c r="M790" s="192">
        <v>131162</v>
      </c>
      <c r="N790" s="147">
        <v>158534</v>
      </c>
      <c r="O790" s="150">
        <v>141675</v>
      </c>
      <c r="P790" s="149">
        <v>153747</v>
      </c>
      <c r="Q790" s="149">
        <v>166047</v>
      </c>
      <c r="R790" s="149">
        <v>179331</v>
      </c>
      <c r="S790" s="149">
        <v>193677</v>
      </c>
      <c r="T790" s="149">
        <v>209171</v>
      </c>
    </row>
    <row r="791" spans="1:20" ht="24" customHeight="1">
      <c r="A791" s="247" t="s">
        <v>501</v>
      </c>
      <c r="B791" s="183"/>
      <c r="C791" s="183"/>
      <c r="D791" s="247" t="s">
        <v>166</v>
      </c>
      <c r="E791" s="183"/>
      <c r="F791" s="183"/>
      <c r="G791" s="183"/>
      <c r="H791" s="183"/>
      <c r="I791" s="183"/>
      <c r="J791" s="183"/>
      <c r="K791" s="183"/>
      <c r="L791" s="192">
        <v>884</v>
      </c>
      <c r="M791" s="192">
        <v>896</v>
      </c>
      <c r="N791" s="147">
        <v>594</v>
      </c>
      <c r="O791" s="150">
        <v>583</v>
      </c>
      <c r="P791" s="146">
        <v>645</v>
      </c>
      <c r="Q791" s="146">
        <v>651</v>
      </c>
      <c r="R791" s="146">
        <v>658</v>
      </c>
      <c r="S791" s="146">
        <v>665</v>
      </c>
      <c r="T791" s="146">
        <v>672</v>
      </c>
    </row>
    <row r="792" spans="1:20" ht="24" customHeight="1">
      <c r="A792" s="247" t="s">
        <v>502</v>
      </c>
      <c r="B792" s="183"/>
      <c r="C792" s="183"/>
      <c r="D792" s="247" t="s">
        <v>503</v>
      </c>
      <c r="E792" s="183"/>
      <c r="F792" s="183"/>
      <c r="G792" s="183"/>
      <c r="H792" s="183"/>
      <c r="I792" s="183"/>
      <c r="J792" s="183"/>
      <c r="K792" s="183"/>
      <c r="L792" s="192">
        <v>8353</v>
      </c>
      <c r="M792" s="192">
        <v>9726</v>
      </c>
      <c r="N792" s="147">
        <v>10707</v>
      </c>
      <c r="O792" s="150">
        <v>9797</v>
      </c>
      <c r="P792" s="146">
        <v>10866</v>
      </c>
      <c r="Q792" s="146">
        <v>11409</v>
      </c>
      <c r="R792" s="146">
        <v>11979</v>
      </c>
      <c r="S792" s="146">
        <v>12578</v>
      </c>
      <c r="T792" s="146">
        <v>13207</v>
      </c>
    </row>
    <row r="793" spans="1:20" ht="24" customHeight="1">
      <c r="A793" s="247" t="s">
        <v>512</v>
      </c>
      <c r="B793" s="183"/>
      <c r="C793" s="183"/>
      <c r="D793" s="247" t="s">
        <v>505</v>
      </c>
      <c r="E793" s="183"/>
      <c r="F793" s="183"/>
      <c r="G793" s="183"/>
      <c r="H793" s="183"/>
      <c r="I793" s="183"/>
      <c r="J793" s="183"/>
      <c r="K793" s="183"/>
      <c r="L793" s="192">
        <v>1002</v>
      </c>
      <c r="M793" s="192">
        <v>1313</v>
      </c>
      <c r="N793" s="147">
        <v>1497</v>
      </c>
      <c r="O793" s="150">
        <v>1393</v>
      </c>
      <c r="P793" s="146">
        <v>1537</v>
      </c>
      <c r="Q793" s="146">
        <v>1537</v>
      </c>
      <c r="R793" s="146">
        <v>1583</v>
      </c>
      <c r="S793" s="146">
        <v>1630</v>
      </c>
      <c r="T793" s="146">
        <v>1679</v>
      </c>
    </row>
    <row r="794" spans="1:20" ht="24" customHeight="1">
      <c r="A794" s="247" t="s">
        <v>387</v>
      </c>
      <c r="B794" s="248"/>
      <c r="C794" s="248"/>
      <c r="D794" s="247" t="s">
        <v>90</v>
      </c>
      <c r="E794" s="248"/>
      <c r="F794" s="248"/>
      <c r="G794" s="248"/>
      <c r="H794" s="248"/>
      <c r="I794" s="248"/>
      <c r="J794" s="248"/>
      <c r="K794" s="248"/>
      <c r="L794" s="192">
        <v>4410</v>
      </c>
      <c r="M794" s="192">
        <v>4186</v>
      </c>
      <c r="N794" s="144">
        <v>7000</v>
      </c>
      <c r="O794" s="144">
        <v>1000</v>
      </c>
      <c r="P794" s="143">
        <v>7000</v>
      </c>
      <c r="Q794" s="143">
        <v>7000</v>
      </c>
      <c r="R794" s="143">
        <v>7000</v>
      </c>
      <c r="S794" s="143">
        <v>7000</v>
      </c>
      <c r="T794" s="143">
        <v>7000</v>
      </c>
    </row>
    <row r="795" spans="1:20" ht="24" customHeight="1">
      <c r="A795" s="247" t="s">
        <v>388</v>
      </c>
      <c r="B795" s="248"/>
      <c r="C795" s="248"/>
      <c r="D795" s="247" t="s">
        <v>910</v>
      </c>
      <c r="E795" s="248"/>
      <c r="F795" s="248"/>
      <c r="G795" s="248"/>
      <c r="H795" s="248"/>
      <c r="I795" s="248"/>
      <c r="J795" s="248"/>
      <c r="K795" s="248"/>
      <c r="L795" s="192">
        <v>807</v>
      </c>
      <c r="M795" s="192">
        <v>248</v>
      </c>
      <c r="N795" s="144">
        <v>3000</v>
      </c>
      <c r="O795" s="144">
        <v>100</v>
      </c>
      <c r="P795" s="143">
        <v>3000</v>
      </c>
      <c r="Q795" s="143">
        <v>3000</v>
      </c>
      <c r="R795" s="143">
        <v>3000</v>
      </c>
      <c r="S795" s="143">
        <v>3000</v>
      </c>
      <c r="T795" s="143">
        <v>3000</v>
      </c>
    </row>
    <row r="796" spans="1:20" ht="24" customHeight="1">
      <c r="A796" s="247" t="s">
        <v>954</v>
      </c>
      <c r="B796" s="248"/>
      <c r="C796" s="248"/>
      <c r="D796" s="247" t="s">
        <v>866</v>
      </c>
      <c r="E796" s="248"/>
      <c r="F796" s="248"/>
      <c r="G796" s="248"/>
      <c r="H796" s="248"/>
      <c r="I796" s="248"/>
      <c r="J796" s="248"/>
      <c r="K796" s="248"/>
      <c r="L796" s="190">
        <v>53908</v>
      </c>
      <c r="M796" s="190">
        <v>70000</v>
      </c>
      <c r="N796" s="141">
        <v>0</v>
      </c>
      <c r="O796" s="141">
        <v>0</v>
      </c>
      <c r="P796" s="140">
        <v>0</v>
      </c>
      <c r="Q796" s="140">
        <v>0</v>
      </c>
      <c r="R796" s="140">
        <v>0</v>
      </c>
      <c r="S796" s="140">
        <v>0</v>
      </c>
      <c r="T796" s="140">
        <v>0</v>
      </c>
    </row>
    <row r="797" spans="1:20" ht="24" customHeight="1">
      <c r="A797" s="247" t="s">
        <v>1252</v>
      </c>
      <c r="B797" s="183"/>
      <c r="C797" s="183"/>
      <c r="D797" s="1" t="s">
        <v>1245</v>
      </c>
      <c r="E797" s="183"/>
      <c r="F797" s="183"/>
      <c r="G797" s="183"/>
      <c r="H797" s="183"/>
      <c r="I797" s="183"/>
      <c r="J797" s="183"/>
      <c r="K797" s="183"/>
      <c r="L797" s="196">
        <v>0</v>
      </c>
      <c r="M797" s="196">
        <v>0</v>
      </c>
      <c r="N797" s="150">
        <v>5200</v>
      </c>
      <c r="O797" s="150">
        <v>5200</v>
      </c>
      <c r="P797" s="149">
        <v>662</v>
      </c>
      <c r="Q797" s="149">
        <v>0</v>
      </c>
      <c r="R797" s="149">
        <v>1459</v>
      </c>
      <c r="S797" s="149">
        <v>7086</v>
      </c>
      <c r="T797" s="149">
        <v>6637</v>
      </c>
    </row>
    <row r="798" spans="1:20" ht="24" customHeight="1">
      <c r="A798" s="247" t="s">
        <v>389</v>
      </c>
      <c r="B798" s="183"/>
      <c r="C798" s="183"/>
      <c r="D798" s="247" t="s">
        <v>215</v>
      </c>
      <c r="E798" s="183"/>
      <c r="F798" s="183"/>
      <c r="G798" s="183"/>
      <c r="H798" s="183"/>
      <c r="I798" s="183"/>
      <c r="J798" s="183"/>
      <c r="K798" s="183"/>
      <c r="L798" s="192">
        <v>6278</v>
      </c>
      <c r="M798" s="192">
        <v>6348</v>
      </c>
      <c r="N798" s="144">
        <v>6500</v>
      </c>
      <c r="O798" s="144">
        <v>6500</v>
      </c>
      <c r="P798" s="143">
        <v>6500</v>
      </c>
      <c r="Q798" s="143">
        <v>6500</v>
      </c>
      <c r="R798" s="143">
        <v>6500</v>
      </c>
      <c r="S798" s="143">
        <v>6500</v>
      </c>
      <c r="T798" s="143">
        <v>6500</v>
      </c>
    </row>
    <row r="799" spans="1:20" ht="24" customHeight="1">
      <c r="A799" s="247" t="s">
        <v>390</v>
      </c>
      <c r="B799" s="183"/>
      <c r="C799" s="183"/>
      <c r="D799" s="247" t="s">
        <v>10</v>
      </c>
      <c r="E799" s="183"/>
      <c r="F799" s="183"/>
      <c r="G799" s="183"/>
      <c r="H799" s="183"/>
      <c r="I799" s="183"/>
      <c r="J799" s="183"/>
      <c r="K799" s="183"/>
      <c r="L799" s="192">
        <v>2461</v>
      </c>
      <c r="M799" s="192">
        <v>1940</v>
      </c>
      <c r="N799" s="144">
        <v>3000</v>
      </c>
      <c r="O799" s="144">
        <v>3000</v>
      </c>
      <c r="P799" s="143">
        <v>9400</v>
      </c>
      <c r="Q799" s="143">
        <v>9400</v>
      </c>
      <c r="R799" s="143">
        <v>9400</v>
      </c>
      <c r="S799" s="143">
        <v>9400</v>
      </c>
      <c r="T799" s="143">
        <v>9400</v>
      </c>
    </row>
    <row r="800" spans="1:20" ht="24" customHeight="1">
      <c r="A800" s="247" t="s">
        <v>391</v>
      </c>
      <c r="B800" s="183"/>
      <c r="C800" s="183"/>
      <c r="D800" s="247" t="s">
        <v>124</v>
      </c>
      <c r="E800" s="183"/>
      <c r="F800" s="183"/>
      <c r="G800" s="183"/>
      <c r="H800" s="183"/>
      <c r="I800" s="183"/>
      <c r="J800" s="183"/>
      <c r="K800" s="183"/>
      <c r="L800" s="192">
        <v>663</v>
      </c>
      <c r="M800" s="192">
        <v>2634</v>
      </c>
      <c r="N800" s="144">
        <v>6000</v>
      </c>
      <c r="O800" s="144">
        <v>2000</v>
      </c>
      <c r="P800" s="143">
        <v>3000</v>
      </c>
      <c r="Q800" s="143">
        <v>3000</v>
      </c>
      <c r="R800" s="143">
        <v>3000</v>
      </c>
      <c r="S800" s="143">
        <v>3000</v>
      </c>
      <c r="T800" s="143">
        <v>3000</v>
      </c>
    </row>
    <row r="801" spans="1:21" ht="24" customHeight="1">
      <c r="A801" s="247" t="s">
        <v>392</v>
      </c>
      <c r="B801" s="248"/>
      <c r="C801" s="248"/>
      <c r="D801" s="247" t="s">
        <v>85</v>
      </c>
      <c r="E801" s="248"/>
      <c r="F801" s="248"/>
      <c r="G801" s="248"/>
      <c r="H801" s="248"/>
      <c r="I801" s="248"/>
      <c r="J801" s="248"/>
      <c r="K801" s="248"/>
      <c r="L801" s="192">
        <v>2334</v>
      </c>
      <c r="M801" s="192">
        <v>5818</v>
      </c>
      <c r="N801" s="144">
        <v>2500</v>
      </c>
      <c r="O801" s="144">
        <v>2500</v>
      </c>
      <c r="P801" s="143">
        <v>2500</v>
      </c>
      <c r="Q801" s="143">
        <v>2500</v>
      </c>
      <c r="R801" s="143">
        <v>2500</v>
      </c>
      <c r="S801" s="143">
        <v>2500</v>
      </c>
      <c r="T801" s="143">
        <v>2500</v>
      </c>
    </row>
    <row r="802" spans="1:21" ht="24" customHeight="1">
      <c r="A802" s="247" t="s">
        <v>1143</v>
      </c>
      <c r="B802" s="183"/>
      <c r="C802" s="183"/>
      <c r="D802" s="247" t="s">
        <v>86</v>
      </c>
      <c r="E802" s="183"/>
      <c r="F802" s="183"/>
      <c r="G802" s="183"/>
      <c r="H802" s="183"/>
      <c r="I802" s="183"/>
      <c r="J802" s="183"/>
      <c r="K802" s="183"/>
      <c r="L802" s="196">
        <v>0</v>
      </c>
      <c r="M802" s="196">
        <v>2719</v>
      </c>
      <c r="N802" s="150">
        <v>2800</v>
      </c>
      <c r="O802" s="150">
        <v>2792</v>
      </c>
      <c r="P802" s="149">
        <v>2876</v>
      </c>
      <c r="Q802" s="149">
        <v>2962</v>
      </c>
      <c r="R802" s="149">
        <v>3051</v>
      </c>
      <c r="S802" s="149">
        <v>3143</v>
      </c>
      <c r="T802" s="149">
        <v>3237</v>
      </c>
    </row>
    <row r="803" spans="1:21" ht="24" customHeight="1">
      <c r="A803" s="247" t="s">
        <v>575</v>
      </c>
      <c r="B803" s="248"/>
      <c r="C803" s="248"/>
      <c r="D803" s="247" t="s">
        <v>914</v>
      </c>
      <c r="E803" s="248"/>
      <c r="F803" s="248"/>
      <c r="G803" s="248"/>
      <c r="H803" s="248"/>
      <c r="I803" s="248"/>
      <c r="J803" s="248"/>
      <c r="K803" s="248"/>
      <c r="L803" s="192">
        <v>22411</v>
      </c>
      <c r="M803" s="192">
        <v>17640</v>
      </c>
      <c r="N803" s="144">
        <v>50000</v>
      </c>
      <c r="O803" s="144">
        <v>50000</v>
      </c>
      <c r="P803" s="143">
        <v>50000</v>
      </c>
      <c r="Q803" s="143">
        <v>50000</v>
      </c>
      <c r="R803" s="143">
        <v>50000</v>
      </c>
      <c r="S803" s="143">
        <v>50000</v>
      </c>
      <c r="T803" s="143">
        <v>50000</v>
      </c>
    </row>
    <row r="804" spans="1:21" ht="24" customHeight="1">
      <c r="A804" s="247" t="s">
        <v>393</v>
      </c>
      <c r="B804" s="248"/>
      <c r="C804" s="248"/>
      <c r="D804" s="247" t="s">
        <v>93</v>
      </c>
      <c r="E804" s="248"/>
      <c r="F804" s="248"/>
      <c r="G804" s="248"/>
      <c r="H804" s="248"/>
      <c r="I804" s="248"/>
      <c r="J804" s="248"/>
      <c r="K804" s="248"/>
      <c r="L804" s="192">
        <v>5344</v>
      </c>
      <c r="M804" s="192">
        <v>8647</v>
      </c>
      <c r="N804" s="141">
        <v>6220</v>
      </c>
      <c r="O804" s="141">
        <v>6220</v>
      </c>
      <c r="P804" s="140">
        <v>6220</v>
      </c>
      <c r="Q804" s="140">
        <v>6220</v>
      </c>
      <c r="R804" s="140">
        <v>6220</v>
      </c>
      <c r="S804" s="140">
        <v>6220</v>
      </c>
      <c r="T804" s="140">
        <v>6220</v>
      </c>
    </row>
    <row r="805" spans="1:21" ht="24" customHeight="1">
      <c r="A805" s="247" t="s">
        <v>394</v>
      </c>
      <c r="B805" s="248"/>
      <c r="C805" s="248"/>
      <c r="D805" s="247" t="s">
        <v>12</v>
      </c>
      <c r="E805" s="248"/>
      <c r="F805" s="248"/>
      <c r="G805" s="248"/>
      <c r="H805" s="248"/>
      <c r="I805" s="248"/>
      <c r="J805" s="248"/>
      <c r="K805" s="248"/>
      <c r="L805" s="192">
        <f>23035+542</f>
        <v>23577</v>
      </c>
      <c r="M805" s="192">
        <v>31213</v>
      </c>
      <c r="N805" s="144">
        <v>35200</v>
      </c>
      <c r="O805" s="144">
        <v>35200</v>
      </c>
      <c r="P805" s="143">
        <v>25000</v>
      </c>
      <c r="Q805" s="143">
        <v>25000</v>
      </c>
      <c r="R805" s="143">
        <v>25000</v>
      </c>
      <c r="S805" s="143">
        <v>25000</v>
      </c>
      <c r="T805" s="143">
        <v>25000</v>
      </c>
    </row>
    <row r="806" spans="1:21" ht="24" customHeight="1">
      <c r="A806" s="247" t="s">
        <v>395</v>
      </c>
      <c r="B806" s="248"/>
      <c r="C806" s="248"/>
      <c r="D806" s="247" t="s">
        <v>16</v>
      </c>
      <c r="E806" s="248"/>
      <c r="F806" s="248"/>
      <c r="G806" s="248"/>
      <c r="H806" s="248"/>
      <c r="I806" s="248"/>
      <c r="J806" s="248"/>
      <c r="K806" s="248"/>
      <c r="L806" s="194">
        <v>1576</v>
      </c>
      <c r="M806" s="194">
        <v>5965</v>
      </c>
      <c r="N806" s="147">
        <v>6000</v>
      </c>
      <c r="O806" s="147">
        <v>6000</v>
      </c>
      <c r="P806" s="146">
        <v>6000</v>
      </c>
      <c r="Q806" s="146">
        <v>6000</v>
      </c>
      <c r="R806" s="146">
        <v>6000</v>
      </c>
      <c r="S806" s="146">
        <v>6000</v>
      </c>
      <c r="T806" s="146">
        <v>6000</v>
      </c>
      <c r="U806" s="146"/>
    </row>
    <row r="807" spans="1:21" ht="24" customHeight="1">
      <c r="A807" s="247" t="s">
        <v>396</v>
      </c>
      <c r="B807" s="248"/>
      <c r="C807" s="248"/>
      <c r="D807" s="247" t="s">
        <v>224</v>
      </c>
      <c r="E807" s="248"/>
      <c r="F807" s="248"/>
      <c r="G807" s="248"/>
      <c r="H807" s="248"/>
      <c r="I807" s="248"/>
      <c r="J807" s="248"/>
      <c r="K807" s="248"/>
      <c r="L807" s="194">
        <v>2000</v>
      </c>
      <c r="M807" s="194">
        <v>2000</v>
      </c>
      <c r="N807" s="147">
        <v>20000</v>
      </c>
      <c r="O807" s="147">
        <v>20000</v>
      </c>
      <c r="P807" s="146">
        <v>2000</v>
      </c>
      <c r="Q807" s="146">
        <v>2000</v>
      </c>
      <c r="R807" s="146">
        <v>2000</v>
      </c>
      <c r="S807" s="146">
        <v>2000</v>
      </c>
      <c r="T807" s="146">
        <v>2000</v>
      </c>
      <c r="U807" s="146"/>
    </row>
    <row r="808" spans="1:21" ht="24" customHeight="1">
      <c r="A808" s="247" t="s">
        <v>397</v>
      </c>
      <c r="B808" s="248"/>
      <c r="C808" s="248"/>
      <c r="D808" s="247" t="s">
        <v>913</v>
      </c>
      <c r="E808" s="248"/>
      <c r="F808" s="248"/>
      <c r="G808" s="248"/>
      <c r="H808" s="248"/>
      <c r="I808" s="248"/>
      <c r="J808" s="248"/>
      <c r="K808" s="248"/>
      <c r="L808" s="194">
        <v>69160</v>
      </c>
      <c r="M808" s="194">
        <v>68347</v>
      </c>
      <c r="N808" s="147">
        <v>126000</v>
      </c>
      <c r="O808" s="147">
        <v>126000</v>
      </c>
      <c r="P808" s="146">
        <v>126000</v>
      </c>
      <c r="Q808" s="146">
        <v>126000</v>
      </c>
      <c r="R808" s="146">
        <v>126000</v>
      </c>
      <c r="S808" s="146">
        <v>126000</v>
      </c>
      <c r="T808" s="146">
        <v>126000</v>
      </c>
    </row>
    <row r="809" spans="1:21" ht="24" customHeight="1">
      <c r="A809" s="247" t="s">
        <v>789</v>
      </c>
      <c r="B809" s="248"/>
      <c r="C809" s="248"/>
      <c r="D809" s="247" t="s">
        <v>133</v>
      </c>
      <c r="E809" s="248"/>
      <c r="F809" s="248"/>
      <c r="G809" s="248"/>
      <c r="H809" s="248"/>
      <c r="I809" s="248"/>
      <c r="J809" s="248"/>
      <c r="K809" s="248"/>
      <c r="L809" s="210">
        <v>12439</v>
      </c>
      <c r="M809" s="210">
        <v>15686</v>
      </c>
      <c r="N809" s="168">
        <v>14445</v>
      </c>
      <c r="O809" s="168">
        <v>24200</v>
      </c>
      <c r="P809" s="162">
        <v>25410</v>
      </c>
      <c r="Q809" s="162">
        <v>26681</v>
      </c>
      <c r="R809" s="162">
        <v>28015</v>
      </c>
      <c r="S809" s="162">
        <v>29416</v>
      </c>
      <c r="T809" s="162">
        <v>30887</v>
      </c>
    </row>
    <row r="810" spans="1:21" s="183" customFormat="1" ht="24" customHeight="1">
      <c r="A810" s="247"/>
      <c r="B810" s="248"/>
      <c r="C810" s="248"/>
      <c r="D810" s="247"/>
      <c r="E810" s="248"/>
      <c r="F810" s="248"/>
      <c r="G810" s="248"/>
      <c r="H810" s="248"/>
      <c r="I810" s="248"/>
      <c r="J810" s="248"/>
      <c r="K810" s="248"/>
      <c r="L810" s="215">
        <f>SUM(L785:L809)</f>
        <v>880327</v>
      </c>
      <c r="M810" s="215">
        <f t="shared" ref="M810:T810" si="51">SUM(M785:M809)</f>
        <v>973465</v>
      </c>
      <c r="N810" s="206">
        <f t="shared" si="51"/>
        <v>1105943</v>
      </c>
      <c r="O810" s="206">
        <f t="shared" si="51"/>
        <v>1079164</v>
      </c>
      <c r="P810" s="215">
        <f t="shared" si="51"/>
        <v>1148662</v>
      </c>
      <c r="Q810" s="215">
        <f t="shared" si="51"/>
        <v>1182107</v>
      </c>
      <c r="R810" s="215">
        <f t="shared" si="51"/>
        <v>1221614</v>
      </c>
      <c r="S810" s="215">
        <f>SUM(S785:S809)</f>
        <v>1267212</v>
      </c>
      <c r="T810" s="215">
        <f t="shared" si="51"/>
        <v>1308777</v>
      </c>
      <c r="U810" s="288"/>
    </row>
    <row r="811" spans="1:21" ht="15" customHeight="1">
      <c r="A811" s="247"/>
      <c r="B811" s="248"/>
      <c r="C811" s="248"/>
      <c r="D811" s="247"/>
      <c r="E811" s="248"/>
      <c r="F811" s="248"/>
      <c r="G811" s="248"/>
      <c r="H811" s="248"/>
      <c r="I811" s="248"/>
      <c r="J811" s="248"/>
      <c r="K811" s="248"/>
      <c r="L811" s="193"/>
      <c r="M811" s="193"/>
      <c r="N811" s="148"/>
      <c r="O811" s="148"/>
      <c r="P811" s="145"/>
      <c r="Q811" s="145"/>
      <c r="R811" s="145"/>
      <c r="S811" s="145"/>
      <c r="T811" s="145"/>
    </row>
    <row r="812" spans="1:21" ht="24" customHeight="1">
      <c r="A812" s="251" t="s">
        <v>515</v>
      </c>
      <c r="B812" s="183"/>
      <c r="C812" s="183"/>
      <c r="D812" s="183"/>
      <c r="E812" s="183"/>
      <c r="F812" s="183"/>
      <c r="G812" s="183"/>
      <c r="H812" s="183"/>
      <c r="I812" s="183"/>
      <c r="J812" s="183"/>
      <c r="K812" s="183"/>
      <c r="L812" s="199"/>
      <c r="M812" s="199"/>
      <c r="N812" s="155"/>
      <c r="O812" s="155"/>
      <c r="P812" s="154"/>
      <c r="Q812" s="154"/>
      <c r="R812" s="154"/>
      <c r="S812" s="154"/>
      <c r="T812" s="154"/>
    </row>
    <row r="813" spans="1:21" ht="24" customHeight="1">
      <c r="A813" s="247" t="s">
        <v>528</v>
      </c>
      <c r="B813" s="248"/>
      <c r="C813" s="248"/>
      <c r="D813" s="247" t="s">
        <v>797</v>
      </c>
      <c r="E813" s="248"/>
      <c r="F813" s="248"/>
      <c r="G813" s="248"/>
      <c r="H813" s="248"/>
      <c r="I813" s="248"/>
      <c r="J813" s="248"/>
      <c r="K813" s="248"/>
      <c r="L813" s="192">
        <v>283924</v>
      </c>
      <c r="M813" s="192">
        <v>290580</v>
      </c>
      <c r="N813" s="150">
        <v>324086</v>
      </c>
      <c r="O813" s="150">
        <v>337500</v>
      </c>
      <c r="P813" s="149">
        <v>359002</v>
      </c>
      <c r="Q813" s="149">
        <v>369772</v>
      </c>
      <c r="R813" s="149">
        <v>380865</v>
      </c>
      <c r="S813" s="149">
        <v>392291</v>
      </c>
      <c r="T813" s="149">
        <v>404060</v>
      </c>
    </row>
    <row r="814" spans="1:21" ht="24" customHeight="1">
      <c r="A814" s="247" t="s">
        <v>529</v>
      </c>
      <c r="B814" s="183"/>
      <c r="C814" s="183"/>
      <c r="D814" s="247" t="s">
        <v>68</v>
      </c>
      <c r="E814" s="183"/>
      <c r="F814" s="183"/>
      <c r="G814" s="183"/>
      <c r="H814" s="183"/>
      <c r="I814" s="183"/>
      <c r="J814" s="183"/>
      <c r="K814" s="183"/>
      <c r="L814" s="192">
        <v>9989</v>
      </c>
      <c r="M814" s="192">
        <v>16602</v>
      </c>
      <c r="N814" s="144">
        <v>40000</v>
      </c>
      <c r="O814" s="144">
        <v>40000</v>
      </c>
      <c r="P814" s="143">
        <v>41000</v>
      </c>
      <c r="Q814" s="143">
        <v>42000</v>
      </c>
      <c r="R814" s="143">
        <v>43000</v>
      </c>
      <c r="S814" s="143">
        <v>44000</v>
      </c>
      <c r="T814" s="143">
        <v>45000</v>
      </c>
    </row>
    <row r="815" spans="1:21" ht="24" customHeight="1">
      <c r="A815" s="247" t="s">
        <v>530</v>
      </c>
      <c r="B815" s="248"/>
      <c r="C815" s="248"/>
      <c r="D815" s="247" t="s">
        <v>398</v>
      </c>
      <c r="E815" s="248"/>
      <c r="F815" s="248"/>
      <c r="G815" s="248"/>
      <c r="H815" s="248"/>
      <c r="I815" s="248"/>
      <c r="J815" s="248"/>
      <c r="K815" s="248"/>
      <c r="L815" s="194">
        <v>7891</v>
      </c>
      <c r="M815" s="194">
        <v>8344</v>
      </c>
      <c r="N815" s="147">
        <v>15000</v>
      </c>
      <c r="O815" s="147">
        <v>10000</v>
      </c>
      <c r="P815" s="146">
        <v>15000</v>
      </c>
      <c r="Q815" s="146">
        <v>15000</v>
      </c>
      <c r="R815" s="146">
        <v>15000</v>
      </c>
      <c r="S815" s="146">
        <v>15000</v>
      </c>
      <c r="T815" s="146">
        <v>15000</v>
      </c>
    </row>
    <row r="816" spans="1:21" ht="24" customHeight="1">
      <c r="A816" s="247" t="s">
        <v>531</v>
      </c>
      <c r="B816" s="248"/>
      <c r="C816" s="248"/>
      <c r="D816" s="247" t="s">
        <v>399</v>
      </c>
      <c r="E816" s="248"/>
      <c r="F816" s="248"/>
      <c r="G816" s="248"/>
      <c r="H816" s="248"/>
      <c r="I816" s="248"/>
      <c r="J816" s="248"/>
      <c r="K816" s="248"/>
      <c r="L816" s="194">
        <v>30091</v>
      </c>
      <c r="M816" s="194">
        <v>34468</v>
      </c>
      <c r="N816" s="147">
        <v>40000</v>
      </c>
      <c r="O816" s="147">
        <v>40000</v>
      </c>
      <c r="P816" s="146">
        <v>40000</v>
      </c>
      <c r="Q816" s="146">
        <v>40000</v>
      </c>
      <c r="R816" s="146">
        <v>40000</v>
      </c>
      <c r="S816" s="146">
        <v>40000</v>
      </c>
      <c r="T816" s="146">
        <v>40000</v>
      </c>
    </row>
    <row r="817" spans="1:20" ht="24" customHeight="1">
      <c r="A817" s="247" t="s">
        <v>532</v>
      </c>
      <c r="B817" s="248"/>
      <c r="C817" s="248"/>
      <c r="D817" s="247" t="s">
        <v>400</v>
      </c>
      <c r="E817" s="248"/>
      <c r="F817" s="248"/>
      <c r="G817" s="248"/>
      <c r="H817" s="248"/>
      <c r="I817" s="248"/>
      <c r="J817" s="248"/>
      <c r="K817" s="248"/>
      <c r="L817" s="190">
        <v>10755</v>
      </c>
      <c r="M817" s="190">
        <v>19355</v>
      </c>
      <c r="N817" s="141">
        <v>25000</v>
      </c>
      <c r="O817" s="141">
        <v>25000</v>
      </c>
      <c r="P817" s="140">
        <v>40000</v>
      </c>
      <c r="Q817" s="140">
        <v>40000</v>
      </c>
      <c r="R817" s="140">
        <v>40000</v>
      </c>
      <c r="S817" s="140">
        <v>40000</v>
      </c>
      <c r="T817" s="140">
        <v>40000</v>
      </c>
    </row>
    <row r="818" spans="1:20" ht="24" customHeight="1">
      <c r="A818" s="247" t="s">
        <v>533</v>
      </c>
      <c r="B818" s="248"/>
      <c r="C818" s="248"/>
      <c r="D818" s="247" t="s">
        <v>8</v>
      </c>
      <c r="E818" s="248"/>
      <c r="F818" s="248"/>
      <c r="G818" s="248"/>
      <c r="H818" s="248"/>
      <c r="I818" s="248"/>
      <c r="J818" s="248"/>
      <c r="K818" s="248"/>
      <c r="L818" s="192">
        <v>30328</v>
      </c>
      <c r="M818" s="192">
        <v>31208</v>
      </c>
      <c r="N818" s="150">
        <v>39956</v>
      </c>
      <c r="O818" s="150">
        <v>36000</v>
      </c>
      <c r="P818" s="143">
        <v>37514</v>
      </c>
      <c r="Q818" s="143">
        <v>34869</v>
      </c>
      <c r="R818" s="143">
        <v>36982</v>
      </c>
      <c r="S818" s="143">
        <v>39229</v>
      </c>
      <c r="T818" s="143">
        <v>41618</v>
      </c>
    </row>
    <row r="819" spans="1:20" ht="24" customHeight="1">
      <c r="A819" s="247" t="s">
        <v>534</v>
      </c>
      <c r="B819" s="183"/>
      <c r="C819" s="183"/>
      <c r="D819" s="247" t="s">
        <v>9</v>
      </c>
      <c r="E819" s="183"/>
      <c r="F819" s="183"/>
      <c r="G819" s="183"/>
      <c r="H819" s="183"/>
      <c r="I819" s="183"/>
      <c r="J819" s="183"/>
      <c r="K819" s="183"/>
      <c r="L819" s="192">
        <v>25585</v>
      </c>
      <c r="M819" s="192">
        <v>27561</v>
      </c>
      <c r="N819" s="150">
        <v>32367</v>
      </c>
      <c r="O819" s="150">
        <v>32367</v>
      </c>
      <c r="P819" s="149">
        <v>36761</v>
      </c>
      <c r="Q819" s="149">
        <v>37864</v>
      </c>
      <c r="R819" s="149">
        <v>39000</v>
      </c>
      <c r="S819" s="149">
        <v>40170</v>
      </c>
      <c r="T819" s="149">
        <v>41375</v>
      </c>
    </row>
    <row r="820" spans="1:20" ht="24" customHeight="1">
      <c r="A820" s="247" t="s">
        <v>535</v>
      </c>
      <c r="B820" s="183"/>
      <c r="C820" s="183"/>
      <c r="D820" s="247" t="s">
        <v>13</v>
      </c>
      <c r="E820" s="183"/>
      <c r="F820" s="183"/>
      <c r="G820" s="183"/>
      <c r="H820" s="183"/>
      <c r="I820" s="183"/>
      <c r="J820" s="183"/>
      <c r="K820" s="183"/>
      <c r="L820" s="192">
        <v>91187</v>
      </c>
      <c r="M820" s="192">
        <v>92497</v>
      </c>
      <c r="N820" s="147">
        <v>90945</v>
      </c>
      <c r="O820" s="150">
        <v>90570</v>
      </c>
      <c r="P820" s="149">
        <v>101795</v>
      </c>
      <c r="Q820" s="149">
        <v>109939</v>
      </c>
      <c r="R820" s="149">
        <v>118734</v>
      </c>
      <c r="S820" s="149">
        <v>128233</v>
      </c>
      <c r="T820" s="149">
        <v>138492</v>
      </c>
    </row>
    <row r="821" spans="1:20" ht="24" customHeight="1">
      <c r="A821" s="247" t="s">
        <v>536</v>
      </c>
      <c r="B821" s="183"/>
      <c r="C821" s="183"/>
      <c r="D821" s="247" t="s">
        <v>166</v>
      </c>
      <c r="E821" s="183"/>
      <c r="F821" s="183"/>
      <c r="G821" s="183"/>
      <c r="H821" s="183"/>
      <c r="I821" s="183"/>
      <c r="J821" s="183"/>
      <c r="K821" s="183"/>
      <c r="L821" s="192">
        <v>396</v>
      </c>
      <c r="M821" s="192">
        <v>407</v>
      </c>
      <c r="N821" s="147">
        <v>440</v>
      </c>
      <c r="O821" s="150">
        <v>440</v>
      </c>
      <c r="P821" s="146">
        <v>440</v>
      </c>
      <c r="Q821" s="146">
        <v>444</v>
      </c>
      <c r="R821" s="146">
        <v>448</v>
      </c>
      <c r="S821" s="146">
        <v>452</v>
      </c>
      <c r="T821" s="146">
        <v>457</v>
      </c>
    </row>
    <row r="822" spans="1:20" ht="24" customHeight="1">
      <c r="A822" s="247" t="s">
        <v>537</v>
      </c>
      <c r="B822" s="183"/>
      <c r="C822" s="183"/>
      <c r="D822" s="247" t="s">
        <v>503</v>
      </c>
      <c r="E822" s="183"/>
      <c r="F822" s="183"/>
      <c r="G822" s="183"/>
      <c r="H822" s="183"/>
      <c r="I822" s="183"/>
      <c r="J822" s="183"/>
      <c r="K822" s="183"/>
      <c r="L822" s="192">
        <v>6362</v>
      </c>
      <c r="M822" s="192">
        <v>6235</v>
      </c>
      <c r="N822" s="147">
        <v>6539</v>
      </c>
      <c r="O822" s="150">
        <v>6539</v>
      </c>
      <c r="P822" s="146">
        <v>6539</v>
      </c>
      <c r="Q822" s="146">
        <v>6866</v>
      </c>
      <c r="R822" s="146">
        <v>7209</v>
      </c>
      <c r="S822" s="146">
        <v>7569</v>
      </c>
      <c r="T822" s="146">
        <v>7947</v>
      </c>
    </row>
    <row r="823" spans="1:20" ht="24" customHeight="1">
      <c r="A823" s="247" t="s">
        <v>538</v>
      </c>
      <c r="B823" s="183"/>
      <c r="C823" s="183"/>
      <c r="D823" s="247" t="s">
        <v>505</v>
      </c>
      <c r="E823" s="183"/>
      <c r="F823" s="183"/>
      <c r="G823" s="183"/>
      <c r="H823" s="183"/>
      <c r="I823" s="183"/>
      <c r="J823" s="183"/>
      <c r="K823" s="183"/>
      <c r="L823" s="192">
        <v>802</v>
      </c>
      <c r="M823" s="192">
        <v>868</v>
      </c>
      <c r="N823" s="147">
        <v>948</v>
      </c>
      <c r="O823" s="150">
        <v>948</v>
      </c>
      <c r="P823" s="146">
        <v>948</v>
      </c>
      <c r="Q823" s="146">
        <v>948</v>
      </c>
      <c r="R823" s="146">
        <v>976</v>
      </c>
      <c r="S823" s="146">
        <v>1005</v>
      </c>
      <c r="T823" s="146">
        <v>1035</v>
      </c>
    </row>
    <row r="824" spans="1:20" ht="24" customHeight="1">
      <c r="A824" s="445" t="s">
        <v>1360</v>
      </c>
      <c r="B824" s="446"/>
      <c r="C824" s="446"/>
      <c r="D824" s="445" t="s">
        <v>91</v>
      </c>
      <c r="E824" s="446"/>
      <c r="F824" s="446"/>
      <c r="G824" s="446"/>
      <c r="H824" s="446"/>
      <c r="I824" s="446"/>
      <c r="J824" s="446"/>
      <c r="K824" s="446"/>
      <c r="L824" s="192">
        <v>0</v>
      </c>
      <c r="M824" s="192">
        <v>0</v>
      </c>
      <c r="N824" s="147">
        <v>0</v>
      </c>
      <c r="O824" s="150">
        <v>3216</v>
      </c>
      <c r="P824" s="149">
        <v>9648</v>
      </c>
      <c r="Q824" s="149">
        <v>1608</v>
      </c>
      <c r="R824" s="146">
        <v>0</v>
      </c>
      <c r="S824" s="146">
        <v>0</v>
      </c>
      <c r="T824" s="146">
        <v>0</v>
      </c>
    </row>
    <row r="825" spans="1:20" ht="24" customHeight="1">
      <c r="A825" s="247" t="s">
        <v>539</v>
      </c>
      <c r="B825" s="248"/>
      <c r="C825" s="248"/>
      <c r="D825" s="247" t="s">
        <v>90</v>
      </c>
      <c r="E825" s="248"/>
      <c r="F825" s="248"/>
      <c r="G825" s="248"/>
      <c r="H825" s="248"/>
      <c r="I825" s="248"/>
      <c r="J825" s="248"/>
      <c r="K825" s="248"/>
      <c r="L825" s="192">
        <v>2951</v>
      </c>
      <c r="M825" s="192">
        <v>3295</v>
      </c>
      <c r="N825" s="144">
        <v>5000</v>
      </c>
      <c r="O825" s="144">
        <v>5000</v>
      </c>
      <c r="P825" s="143">
        <v>5000</v>
      </c>
      <c r="Q825" s="143">
        <v>5000</v>
      </c>
      <c r="R825" s="143">
        <v>5000</v>
      </c>
      <c r="S825" s="143">
        <v>5000</v>
      </c>
      <c r="T825" s="143">
        <v>5000</v>
      </c>
    </row>
    <row r="826" spans="1:20" ht="24" customHeight="1">
      <c r="A826" s="247" t="s">
        <v>540</v>
      </c>
      <c r="B826" s="248"/>
      <c r="C826" s="248"/>
      <c r="D826" s="247" t="s">
        <v>910</v>
      </c>
      <c r="E826" s="248"/>
      <c r="F826" s="248"/>
      <c r="G826" s="248"/>
      <c r="H826" s="248"/>
      <c r="I826" s="248"/>
      <c r="J826" s="248"/>
      <c r="K826" s="248"/>
      <c r="L826" s="192">
        <v>1028</v>
      </c>
      <c r="M826" s="192">
        <v>542</v>
      </c>
      <c r="N826" s="144">
        <v>3000</v>
      </c>
      <c r="O826" s="144">
        <v>3000</v>
      </c>
      <c r="P826" s="143">
        <v>3000</v>
      </c>
      <c r="Q826" s="143">
        <v>3000</v>
      </c>
      <c r="R826" s="143">
        <v>3000</v>
      </c>
      <c r="S826" s="143">
        <v>3000</v>
      </c>
      <c r="T826" s="143">
        <v>3000</v>
      </c>
    </row>
    <row r="827" spans="1:20" ht="24" customHeight="1">
      <c r="A827" s="247" t="s">
        <v>1194</v>
      </c>
      <c r="B827" s="248"/>
      <c r="C827" s="248"/>
      <c r="D827" s="247" t="s">
        <v>866</v>
      </c>
      <c r="E827" s="248"/>
      <c r="F827" s="248"/>
      <c r="G827" s="248"/>
      <c r="H827" s="248"/>
      <c r="I827" s="248"/>
      <c r="J827" s="248"/>
      <c r="K827" s="248"/>
      <c r="L827" s="190">
        <v>20000</v>
      </c>
      <c r="M827" s="190">
        <v>0</v>
      </c>
      <c r="N827" s="141">
        <v>0</v>
      </c>
      <c r="O827" s="141">
        <v>0</v>
      </c>
      <c r="P827" s="140">
        <v>0</v>
      </c>
      <c r="Q827" s="140">
        <v>0</v>
      </c>
      <c r="R827" s="140">
        <v>0</v>
      </c>
      <c r="S827" s="140">
        <v>0</v>
      </c>
      <c r="T827" s="140">
        <v>0</v>
      </c>
    </row>
    <row r="828" spans="1:20" ht="24" customHeight="1">
      <c r="A828" s="247" t="s">
        <v>1253</v>
      </c>
      <c r="B828" s="183"/>
      <c r="C828" s="183"/>
      <c r="D828" s="1" t="s">
        <v>1245</v>
      </c>
      <c r="E828" s="183"/>
      <c r="F828" s="183"/>
      <c r="G828" s="183"/>
      <c r="H828" s="183"/>
      <c r="I828" s="183"/>
      <c r="J828" s="183"/>
      <c r="K828" s="183"/>
      <c r="L828" s="196">
        <v>0</v>
      </c>
      <c r="M828" s="196">
        <v>0</v>
      </c>
      <c r="N828" s="150">
        <v>4412</v>
      </c>
      <c r="O828" s="150">
        <v>4412</v>
      </c>
      <c r="P828" s="149">
        <v>2812</v>
      </c>
      <c r="Q828" s="149">
        <v>2258</v>
      </c>
      <c r="R828" s="149">
        <v>1459</v>
      </c>
      <c r="S828" s="149">
        <v>6129</v>
      </c>
      <c r="T828" s="149">
        <v>5631</v>
      </c>
    </row>
    <row r="829" spans="1:20" ht="24" customHeight="1">
      <c r="A829" s="247" t="s">
        <v>541</v>
      </c>
      <c r="B829" s="248"/>
      <c r="C829" s="248"/>
      <c r="D829" s="247" t="s">
        <v>89</v>
      </c>
      <c r="E829" s="248"/>
      <c r="F829" s="248"/>
      <c r="G829" s="248"/>
      <c r="H829" s="248"/>
      <c r="I829" s="248"/>
      <c r="J829" s="248"/>
      <c r="K829" s="248"/>
      <c r="L829" s="190">
        <v>52018</v>
      </c>
      <c r="M829" s="190">
        <v>52825</v>
      </c>
      <c r="N829" s="141">
        <v>55000</v>
      </c>
      <c r="O829" s="141">
        <v>55000</v>
      </c>
      <c r="P829" s="140">
        <v>55000</v>
      </c>
      <c r="Q829" s="140">
        <v>55000</v>
      </c>
      <c r="R829" s="140">
        <v>55000</v>
      </c>
      <c r="S829" s="140">
        <v>55000</v>
      </c>
      <c r="T829" s="140">
        <v>55000</v>
      </c>
    </row>
    <row r="830" spans="1:20" ht="24" customHeight="1">
      <c r="A830" s="247" t="s">
        <v>542</v>
      </c>
      <c r="B830" s="183"/>
      <c r="C830" s="183"/>
      <c r="D830" s="247" t="s">
        <v>215</v>
      </c>
      <c r="E830" s="183"/>
      <c r="F830" s="183"/>
      <c r="G830" s="183"/>
      <c r="H830" s="183"/>
      <c r="I830" s="183"/>
      <c r="J830" s="183"/>
      <c r="K830" s="183"/>
      <c r="L830" s="192">
        <v>7064</v>
      </c>
      <c r="M830" s="192">
        <v>7734</v>
      </c>
      <c r="N830" s="144">
        <v>8000</v>
      </c>
      <c r="O830" s="144">
        <v>8000</v>
      </c>
      <c r="P830" s="143">
        <v>8000</v>
      </c>
      <c r="Q830" s="143">
        <v>8000</v>
      </c>
      <c r="R830" s="143">
        <v>8000</v>
      </c>
      <c r="S830" s="143">
        <v>8000</v>
      </c>
      <c r="T830" s="143">
        <v>8000</v>
      </c>
    </row>
    <row r="831" spans="1:20" ht="24" customHeight="1">
      <c r="A831" s="247" t="s">
        <v>543</v>
      </c>
      <c r="B831" s="183"/>
      <c r="C831" s="183"/>
      <c r="D831" s="420" t="s">
        <v>401</v>
      </c>
      <c r="E831" s="421"/>
      <c r="F831" s="421"/>
      <c r="G831" s="421"/>
      <c r="H831" s="421"/>
      <c r="I831" s="421"/>
      <c r="J831" s="421"/>
      <c r="K831" s="421"/>
      <c r="L831" s="192">
        <v>0</v>
      </c>
      <c r="M831" s="192">
        <v>0</v>
      </c>
      <c r="N831" s="144">
        <v>2500</v>
      </c>
      <c r="O831" s="144">
        <v>1000</v>
      </c>
      <c r="P831" s="143">
        <v>2500</v>
      </c>
      <c r="Q831" s="143">
        <v>2500</v>
      </c>
      <c r="R831" s="143">
        <v>2500</v>
      </c>
      <c r="S831" s="143">
        <v>2500</v>
      </c>
      <c r="T831" s="143">
        <v>2500</v>
      </c>
    </row>
    <row r="832" spans="1:20" ht="24" customHeight="1">
      <c r="A832" s="247" t="s">
        <v>544</v>
      </c>
      <c r="B832" s="248"/>
      <c r="C832" s="248"/>
      <c r="D832" s="247" t="s">
        <v>88</v>
      </c>
      <c r="E832" s="248"/>
      <c r="F832" s="248"/>
      <c r="G832" s="248"/>
      <c r="H832" s="248"/>
      <c r="I832" s="248"/>
      <c r="J832" s="248"/>
      <c r="K832" s="248"/>
      <c r="L832" s="192">
        <v>2609</v>
      </c>
      <c r="M832" s="192">
        <v>3198</v>
      </c>
      <c r="N832" s="144">
        <v>3500</v>
      </c>
      <c r="O832" s="144">
        <v>3500</v>
      </c>
      <c r="P832" s="143">
        <v>3500</v>
      </c>
      <c r="Q832" s="143">
        <v>3500</v>
      </c>
      <c r="R832" s="143">
        <v>3500</v>
      </c>
      <c r="S832" s="143">
        <v>3500</v>
      </c>
      <c r="T832" s="143">
        <v>3500</v>
      </c>
    </row>
    <row r="833" spans="1:21" ht="24" customHeight="1">
      <c r="A833" s="247" t="s">
        <v>894</v>
      </c>
      <c r="B833" s="183"/>
      <c r="C833" s="183"/>
      <c r="D833" s="247" t="s">
        <v>912</v>
      </c>
      <c r="E833" s="183"/>
      <c r="F833" s="183"/>
      <c r="G833" s="183"/>
      <c r="H833" s="183"/>
      <c r="I833" s="183"/>
      <c r="J833" s="183"/>
      <c r="K833" s="183"/>
      <c r="L833" s="213">
        <v>1155</v>
      </c>
      <c r="M833" s="213">
        <v>4113</v>
      </c>
      <c r="N833" s="171">
        <v>3000</v>
      </c>
      <c r="O833" s="171">
        <v>3000</v>
      </c>
      <c r="P833" s="146">
        <v>3000</v>
      </c>
      <c r="Q833" s="146">
        <v>3000</v>
      </c>
      <c r="R833" s="146">
        <v>3000</v>
      </c>
      <c r="S833" s="146">
        <v>3000</v>
      </c>
      <c r="T833" s="146">
        <v>3000</v>
      </c>
    </row>
    <row r="834" spans="1:21" ht="24" customHeight="1">
      <c r="A834" s="247" t="s">
        <v>545</v>
      </c>
      <c r="B834" s="183"/>
      <c r="C834" s="183"/>
      <c r="D834" s="247" t="s">
        <v>10</v>
      </c>
      <c r="E834" s="183"/>
      <c r="F834" s="183"/>
      <c r="G834" s="183"/>
      <c r="H834" s="183"/>
      <c r="I834" s="183"/>
      <c r="J834" s="183"/>
      <c r="K834" s="183"/>
      <c r="L834" s="192">
        <f>101090+199</f>
        <v>101289</v>
      </c>
      <c r="M834" s="192">
        <v>116287</v>
      </c>
      <c r="N834" s="144">
        <v>100000</v>
      </c>
      <c r="O834" s="144">
        <v>100000</v>
      </c>
      <c r="P834" s="146">
        <v>100000</v>
      </c>
      <c r="Q834" s="146">
        <v>100000</v>
      </c>
      <c r="R834" s="146">
        <v>100000</v>
      </c>
      <c r="S834" s="146">
        <v>100000</v>
      </c>
      <c r="T834" s="146">
        <v>100000</v>
      </c>
    </row>
    <row r="835" spans="1:21" ht="24" customHeight="1">
      <c r="A835" s="247" t="s">
        <v>546</v>
      </c>
      <c r="B835" s="248"/>
      <c r="C835" s="248"/>
      <c r="D835" s="247" t="s">
        <v>17</v>
      </c>
      <c r="E835" s="248"/>
      <c r="F835" s="248"/>
      <c r="G835" s="248"/>
      <c r="H835" s="248"/>
      <c r="I835" s="248"/>
      <c r="J835" s="248"/>
      <c r="K835" s="248"/>
      <c r="L835" s="190">
        <v>11976</v>
      </c>
      <c r="M835" s="190">
        <v>11515</v>
      </c>
      <c r="N835" s="144">
        <v>13483</v>
      </c>
      <c r="O835" s="144">
        <v>13483</v>
      </c>
      <c r="P835" s="143">
        <v>14292</v>
      </c>
      <c r="Q835" s="143">
        <v>15150</v>
      </c>
      <c r="R835" s="143">
        <v>16059</v>
      </c>
      <c r="S835" s="143">
        <v>17023</v>
      </c>
      <c r="T835" s="143">
        <v>18044</v>
      </c>
    </row>
    <row r="836" spans="1:21" ht="24" customHeight="1">
      <c r="A836" s="247" t="s">
        <v>547</v>
      </c>
      <c r="B836" s="248"/>
      <c r="C836" s="248"/>
      <c r="D836" s="247" t="s">
        <v>85</v>
      </c>
      <c r="E836" s="248"/>
      <c r="F836" s="248"/>
      <c r="G836" s="248"/>
      <c r="H836" s="248"/>
      <c r="I836" s="248"/>
      <c r="J836" s="248"/>
      <c r="K836" s="248"/>
      <c r="L836" s="192">
        <v>1808</v>
      </c>
      <c r="M836" s="192">
        <v>1874</v>
      </c>
      <c r="N836" s="144">
        <v>3000</v>
      </c>
      <c r="O836" s="144">
        <v>3000</v>
      </c>
      <c r="P836" s="143">
        <v>3000</v>
      </c>
      <c r="Q836" s="143">
        <v>3000</v>
      </c>
      <c r="R836" s="143">
        <v>3000</v>
      </c>
      <c r="S836" s="143">
        <v>3000</v>
      </c>
      <c r="T836" s="143">
        <v>3000</v>
      </c>
    </row>
    <row r="837" spans="1:21" ht="24" customHeight="1">
      <c r="A837" s="247" t="s">
        <v>1144</v>
      </c>
      <c r="B837" s="183"/>
      <c r="C837" s="183"/>
      <c r="D837" s="247" t="s">
        <v>86</v>
      </c>
      <c r="E837" s="183"/>
      <c r="F837" s="183"/>
      <c r="G837" s="183"/>
      <c r="H837" s="183"/>
      <c r="I837" s="183"/>
      <c r="J837" s="183"/>
      <c r="K837" s="183"/>
      <c r="L837" s="196">
        <v>0</v>
      </c>
      <c r="M837" s="196">
        <v>4194</v>
      </c>
      <c r="N837" s="150">
        <v>4319</v>
      </c>
      <c r="O837" s="150">
        <v>3876</v>
      </c>
      <c r="P837" s="149">
        <v>3992</v>
      </c>
      <c r="Q837" s="149">
        <v>4112</v>
      </c>
      <c r="R837" s="149">
        <v>4235</v>
      </c>
      <c r="S837" s="149">
        <v>4362</v>
      </c>
      <c r="T837" s="149">
        <v>4493</v>
      </c>
    </row>
    <row r="838" spans="1:21" ht="24" customHeight="1">
      <c r="A838" s="247" t="s">
        <v>548</v>
      </c>
      <c r="B838" s="248"/>
      <c r="C838" s="248"/>
      <c r="D838" s="247" t="s">
        <v>914</v>
      </c>
      <c r="E838" s="248"/>
      <c r="F838" s="248"/>
      <c r="G838" s="248"/>
      <c r="H838" s="248"/>
      <c r="I838" s="248"/>
      <c r="J838" s="248"/>
      <c r="K838" s="248"/>
      <c r="L838" s="209">
        <v>6061</v>
      </c>
      <c r="M838" s="209">
        <v>1273</v>
      </c>
      <c r="N838" s="172">
        <v>3000</v>
      </c>
      <c r="O838" s="172">
        <v>3000</v>
      </c>
      <c r="P838" s="166">
        <v>3000</v>
      </c>
      <c r="Q838" s="166">
        <v>3000</v>
      </c>
      <c r="R838" s="166">
        <v>3000</v>
      </c>
      <c r="S838" s="166">
        <v>3000</v>
      </c>
      <c r="T838" s="166">
        <v>3000</v>
      </c>
    </row>
    <row r="839" spans="1:21" ht="24" customHeight="1">
      <c r="A839" s="407" t="s">
        <v>549</v>
      </c>
      <c r="B839" s="406"/>
      <c r="C839" s="406"/>
      <c r="D839" s="407" t="s">
        <v>402</v>
      </c>
      <c r="E839" s="406"/>
      <c r="F839" s="406"/>
      <c r="G839" s="406"/>
      <c r="H839" s="406"/>
      <c r="I839" s="406"/>
      <c r="J839" s="406"/>
      <c r="K839" s="406"/>
      <c r="L839" s="209">
        <v>10115</v>
      </c>
      <c r="M839" s="209">
        <v>0</v>
      </c>
      <c r="N839" s="172">
        <v>0</v>
      </c>
      <c r="O839" s="172">
        <v>0</v>
      </c>
      <c r="P839" s="166">
        <v>0</v>
      </c>
      <c r="Q839" s="166">
        <v>0</v>
      </c>
      <c r="R839" s="166">
        <v>0</v>
      </c>
      <c r="S839" s="166">
        <v>0</v>
      </c>
      <c r="T839" s="166">
        <v>0</v>
      </c>
    </row>
    <row r="840" spans="1:21" ht="24" customHeight="1">
      <c r="A840" s="247" t="s">
        <v>550</v>
      </c>
      <c r="B840" s="248"/>
      <c r="C840" s="248"/>
      <c r="D840" s="247" t="s">
        <v>403</v>
      </c>
      <c r="E840" s="248"/>
      <c r="F840" s="248"/>
      <c r="G840" s="248"/>
      <c r="H840" s="248"/>
      <c r="I840" s="248"/>
      <c r="J840" s="248"/>
      <c r="K840" s="248"/>
      <c r="L840" s="192">
        <v>96287</v>
      </c>
      <c r="M840" s="192">
        <v>108177</v>
      </c>
      <c r="N840" s="144">
        <v>100000</v>
      </c>
      <c r="O840" s="144">
        <v>110986</v>
      </c>
      <c r="P840" s="143">
        <v>100000</v>
      </c>
      <c r="Q840" s="143">
        <v>100000</v>
      </c>
      <c r="R840" s="143">
        <v>100000</v>
      </c>
      <c r="S840" s="143">
        <v>100000</v>
      </c>
      <c r="T840" s="143">
        <v>100000</v>
      </c>
    </row>
    <row r="841" spans="1:21" ht="24" customHeight="1">
      <c r="A841" s="247" t="s">
        <v>551</v>
      </c>
      <c r="B841" s="248"/>
      <c r="C841" s="248"/>
      <c r="D841" s="247" t="s">
        <v>404</v>
      </c>
      <c r="E841" s="248"/>
      <c r="F841" s="248"/>
      <c r="G841" s="248"/>
      <c r="H841" s="248"/>
      <c r="I841" s="248"/>
      <c r="J841" s="248"/>
      <c r="K841" s="248"/>
      <c r="L841" s="192">
        <v>121860</v>
      </c>
      <c r="M841" s="192">
        <v>119317</v>
      </c>
      <c r="N841" s="144">
        <v>160000</v>
      </c>
      <c r="O841" s="144">
        <v>160000</v>
      </c>
      <c r="P841" s="143">
        <v>160000</v>
      </c>
      <c r="Q841" s="143">
        <v>160000</v>
      </c>
      <c r="R841" s="143">
        <v>160000</v>
      </c>
      <c r="S841" s="143">
        <v>160000</v>
      </c>
      <c r="T841" s="143">
        <v>160000</v>
      </c>
    </row>
    <row r="842" spans="1:21" ht="24" customHeight="1">
      <c r="A842" s="247" t="s">
        <v>552</v>
      </c>
      <c r="B842" s="248"/>
      <c r="C842" s="248"/>
      <c r="D842" s="247" t="s">
        <v>405</v>
      </c>
      <c r="E842" s="248"/>
      <c r="F842" s="248"/>
      <c r="G842" s="248"/>
      <c r="H842" s="248"/>
      <c r="I842" s="248"/>
      <c r="J842" s="248"/>
      <c r="K842" s="248"/>
      <c r="L842" s="192">
        <v>14926</v>
      </c>
      <c r="M842" s="192">
        <v>15796</v>
      </c>
      <c r="N842" s="144">
        <v>18000</v>
      </c>
      <c r="O842" s="144">
        <v>18000</v>
      </c>
      <c r="P842" s="143">
        <v>18000</v>
      </c>
      <c r="Q842" s="143">
        <v>18000</v>
      </c>
      <c r="R842" s="143">
        <v>18000</v>
      </c>
      <c r="S842" s="143">
        <v>18000</v>
      </c>
      <c r="T842" s="143">
        <v>18000</v>
      </c>
    </row>
    <row r="843" spans="1:21" ht="24" customHeight="1">
      <c r="A843" s="247" t="s">
        <v>553</v>
      </c>
      <c r="B843" s="248"/>
      <c r="C843" s="248"/>
      <c r="D843" s="247" t="s">
        <v>11</v>
      </c>
      <c r="E843" s="248"/>
      <c r="F843" s="248"/>
      <c r="G843" s="248"/>
      <c r="H843" s="248"/>
      <c r="I843" s="248"/>
      <c r="J843" s="248"/>
      <c r="K843" s="248"/>
      <c r="L843" s="192">
        <v>2325</v>
      </c>
      <c r="M843" s="192">
        <v>2809</v>
      </c>
      <c r="N843" s="144">
        <v>3000</v>
      </c>
      <c r="O843" s="144">
        <v>3000</v>
      </c>
      <c r="P843" s="143">
        <v>3000</v>
      </c>
      <c r="Q843" s="143">
        <v>3000</v>
      </c>
      <c r="R843" s="143">
        <v>3000</v>
      </c>
      <c r="S843" s="143">
        <v>3000</v>
      </c>
      <c r="T843" s="143">
        <v>3000</v>
      </c>
    </row>
    <row r="844" spans="1:21" ht="24" customHeight="1">
      <c r="A844" s="247" t="s">
        <v>554</v>
      </c>
      <c r="B844" s="248"/>
      <c r="C844" s="248"/>
      <c r="D844" s="247" t="s">
        <v>12</v>
      </c>
      <c r="E844" s="248"/>
      <c r="F844" s="248"/>
      <c r="G844" s="248"/>
      <c r="H844" s="248"/>
      <c r="I844" s="248"/>
      <c r="J844" s="248"/>
      <c r="K844" s="248"/>
      <c r="L844" s="192">
        <v>9240</v>
      </c>
      <c r="M844" s="192">
        <v>12115</v>
      </c>
      <c r="N844" s="144">
        <v>15000</v>
      </c>
      <c r="O844" s="144">
        <v>15000</v>
      </c>
      <c r="P844" s="143">
        <v>15000</v>
      </c>
      <c r="Q844" s="143">
        <v>15000</v>
      </c>
      <c r="R844" s="143">
        <v>15000</v>
      </c>
      <c r="S844" s="143">
        <v>15000</v>
      </c>
      <c r="T844" s="143">
        <v>15000</v>
      </c>
    </row>
    <row r="845" spans="1:21" ht="24" customHeight="1">
      <c r="A845" s="247" t="s">
        <v>555</v>
      </c>
      <c r="B845" s="248"/>
      <c r="C845" s="248"/>
      <c r="D845" s="247" t="s">
        <v>913</v>
      </c>
      <c r="E845" s="248"/>
      <c r="F845" s="248"/>
      <c r="G845" s="248"/>
      <c r="H845" s="248"/>
      <c r="I845" s="248"/>
      <c r="J845" s="248"/>
      <c r="K845" s="248"/>
      <c r="L845" s="194">
        <v>1230</v>
      </c>
      <c r="M845" s="194">
        <v>2279</v>
      </c>
      <c r="N845" s="147">
        <v>2000</v>
      </c>
      <c r="O845" s="147">
        <v>2000</v>
      </c>
      <c r="P845" s="146">
        <v>2000</v>
      </c>
      <c r="Q845" s="146">
        <v>2000</v>
      </c>
      <c r="R845" s="146">
        <v>2000</v>
      </c>
      <c r="S845" s="146">
        <v>2000</v>
      </c>
      <c r="T845" s="146">
        <v>2000</v>
      </c>
    </row>
    <row r="846" spans="1:21" ht="24" customHeight="1">
      <c r="A846" s="247" t="s">
        <v>556</v>
      </c>
      <c r="B846" s="248"/>
      <c r="C846" s="248"/>
      <c r="D846" s="247" t="s">
        <v>133</v>
      </c>
      <c r="E846" s="248"/>
      <c r="F846" s="248"/>
      <c r="G846" s="248"/>
      <c r="H846" s="248"/>
      <c r="I846" s="248"/>
      <c r="J846" s="248"/>
      <c r="K846" s="248"/>
      <c r="L846" s="198">
        <v>920</v>
      </c>
      <c r="M846" s="198">
        <v>899</v>
      </c>
      <c r="N846" s="153">
        <v>1070</v>
      </c>
      <c r="O846" s="153">
        <v>1000</v>
      </c>
      <c r="P846" s="162">
        <v>1000</v>
      </c>
      <c r="Q846" s="162">
        <v>1000</v>
      </c>
      <c r="R846" s="162">
        <v>1000</v>
      </c>
      <c r="S846" s="162">
        <v>1000</v>
      </c>
      <c r="T846" s="162">
        <v>1000</v>
      </c>
    </row>
    <row r="847" spans="1:21" s="183" customFormat="1" ht="24" customHeight="1">
      <c r="A847" s="247"/>
      <c r="B847" s="248"/>
      <c r="C847" s="248"/>
      <c r="D847" s="247"/>
      <c r="E847" s="248"/>
      <c r="F847" s="248"/>
      <c r="G847" s="248"/>
      <c r="H847" s="248"/>
      <c r="I847" s="248"/>
      <c r="J847" s="248"/>
      <c r="K847" s="248"/>
      <c r="L847" s="217">
        <f>SUM(L813:L846)</f>
        <v>962172</v>
      </c>
      <c r="M847" s="217">
        <f t="shared" ref="M847:T847" si="52">SUM(M813:M846)</f>
        <v>996367</v>
      </c>
      <c r="N847" s="232">
        <f t="shared" si="52"/>
        <v>1122565</v>
      </c>
      <c r="O847" s="232">
        <f t="shared" si="52"/>
        <v>1138837</v>
      </c>
      <c r="P847" s="217">
        <f t="shared" si="52"/>
        <v>1194743</v>
      </c>
      <c r="Q847" s="217">
        <f t="shared" si="52"/>
        <v>1205830</v>
      </c>
      <c r="R847" s="217">
        <f t="shared" si="52"/>
        <v>1228967</v>
      </c>
      <c r="S847" s="217">
        <f t="shared" si="52"/>
        <v>1260463</v>
      </c>
      <c r="T847" s="217">
        <f t="shared" si="52"/>
        <v>1288152</v>
      </c>
      <c r="U847" s="64"/>
    </row>
    <row r="848" spans="1:21" s="183" customFormat="1" ht="15" customHeight="1">
      <c r="A848" s="247"/>
      <c r="B848" s="248"/>
      <c r="C848" s="248"/>
      <c r="D848" s="247"/>
      <c r="E848" s="248"/>
      <c r="F848" s="248"/>
      <c r="G848" s="248"/>
      <c r="H848" s="248"/>
      <c r="I848" s="248"/>
      <c r="J848" s="248"/>
      <c r="K848" s="248"/>
      <c r="L848" s="217"/>
      <c r="M848" s="217"/>
      <c r="N848" s="232"/>
      <c r="O848" s="232"/>
      <c r="P848" s="217"/>
      <c r="Q848" s="217"/>
      <c r="R848" s="217"/>
      <c r="S848" s="217"/>
      <c r="T848" s="217"/>
      <c r="U848" s="64"/>
    </row>
    <row r="849" spans="1:21" s="183" customFormat="1" ht="24" customHeight="1">
      <c r="K849" s="251" t="s">
        <v>457</v>
      </c>
      <c r="L849" s="218">
        <f t="shared" ref="L849:T849" si="53">L810+L847</f>
        <v>1842499</v>
      </c>
      <c r="M849" s="218">
        <f t="shared" si="53"/>
        <v>1969832</v>
      </c>
      <c r="N849" s="202">
        <f t="shared" si="53"/>
        <v>2228508</v>
      </c>
      <c r="O849" s="202">
        <f t="shared" si="53"/>
        <v>2218001</v>
      </c>
      <c r="P849" s="201">
        <f t="shared" si="53"/>
        <v>2343405</v>
      </c>
      <c r="Q849" s="201">
        <f t="shared" si="53"/>
        <v>2387937</v>
      </c>
      <c r="R849" s="201">
        <f t="shared" si="53"/>
        <v>2450581</v>
      </c>
      <c r="S849" s="201">
        <f t="shared" si="53"/>
        <v>2527675</v>
      </c>
      <c r="T849" s="201">
        <f t="shared" si="53"/>
        <v>2596929</v>
      </c>
      <c r="U849" s="64"/>
    </row>
    <row r="850" spans="1:21" s="183" customFormat="1" ht="15" customHeight="1">
      <c r="L850" s="218"/>
      <c r="M850" s="218"/>
      <c r="N850" s="219"/>
      <c r="O850" s="219"/>
      <c r="P850" s="218"/>
      <c r="Q850" s="218"/>
      <c r="R850" s="218"/>
      <c r="S850" s="218"/>
      <c r="T850" s="218"/>
      <c r="U850" s="64"/>
    </row>
    <row r="851" spans="1:21" s="183" customFormat="1" ht="24" customHeight="1">
      <c r="K851" s="251" t="s">
        <v>458</v>
      </c>
      <c r="L851" s="218">
        <f t="shared" ref="L851:T851" si="54">L782-L849</f>
        <v>-54885</v>
      </c>
      <c r="M851" s="218">
        <f t="shared" si="54"/>
        <v>27975</v>
      </c>
      <c r="N851" s="219">
        <f t="shared" si="54"/>
        <v>-105494</v>
      </c>
      <c r="O851" s="219">
        <f t="shared" si="54"/>
        <v>-57980</v>
      </c>
      <c r="P851" s="218">
        <f t="shared" si="54"/>
        <v>-98417</v>
      </c>
      <c r="Q851" s="218">
        <f t="shared" si="54"/>
        <v>6680</v>
      </c>
      <c r="R851" s="218">
        <f t="shared" si="54"/>
        <v>9396</v>
      </c>
      <c r="S851" s="218">
        <f t="shared" si="54"/>
        <v>11564</v>
      </c>
      <c r="T851" s="218">
        <f t="shared" si="54"/>
        <v>10388</v>
      </c>
      <c r="U851" s="64"/>
    </row>
    <row r="852" spans="1:21" s="183" customFormat="1" ht="15" customHeight="1">
      <c r="L852" s="218"/>
      <c r="M852" s="218"/>
      <c r="N852" s="219"/>
      <c r="O852" s="219"/>
      <c r="P852" s="218"/>
      <c r="Q852" s="218"/>
      <c r="R852" s="218"/>
      <c r="S852" s="218"/>
      <c r="T852" s="218"/>
      <c r="U852" s="64"/>
    </row>
    <row r="853" spans="1:21" s="183" customFormat="1" ht="24" customHeight="1">
      <c r="K853" s="256" t="s">
        <v>460</v>
      </c>
      <c r="L853" s="218">
        <v>445875</v>
      </c>
      <c r="M853" s="218">
        <v>473852</v>
      </c>
      <c r="N853" s="219">
        <v>312946</v>
      </c>
      <c r="O853" s="219">
        <f>M853+O851</f>
        <v>415872</v>
      </c>
      <c r="P853" s="218">
        <f>O853+P851</f>
        <v>317455</v>
      </c>
      <c r="Q853" s="218">
        <f>P853+Q851</f>
        <v>324135</v>
      </c>
      <c r="R853" s="218">
        <f>Q853+R851</f>
        <v>333531</v>
      </c>
      <c r="S853" s="218">
        <f>R853+S851</f>
        <v>345095</v>
      </c>
      <c r="T853" s="218">
        <f>S853+T851</f>
        <v>355483</v>
      </c>
      <c r="U853" s="64"/>
    </row>
    <row r="854" spans="1:21" s="260" customFormat="1" ht="24" customHeight="1">
      <c r="K854" s="257"/>
      <c r="L854" s="220">
        <f t="shared" ref="L854:T854" si="55">L853/L849</f>
        <v>0.24199470393199671</v>
      </c>
      <c r="M854" s="220">
        <f t="shared" si="55"/>
        <v>0.24055452444675485</v>
      </c>
      <c r="N854" s="221">
        <f t="shared" si="55"/>
        <v>0.14042848399018537</v>
      </c>
      <c r="O854" s="221">
        <f t="shared" si="55"/>
        <v>0.18749856289514746</v>
      </c>
      <c r="P854" s="220">
        <f>P853/P849</f>
        <v>0.13546740746904612</v>
      </c>
      <c r="Q854" s="220">
        <f t="shared" si="55"/>
        <v>0.13573850566409415</v>
      </c>
      <c r="R854" s="220">
        <f t="shared" si="55"/>
        <v>0.13610282622773948</v>
      </c>
      <c r="S854" s="220">
        <f t="shared" si="55"/>
        <v>0.13652664998466971</v>
      </c>
      <c r="T854" s="220">
        <f t="shared" si="55"/>
        <v>0.13688591409314618</v>
      </c>
      <c r="U854" s="386"/>
    </row>
    <row r="855" spans="1:21" ht="15" customHeight="1">
      <c r="A855" s="183"/>
      <c r="B855" s="183"/>
      <c r="C855" s="183"/>
      <c r="D855" s="183"/>
      <c r="E855" s="183"/>
      <c r="F855" s="183"/>
      <c r="G855" s="183"/>
      <c r="H855" s="183"/>
      <c r="I855" s="183"/>
      <c r="J855" s="183"/>
      <c r="K855" s="256"/>
      <c r="L855" s="303"/>
      <c r="M855" s="303"/>
      <c r="N855" s="308"/>
      <c r="O855" s="308"/>
      <c r="P855" s="309"/>
      <c r="Q855" s="309"/>
      <c r="R855" s="309"/>
      <c r="S855" s="309"/>
      <c r="T855" s="309"/>
    </row>
    <row r="856" spans="1:21" s="315" customFormat="1" ht="15" customHeight="1">
      <c r="A856" s="279"/>
      <c r="B856" s="279"/>
      <c r="C856" s="279"/>
      <c r="D856" s="279"/>
      <c r="E856" s="279"/>
      <c r="F856" s="279"/>
      <c r="G856" s="279"/>
      <c r="H856" s="279"/>
      <c r="I856" s="279"/>
      <c r="J856" s="279"/>
      <c r="K856" s="279"/>
      <c r="L856" s="348"/>
      <c r="M856" s="348"/>
      <c r="N856" s="358"/>
      <c r="O856" s="358"/>
      <c r="P856" s="349"/>
      <c r="Q856" s="349"/>
      <c r="R856" s="349"/>
      <c r="S856" s="349"/>
      <c r="T856" s="349"/>
      <c r="U856" s="352"/>
    </row>
    <row r="857" spans="1:21" s="315" customFormat="1" ht="15" customHeight="1">
      <c r="A857" s="279"/>
      <c r="B857" s="279"/>
      <c r="C857" s="279"/>
      <c r="D857" s="279"/>
      <c r="E857" s="279"/>
      <c r="F857" s="279"/>
      <c r="G857" s="279"/>
      <c r="H857" s="279"/>
      <c r="I857" s="279"/>
      <c r="J857" s="279"/>
      <c r="K857" s="279"/>
      <c r="L857" s="348"/>
      <c r="M857" s="348"/>
      <c r="N857" s="358"/>
      <c r="O857" s="358"/>
      <c r="P857" s="349"/>
      <c r="Q857" s="349"/>
      <c r="R857" s="349"/>
      <c r="S857" s="349"/>
      <c r="T857" s="349"/>
      <c r="U857" s="352"/>
    </row>
    <row r="858" spans="1:21" ht="24" customHeight="1">
      <c r="A858" s="258" t="s">
        <v>517</v>
      </c>
      <c r="B858" s="183"/>
      <c r="C858" s="183"/>
      <c r="D858" s="183"/>
      <c r="E858" s="183"/>
      <c r="F858" s="183"/>
      <c r="G858" s="183"/>
      <c r="H858" s="183"/>
      <c r="I858" s="183"/>
      <c r="J858" s="183"/>
      <c r="K858" s="183"/>
      <c r="L858" s="302"/>
      <c r="M858" s="302"/>
      <c r="N858" s="306"/>
      <c r="O858" s="306"/>
      <c r="P858" s="307"/>
      <c r="Q858" s="307"/>
      <c r="R858" s="307"/>
      <c r="S858" s="307"/>
      <c r="T858" s="307"/>
    </row>
    <row r="859" spans="1:21" ht="15" customHeight="1">
      <c r="A859" s="183"/>
      <c r="B859" s="183"/>
      <c r="C859" s="183"/>
      <c r="D859" s="183"/>
      <c r="E859" s="183"/>
      <c r="F859" s="183"/>
      <c r="G859" s="183"/>
      <c r="H859" s="183"/>
      <c r="I859" s="183"/>
      <c r="J859" s="183"/>
      <c r="K859" s="183"/>
      <c r="L859" s="302"/>
      <c r="M859" s="302"/>
      <c r="N859" s="306"/>
      <c r="O859" s="306"/>
      <c r="P859" s="307"/>
      <c r="Q859" s="307"/>
      <c r="R859" s="307"/>
      <c r="S859" s="307"/>
      <c r="T859" s="307"/>
    </row>
    <row r="860" spans="1:21" ht="24" customHeight="1">
      <c r="A860" s="183" t="s">
        <v>949</v>
      </c>
      <c r="B860" s="183"/>
      <c r="C860" s="183"/>
      <c r="D860" s="183" t="s">
        <v>1206</v>
      </c>
      <c r="E860" s="183"/>
      <c r="F860" s="183"/>
      <c r="G860" s="183"/>
      <c r="H860" s="183"/>
      <c r="I860" s="183"/>
      <c r="J860" s="183"/>
      <c r="K860" s="183"/>
      <c r="L860" s="192">
        <v>626183</v>
      </c>
      <c r="M860" s="192">
        <v>644025</v>
      </c>
      <c r="N860" s="141">
        <v>672505</v>
      </c>
      <c r="O860" s="141">
        <v>669065</v>
      </c>
      <c r="P860" s="140">
        <v>699220</v>
      </c>
      <c r="Q860" s="143">
        <v>713204</v>
      </c>
      <c r="R860" s="143">
        <v>727468</v>
      </c>
      <c r="S860" s="143">
        <v>742017</v>
      </c>
      <c r="T860" s="143">
        <v>756857</v>
      </c>
    </row>
    <row r="861" spans="1:21" ht="24" customHeight="1">
      <c r="A861" s="183" t="s">
        <v>1290</v>
      </c>
      <c r="B861" s="183"/>
      <c r="C861" s="183"/>
      <c r="D861" s="183" t="s">
        <v>1207</v>
      </c>
      <c r="E861" s="183"/>
      <c r="F861" s="183"/>
      <c r="G861" s="183"/>
      <c r="H861" s="183"/>
      <c r="I861" s="183"/>
      <c r="J861" s="183"/>
      <c r="K861" s="183"/>
      <c r="L861" s="193">
        <v>745908</v>
      </c>
      <c r="M861" s="193">
        <v>758634</v>
      </c>
      <c r="N861" s="148">
        <v>792101</v>
      </c>
      <c r="O861" s="141">
        <v>788022</v>
      </c>
      <c r="P861" s="145">
        <v>793028</v>
      </c>
      <c r="Q861" s="145">
        <v>822953</v>
      </c>
      <c r="R861" s="145">
        <v>836024</v>
      </c>
      <c r="S861" s="145">
        <v>843076</v>
      </c>
      <c r="T861" s="145">
        <v>862416</v>
      </c>
    </row>
    <row r="862" spans="1:21" ht="24" customHeight="1">
      <c r="A862" s="247" t="s">
        <v>406</v>
      </c>
      <c r="B862" s="183"/>
      <c r="C862" s="183"/>
      <c r="D862" s="247" t="s">
        <v>44</v>
      </c>
      <c r="E862" s="183"/>
      <c r="F862" s="183"/>
      <c r="G862" s="183"/>
      <c r="H862" s="183"/>
      <c r="I862" s="183"/>
      <c r="J862" s="183"/>
      <c r="K862" s="183"/>
      <c r="L862" s="192">
        <v>5914</v>
      </c>
      <c r="M862" s="192">
        <v>4948</v>
      </c>
      <c r="N862" s="144">
        <v>5250</v>
      </c>
      <c r="O862" s="144">
        <v>5250</v>
      </c>
      <c r="P862" s="143">
        <v>5250</v>
      </c>
      <c r="Q862" s="143">
        <v>5250</v>
      </c>
      <c r="R862" s="143">
        <v>5250</v>
      </c>
      <c r="S862" s="143">
        <v>5250</v>
      </c>
      <c r="T862" s="143">
        <v>5250</v>
      </c>
    </row>
    <row r="863" spans="1:21" ht="24" customHeight="1">
      <c r="A863" s="247" t="s">
        <v>407</v>
      </c>
      <c r="B863" s="183"/>
      <c r="C863" s="183"/>
      <c r="D863" s="125" t="s">
        <v>43</v>
      </c>
      <c r="E863" s="183"/>
      <c r="F863" s="183"/>
      <c r="G863" s="183"/>
      <c r="H863" s="183"/>
      <c r="I863" s="183"/>
      <c r="J863" s="183"/>
      <c r="K863" s="183"/>
      <c r="L863" s="143">
        <v>13044</v>
      </c>
      <c r="M863" s="143">
        <v>13138</v>
      </c>
      <c r="N863" s="144">
        <v>13100</v>
      </c>
      <c r="O863" s="144">
        <v>25211</v>
      </c>
      <c r="P863" s="143">
        <v>20000</v>
      </c>
      <c r="Q863" s="143">
        <v>20000</v>
      </c>
      <c r="R863" s="143">
        <v>20000</v>
      </c>
      <c r="S863" s="143">
        <v>20000</v>
      </c>
      <c r="T863" s="143">
        <v>20000</v>
      </c>
    </row>
    <row r="864" spans="1:21" ht="24" customHeight="1">
      <c r="A864" s="247" t="s">
        <v>408</v>
      </c>
      <c r="B864" s="248"/>
      <c r="C864" s="248"/>
      <c r="D864" s="247" t="s">
        <v>409</v>
      </c>
      <c r="E864" s="248"/>
      <c r="F864" s="248"/>
      <c r="G864" s="248"/>
      <c r="H864" s="248"/>
      <c r="I864" s="248"/>
      <c r="J864" s="248"/>
      <c r="K864" s="248"/>
      <c r="L864" s="192">
        <v>7355</v>
      </c>
      <c r="M864" s="192">
        <v>9922</v>
      </c>
      <c r="N864" s="144">
        <v>8500</v>
      </c>
      <c r="O864" s="144">
        <v>8500</v>
      </c>
      <c r="P864" s="143">
        <v>8500</v>
      </c>
      <c r="Q864" s="143">
        <v>8500</v>
      </c>
      <c r="R864" s="143">
        <v>8500</v>
      </c>
      <c r="S864" s="143">
        <v>8500</v>
      </c>
      <c r="T864" s="143">
        <v>8500</v>
      </c>
    </row>
    <row r="865" spans="1:21" ht="24" customHeight="1">
      <c r="A865" s="247" t="s">
        <v>410</v>
      </c>
      <c r="B865" s="248"/>
      <c r="C865" s="248"/>
      <c r="D865" s="247" t="s">
        <v>411</v>
      </c>
      <c r="E865" s="248"/>
      <c r="F865" s="248"/>
      <c r="G865" s="248"/>
      <c r="H865" s="248"/>
      <c r="I865" s="248"/>
      <c r="J865" s="248"/>
      <c r="K865" s="248"/>
      <c r="L865" s="192">
        <v>6576</v>
      </c>
      <c r="M865" s="192">
        <v>8040</v>
      </c>
      <c r="N865" s="144">
        <v>7500</v>
      </c>
      <c r="O865" s="144">
        <v>8000</v>
      </c>
      <c r="P865" s="143">
        <v>8000</v>
      </c>
      <c r="Q865" s="143">
        <v>8000</v>
      </c>
      <c r="R865" s="143">
        <v>8000</v>
      </c>
      <c r="S865" s="143">
        <v>8000</v>
      </c>
      <c r="T865" s="143">
        <v>8000</v>
      </c>
    </row>
    <row r="866" spans="1:21" ht="24" customHeight="1">
      <c r="A866" s="247" t="s">
        <v>412</v>
      </c>
      <c r="B866" s="183"/>
      <c r="C866" s="183"/>
      <c r="D866" s="247" t="s">
        <v>413</v>
      </c>
      <c r="E866" s="183"/>
      <c r="F866" s="183"/>
      <c r="G866" s="183"/>
      <c r="H866" s="183"/>
      <c r="I866" s="183"/>
      <c r="J866" s="183"/>
      <c r="K866" s="183"/>
      <c r="L866" s="192">
        <v>2717</v>
      </c>
      <c r="M866" s="192">
        <v>3853</v>
      </c>
      <c r="N866" s="144">
        <v>3000</v>
      </c>
      <c r="O866" s="144">
        <v>3750</v>
      </c>
      <c r="P866" s="143">
        <v>3750</v>
      </c>
      <c r="Q866" s="143">
        <v>3750</v>
      </c>
      <c r="R866" s="143">
        <v>3750</v>
      </c>
      <c r="S866" s="143">
        <v>3750</v>
      </c>
      <c r="T866" s="143">
        <v>3750</v>
      </c>
    </row>
    <row r="867" spans="1:21" ht="24" customHeight="1">
      <c r="A867" s="247" t="s">
        <v>1015</v>
      </c>
      <c r="B867" s="183"/>
      <c r="C867" s="183"/>
      <c r="D867" s="247" t="s">
        <v>373</v>
      </c>
      <c r="E867" s="183"/>
      <c r="F867" s="183"/>
      <c r="G867" s="183"/>
      <c r="H867" s="183"/>
      <c r="I867" s="183"/>
      <c r="J867" s="183"/>
      <c r="K867" s="183"/>
      <c r="L867" s="193">
        <v>915</v>
      </c>
      <c r="M867" s="193">
        <v>857</v>
      </c>
      <c r="N867" s="148">
        <v>1000</v>
      </c>
      <c r="O867" s="148">
        <v>1000</v>
      </c>
      <c r="P867" s="145">
        <v>0</v>
      </c>
      <c r="Q867" s="145">
        <v>0</v>
      </c>
      <c r="R867" s="145">
        <v>0</v>
      </c>
      <c r="S867" s="145">
        <v>0</v>
      </c>
      <c r="T867" s="145">
        <v>0</v>
      </c>
    </row>
    <row r="868" spans="1:21" ht="24" customHeight="1">
      <c r="A868" s="247" t="s">
        <v>414</v>
      </c>
      <c r="B868" s="248"/>
      <c r="C868" s="248"/>
      <c r="D868" s="489" t="s">
        <v>6</v>
      </c>
      <c r="E868" s="489"/>
      <c r="F868" s="489"/>
      <c r="G868" s="489"/>
      <c r="H868" s="489"/>
      <c r="I868" s="489"/>
      <c r="J868" s="489"/>
      <c r="K868" s="489"/>
      <c r="L868" s="192">
        <f>1006+588</f>
        <v>1594</v>
      </c>
      <c r="M868" s="192">
        <v>4593</v>
      </c>
      <c r="N868" s="144">
        <v>1750</v>
      </c>
      <c r="O868" s="144">
        <v>10000</v>
      </c>
      <c r="P868" s="143">
        <v>10000</v>
      </c>
      <c r="Q868" s="143">
        <v>10000</v>
      </c>
      <c r="R868" s="143">
        <v>7500</v>
      </c>
      <c r="S868" s="143">
        <v>7500</v>
      </c>
      <c r="T868" s="143">
        <v>5000</v>
      </c>
    </row>
    <row r="869" spans="1:21" ht="24" customHeight="1">
      <c r="A869" s="247" t="s">
        <v>1318</v>
      </c>
      <c r="B869" s="248"/>
      <c r="C869" s="248"/>
      <c r="D869" s="125" t="s">
        <v>1308</v>
      </c>
      <c r="E869" s="248"/>
      <c r="F869" s="248"/>
      <c r="G869" s="248"/>
      <c r="H869" s="248"/>
      <c r="I869" s="248"/>
      <c r="J869" s="248"/>
      <c r="K869" s="248"/>
      <c r="L869" s="193">
        <v>0</v>
      </c>
      <c r="M869" s="193">
        <v>830</v>
      </c>
      <c r="N869" s="148">
        <v>0</v>
      </c>
      <c r="O869" s="148">
        <v>0</v>
      </c>
      <c r="P869" s="145">
        <v>0</v>
      </c>
      <c r="Q869" s="145">
        <v>0</v>
      </c>
      <c r="R869" s="145">
        <v>0</v>
      </c>
      <c r="S869" s="145">
        <v>0</v>
      </c>
      <c r="T869" s="145">
        <v>0</v>
      </c>
    </row>
    <row r="870" spans="1:21" ht="24" customHeight="1">
      <c r="A870" s="247" t="s">
        <v>1095</v>
      </c>
      <c r="B870" s="248"/>
      <c r="C870" s="248"/>
      <c r="D870" s="248" t="s">
        <v>61</v>
      </c>
      <c r="E870" s="248"/>
      <c r="F870" s="248"/>
      <c r="G870" s="248"/>
      <c r="H870" s="248"/>
      <c r="I870" s="248"/>
      <c r="J870" s="248"/>
      <c r="K870" s="248"/>
      <c r="L870" s="193">
        <v>2141</v>
      </c>
      <c r="M870" s="193">
        <v>691</v>
      </c>
      <c r="N870" s="148">
        <v>0</v>
      </c>
      <c r="O870" s="148">
        <v>0</v>
      </c>
      <c r="P870" s="145">
        <v>0</v>
      </c>
      <c r="Q870" s="145">
        <v>0</v>
      </c>
      <c r="R870" s="145">
        <v>0</v>
      </c>
      <c r="S870" s="145">
        <v>0</v>
      </c>
      <c r="T870" s="145">
        <v>0</v>
      </c>
    </row>
    <row r="871" spans="1:21" ht="24" customHeight="1">
      <c r="A871" s="247" t="s">
        <v>415</v>
      </c>
      <c r="B871" s="183"/>
      <c r="C871" s="183"/>
      <c r="D871" s="247" t="s">
        <v>214</v>
      </c>
      <c r="E871" s="183"/>
      <c r="F871" s="183"/>
      <c r="G871" s="183"/>
      <c r="H871" s="183"/>
      <c r="I871" s="183"/>
      <c r="J871" s="183"/>
      <c r="K871" s="183"/>
      <c r="L871" s="196">
        <v>2200</v>
      </c>
      <c r="M871" s="196">
        <v>1806</v>
      </c>
      <c r="N871" s="150">
        <v>2000</v>
      </c>
      <c r="O871" s="150">
        <v>1600</v>
      </c>
      <c r="P871" s="149">
        <v>2000</v>
      </c>
      <c r="Q871" s="149">
        <v>2000</v>
      </c>
      <c r="R871" s="149">
        <v>2000</v>
      </c>
      <c r="S871" s="149">
        <v>2000</v>
      </c>
      <c r="T871" s="149">
        <v>2000</v>
      </c>
    </row>
    <row r="872" spans="1:21" ht="24" customHeight="1">
      <c r="A872" s="247" t="s">
        <v>416</v>
      </c>
      <c r="B872" s="183"/>
      <c r="C872" s="183"/>
      <c r="D872" s="247" t="s">
        <v>417</v>
      </c>
      <c r="E872" s="267"/>
      <c r="F872" s="267"/>
      <c r="G872" s="267"/>
      <c r="H872" s="267"/>
      <c r="I872" s="267"/>
      <c r="J872" s="267"/>
      <c r="K872" s="267"/>
      <c r="L872" s="196">
        <v>2444</v>
      </c>
      <c r="M872" s="196">
        <v>2842</v>
      </c>
      <c r="N872" s="150">
        <v>2750</v>
      </c>
      <c r="O872" s="150">
        <v>1750</v>
      </c>
      <c r="P872" s="149">
        <v>0</v>
      </c>
      <c r="Q872" s="149">
        <v>0</v>
      </c>
      <c r="R872" s="149">
        <v>0</v>
      </c>
      <c r="S872" s="149">
        <v>0</v>
      </c>
      <c r="T872" s="149">
        <v>0</v>
      </c>
    </row>
    <row r="873" spans="1:21" ht="24" customHeight="1">
      <c r="A873" s="247" t="s">
        <v>418</v>
      </c>
      <c r="B873" s="183"/>
      <c r="C873" s="183"/>
      <c r="D873" s="247" t="s">
        <v>7</v>
      </c>
      <c r="E873" s="183"/>
      <c r="F873" s="183"/>
      <c r="G873" s="183"/>
      <c r="H873" s="183"/>
      <c r="I873" s="183"/>
      <c r="J873" s="183"/>
      <c r="K873" s="183"/>
      <c r="L873" s="193">
        <v>2455</v>
      </c>
      <c r="M873" s="193">
        <v>1840</v>
      </c>
      <c r="N873" s="148">
        <v>2000</v>
      </c>
      <c r="O873" s="148">
        <v>1000</v>
      </c>
      <c r="P873" s="145">
        <v>2000</v>
      </c>
      <c r="Q873" s="145">
        <v>2000</v>
      </c>
      <c r="R873" s="145">
        <v>2000</v>
      </c>
      <c r="S873" s="145">
        <v>2000</v>
      </c>
      <c r="T873" s="145">
        <v>2000</v>
      </c>
    </row>
    <row r="874" spans="1:21" ht="24" customHeight="1">
      <c r="A874" s="247" t="s">
        <v>463</v>
      </c>
      <c r="B874" s="183"/>
      <c r="C874" s="183"/>
      <c r="D874" s="183" t="s">
        <v>245</v>
      </c>
      <c r="E874" s="183"/>
      <c r="F874" s="183"/>
      <c r="G874" s="183"/>
      <c r="H874" s="183"/>
      <c r="I874" s="183"/>
      <c r="J874" s="183"/>
      <c r="K874" s="183"/>
      <c r="L874" s="230">
        <v>24044</v>
      </c>
      <c r="M874" s="230">
        <v>23775</v>
      </c>
      <c r="N874" s="153">
        <v>25179</v>
      </c>
      <c r="O874" s="153">
        <v>23485</v>
      </c>
      <c r="P874" s="152">
        <v>25003</v>
      </c>
      <c r="Q874" s="152">
        <v>26458</v>
      </c>
      <c r="R874" s="152">
        <v>28000</v>
      </c>
      <c r="S874" s="152">
        <v>29635</v>
      </c>
      <c r="T874" s="152">
        <v>31368</v>
      </c>
    </row>
    <row r="875" spans="1:21" ht="15" customHeight="1">
      <c r="A875" s="183"/>
      <c r="B875" s="183"/>
      <c r="C875" s="183"/>
      <c r="D875" s="183"/>
      <c r="E875" s="183"/>
      <c r="F875" s="183"/>
      <c r="G875" s="183"/>
      <c r="H875" s="183"/>
      <c r="I875" s="183"/>
      <c r="J875" s="183"/>
      <c r="K875" s="183"/>
      <c r="L875" s="199"/>
      <c r="M875" s="199"/>
      <c r="N875" s="155"/>
      <c r="O875" s="155"/>
      <c r="P875" s="154"/>
      <c r="Q875" s="154"/>
      <c r="R875" s="154"/>
      <c r="S875" s="154"/>
      <c r="T875" s="154"/>
    </row>
    <row r="876" spans="1:21" s="183" customFormat="1" ht="24" customHeight="1">
      <c r="K876" s="251" t="s">
        <v>454</v>
      </c>
      <c r="L876" s="201">
        <f t="shared" ref="L876:T876" si="56">SUM(L860:L875)</f>
        <v>1443490</v>
      </c>
      <c r="M876" s="201">
        <f t="shared" si="56"/>
        <v>1479794</v>
      </c>
      <c r="N876" s="202">
        <f t="shared" si="56"/>
        <v>1536635</v>
      </c>
      <c r="O876" s="202">
        <f t="shared" si="56"/>
        <v>1546633</v>
      </c>
      <c r="P876" s="201">
        <f t="shared" si="56"/>
        <v>1576751</v>
      </c>
      <c r="Q876" s="201">
        <f t="shared" si="56"/>
        <v>1622115</v>
      </c>
      <c r="R876" s="201">
        <f t="shared" si="56"/>
        <v>1648492</v>
      </c>
      <c r="S876" s="201">
        <f t="shared" si="56"/>
        <v>1671728</v>
      </c>
      <c r="T876" s="201">
        <f t="shared" si="56"/>
        <v>1705141</v>
      </c>
      <c r="U876" s="64"/>
    </row>
    <row r="877" spans="1:21" ht="15" customHeight="1">
      <c r="A877" s="183"/>
      <c r="B877" s="183"/>
      <c r="C877" s="183"/>
      <c r="D877" s="183"/>
      <c r="E877" s="183"/>
      <c r="F877" s="183"/>
      <c r="G877" s="183"/>
      <c r="H877" s="183"/>
      <c r="I877" s="183"/>
      <c r="J877" s="183"/>
      <c r="K877" s="183"/>
      <c r="L877" s="199"/>
      <c r="M877" s="199"/>
      <c r="N877" s="155"/>
      <c r="O877" s="155"/>
      <c r="P877" s="154"/>
      <c r="Q877" s="154"/>
      <c r="R877" s="154"/>
      <c r="S877" s="154"/>
      <c r="T877" s="154"/>
    </row>
    <row r="878" spans="1:21" ht="24" customHeight="1">
      <c r="A878" s="247" t="s">
        <v>419</v>
      </c>
      <c r="B878" s="248"/>
      <c r="C878" s="248"/>
      <c r="D878" s="247" t="s">
        <v>797</v>
      </c>
      <c r="E878" s="248"/>
      <c r="F878" s="248"/>
      <c r="G878" s="248"/>
      <c r="H878" s="248"/>
      <c r="I878" s="248"/>
      <c r="J878" s="248"/>
      <c r="K878" s="248"/>
      <c r="L878" s="192">
        <v>211185</v>
      </c>
      <c r="M878" s="192">
        <v>213880</v>
      </c>
      <c r="N878" s="150">
        <v>226998</v>
      </c>
      <c r="O878" s="150">
        <v>261500</v>
      </c>
      <c r="P878" s="149">
        <v>278394</v>
      </c>
      <c r="Q878" s="149">
        <v>286746</v>
      </c>
      <c r="R878" s="149">
        <v>295348</v>
      </c>
      <c r="S878" s="149">
        <v>304208</v>
      </c>
      <c r="T878" s="149">
        <v>313334</v>
      </c>
    </row>
    <row r="879" spans="1:21" ht="24" customHeight="1">
      <c r="A879" s="247" t="s">
        <v>420</v>
      </c>
      <c r="B879" s="248"/>
      <c r="C879" s="248"/>
      <c r="D879" s="247" t="s">
        <v>68</v>
      </c>
      <c r="E879" s="248"/>
      <c r="F879" s="248"/>
      <c r="G879" s="248"/>
      <c r="H879" s="248"/>
      <c r="I879" s="248"/>
      <c r="J879" s="248"/>
      <c r="K879" s="248"/>
      <c r="L879" s="194">
        <v>200317</v>
      </c>
      <c r="M879" s="194">
        <v>189152</v>
      </c>
      <c r="N879" s="150">
        <v>195700</v>
      </c>
      <c r="O879" s="150">
        <v>170000</v>
      </c>
      <c r="P879" s="149">
        <v>196000</v>
      </c>
      <c r="Q879" s="149">
        <v>201880</v>
      </c>
      <c r="R879" s="149">
        <v>207936</v>
      </c>
      <c r="S879" s="149">
        <v>214174</v>
      </c>
      <c r="T879" s="149">
        <v>220599</v>
      </c>
    </row>
    <row r="880" spans="1:21" ht="24" customHeight="1">
      <c r="A880" s="247" t="s">
        <v>421</v>
      </c>
      <c r="B880" s="248"/>
      <c r="C880" s="248"/>
      <c r="D880" s="247" t="s">
        <v>8</v>
      </c>
      <c r="E880" s="248"/>
      <c r="F880" s="248"/>
      <c r="G880" s="248"/>
      <c r="H880" s="248"/>
      <c r="I880" s="248"/>
      <c r="J880" s="248"/>
      <c r="K880" s="248"/>
      <c r="L880" s="193">
        <v>22558</v>
      </c>
      <c r="M880" s="193">
        <v>22885</v>
      </c>
      <c r="N880" s="150">
        <v>24252</v>
      </c>
      <c r="O880" s="150">
        <v>27500</v>
      </c>
      <c r="P880" s="143">
        <v>25541</v>
      </c>
      <c r="Q880" s="143">
        <v>27040</v>
      </c>
      <c r="R880" s="143">
        <v>28678</v>
      </c>
      <c r="S880" s="143">
        <v>30421</v>
      </c>
      <c r="T880" s="143">
        <v>32273</v>
      </c>
    </row>
    <row r="881" spans="1:20" ht="24" customHeight="1">
      <c r="A881" s="247" t="s">
        <v>422</v>
      </c>
      <c r="B881" s="183"/>
      <c r="C881" s="183"/>
      <c r="D881" s="247" t="s">
        <v>9</v>
      </c>
      <c r="E881" s="183"/>
      <c r="F881" s="183"/>
      <c r="G881" s="183"/>
      <c r="H881" s="183"/>
      <c r="I881" s="183"/>
      <c r="J881" s="183"/>
      <c r="K881" s="183"/>
      <c r="L881" s="192">
        <v>30778</v>
      </c>
      <c r="M881" s="192">
        <v>30169</v>
      </c>
      <c r="N881" s="150">
        <v>31720</v>
      </c>
      <c r="O881" s="150">
        <v>31720</v>
      </c>
      <c r="P881" s="149">
        <v>35544</v>
      </c>
      <c r="Q881" s="149">
        <v>36610</v>
      </c>
      <c r="R881" s="149">
        <v>37708</v>
      </c>
      <c r="S881" s="149">
        <v>38839</v>
      </c>
      <c r="T881" s="149">
        <v>40004</v>
      </c>
    </row>
    <row r="882" spans="1:20" ht="24" customHeight="1">
      <c r="A882" s="247" t="s">
        <v>423</v>
      </c>
      <c r="B882" s="248"/>
      <c r="C882" s="248"/>
      <c r="D882" s="247" t="s">
        <v>13</v>
      </c>
      <c r="E882" s="248"/>
      <c r="F882" s="248"/>
      <c r="G882" s="248"/>
      <c r="H882" s="248"/>
      <c r="I882" s="248"/>
      <c r="J882" s="248"/>
      <c r="K882" s="248"/>
      <c r="L882" s="192">
        <v>74462</v>
      </c>
      <c r="M882" s="192">
        <v>65658</v>
      </c>
      <c r="N882" s="147">
        <v>79318</v>
      </c>
      <c r="O882" s="150">
        <v>73931</v>
      </c>
      <c r="P882" s="146">
        <v>81184</v>
      </c>
      <c r="Q882" s="146">
        <v>87679</v>
      </c>
      <c r="R882" s="146">
        <v>94693</v>
      </c>
      <c r="S882" s="146">
        <v>102268</v>
      </c>
      <c r="T882" s="146">
        <v>110449</v>
      </c>
    </row>
    <row r="883" spans="1:20" ht="24" customHeight="1">
      <c r="A883" s="247" t="s">
        <v>424</v>
      </c>
      <c r="B883" s="183"/>
      <c r="C883" s="183"/>
      <c r="D883" s="247" t="s">
        <v>166</v>
      </c>
      <c r="E883" s="183"/>
      <c r="F883" s="183"/>
      <c r="G883" s="183"/>
      <c r="H883" s="183"/>
      <c r="I883" s="183"/>
      <c r="J883" s="183"/>
      <c r="K883" s="183"/>
      <c r="L883" s="192">
        <v>403</v>
      </c>
      <c r="M883" s="192">
        <v>388</v>
      </c>
      <c r="N883" s="147">
        <v>328</v>
      </c>
      <c r="O883" s="150">
        <v>351</v>
      </c>
      <c r="P883" s="146">
        <v>387</v>
      </c>
      <c r="Q883" s="146">
        <v>391</v>
      </c>
      <c r="R883" s="146">
        <v>395</v>
      </c>
      <c r="S883" s="146">
        <v>399</v>
      </c>
      <c r="T883" s="146">
        <v>403</v>
      </c>
    </row>
    <row r="884" spans="1:20" ht="24" customHeight="1">
      <c r="A884" s="247" t="s">
        <v>425</v>
      </c>
      <c r="B884" s="183"/>
      <c r="C884" s="183"/>
      <c r="D884" s="247" t="s">
        <v>503</v>
      </c>
      <c r="E884" s="183"/>
      <c r="F884" s="183"/>
      <c r="G884" s="183"/>
      <c r="H884" s="183"/>
      <c r="I884" s="183"/>
      <c r="J884" s="183"/>
      <c r="K884" s="183"/>
      <c r="L884" s="193">
        <v>5286</v>
      </c>
      <c r="M884" s="193">
        <v>4672</v>
      </c>
      <c r="N884" s="147">
        <v>4652</v>
      </c>
      <c r="O884" s="150">
        <v>6699</v>
      </c>
      <c r="P884" s="146">
        <v>6987</v>
      </c>
      <c r="Q884" s="146">
        <v>7336</v>
      </c>
      <c r="R884" s="146">
        <v>7703</v>
      </c>
      <c r="S884" s="146">
        <v>8088</v>
      </c>
      <c r="T884" s="146">
        <v>8492</v>
      </c>
    </row>
    <row r="885" spans="1:20" ht="24" customHeight="1">
      <c r="A885" s="247" t="s">
        <v>513</v>
      </c>
      <c r="B885" s="183"/>
      <c r="C885" s="183"/>
      <c r="D885" s="247" t="s">
        <v>505</v>
      </c>
      <c r="E885" s="183"/>
      <c r="F885" s="183"/>
      <c r="G885" s="183"/>
      <c r="H885" s="183"/>
      <c r="I885" s="183"/>
      <c r="J885" s="183"/>
      <c r="K885" s="183"/>
      <c r="L885" s="193">
        <v>651</v>
      </c>
      <c r="M885" s="193">
        <v>637</v>
      </c>
      <c r="N885" s="147">
        <v>701</v>
      </c>
      <c r="O885" s="150">
        <v>973</v>
      </c>
      <c r="P885" s="146">
        <v>1012</v>
      </c>
      <c r="Q885" s="146">
        <v>1012</v>
      </c>
      <c r="R885" s="146">
        <v>1042</v>
      </c>
      <c r="S885" s="146">
        <v>1073</v>
      </c>
      <c r="T885" s="146">
        <v>1105</v>
      </c>
    </row>
    <row r="886" spans="1:20" ht="24" customHeight="1">
      <c r="A886" s="247" t="s">
        <v>592</v>
      </c>
      <c r="B886" s="183"/>
      <c r="C886" s="183"/>
      <c r="D886" s="247" t="s">
        <v>165</v>
      </c>
      <c r="E886" s="183"/>
      <c r="F886" s="183"/>
      <c r="G886" s="183"/>
      <c r="H886" s="183"/>
      <c r="I886" s="183"/>
      <c r="J886" s="183"/>
      <c r="K886" s="183"/>
      <c r="L886" s="193">
        <v>474</v>
      </c>
      <c r="M886" s="193">
        <v>747</v>
      </c>
      <c r="N886" s="141">
        <v>750</v>
      </c>
      <c r="O886" s="141">
        <v>605</v>
      </c>
      <c r="P886" s="140">
        <v>750</v>
      </c>
      <c r="Q886" s="140">
        <v>750</v>
      </c>
      <c r="R886" s="140">
        <v>750</v>
      </c>
      <c r="S886" s="140">
        <v>750</v>
      </c>
      <c r="T886" s="140">
        <v>750</v>
      </c>
    </row>
    <row r="887" spans="1:20" ht="24" customHeight="1">
      <c r="A887" s="247" t="s">
        <v>577</v>
      </c>
      <c r="B887" s="183"/>
      <c r="C887" s="183"/>
      <c r="D887" s="247" t="s">
        <v>220</v>
      </c>
      <c r="E887" s="183"/>
      <c r="F887" s="183"/>
      <c r="G887" s="183"/>
      <c r="H887" s="183"/>
      <c r="I887" s="183"/>
      <c r="J887" s="183"/>
      <c r="K887" s="183"/>
      <c r="L887" s="193">
        <v>23570</v>
      </c>
      <c r="M887" s="193">
        <v>23028</v>
      </c>
      <c r="N887" s="144">
        <v>24429</v>
      </c>
      <c r="O887" s="144">
        <v>22880</v>
      </c>
      <c r="P887" s="143">
        <v>24253</v>
      </c>
      <c r="Q887" s="143">
        <v>25708</v>
      </c>
      <c r="R887" s="143">
        <v>27250</v>
      </c>
      <c r="S887" s="143">
        <v>28885</v>
      </c>
      <c r="T887" s="143">
        <v>30618</v>
      </c>
    </row>
    <row r="888" spans="1:20" ht="24" customHeight="1">
      <c r="A888" s="247" t="s">
        <v>426</v>
      </c>
      <c r="B888" s="248"/>
      <c r="C888" s="248"/>
      <c r="D888" s="247" t="s">
        <v>90</v>
      </c>
      <c r="E888" s="248"/>
      <c r="F888" s="248"/>
      <c r="G888" s="248"/>
      <c r="H888" s="248"/>
      <c r="I888" s="248"/>
      <c r="J888" s="248"/>
      <c r="K888" s="248"/>
      <c r="L888" s="192">
        <v>330</v>
      </c>
      <c r="M888" s="192">
        <v>308</v>
      </c>
      <c r="N888" s="144">
        <v>2500</v>
      </c>
      <c r="O888" s="144">
        <v>1200</v>
      </c>
      <c r="P888" s="143">
        <v>2000</v>
      </c>
      <c r="Q888" s="143">
        <v>2000</v>
      </c>
      <c r="R888" s="143">
        <v>2000</v>
      </c>
      <c r="S888" s="143">
        <v>2000</v>
      </c>
      <c r="T888" s="143">
        <v>2000</v>
      </c>
    </row>
    <row r="889" spans="1:20" ht="24" customHeight="1">
      <c r="A889" s="247" t="s">
        <v>427</v>
      </c>
      <c r="B889" s="248"/>
      <c r="C889" s="248"/>
      <c r="D889" s="247" t="s">
        <v>910</v>
      </c>
      <c r="E889" s="248"/>
      <c r="F889" s="248"/>
      <c r="G889" s="248"/>
      <c r="H889" s="248"/>
      <c r="I889" s="248"/>
      <c r="J889" s="248"/>
      <c r="K889" s="248"/>
      <c r="L889" s="193">
        <v>365</v>
      </c>
      <c r="M889" s="193">
        <v>348</v>
      </c>
      <c r="N889" s="141">
        <v>600</v>
      </c>
      <c r="O889" s="141">
        <v>1500</v>
      </c>
      <c r="P889" s="140">
        <v>1500</v>
      </c>
      <c r="Q889" s="140">
        <v>1500</v>
      </c>
      <c r="R889" s="140">
        <v>1500</v>
      </c>
      <c r="S889" s="140">
        <v>1500</v>
      </c>
      <c r="T889" s="140">
        <v>1500</v>
      </c>
    </row>
    <row r="890" spans="1:20" ht="24" customHeight="1">
      <c r="A890" s="247" t="s">
        <v>428</v>
      </c>
      <c r="B890" s="248"/>
      <c r="C890" s="248"/>
      <c r="D890" s="247" t="s">
        <v>89</v>
      </c>
      <c r="E890" s="248"/>
      <c r="F890" s="248"/>
      <c r="G890" s="248"/>
      <c r="H890" s="248"/>
      <c r="I890" s="248"/>
      <c r="J890" s="248"/>
      <c r="K890" s="248"/>
      <c r="L890" s="192">
        <v>277</v>
      </c>
      <c r="M890" s="192">
        <v>100</v>
      </c>
      <c r="N890" s="144">
        <v>2000</v>
      </c>
      <c r="O890" s="144">
        <v>750</v>
      </c>
      <c r="P890" s="143">
        <v>2000</v>
      </c>
      <c r="Q890" s="143">
        <v>1000</v>
      </c>
      <c r="R890" s="143">
        <v>1000</v>
      </c>
      <c r="S890" s="143">
        <v>1000</v>
      </c>
      <c r="T890" s="143">
        <v>1000</v>
      </c>
    </row>
    <row r="891" spans="1:20" ht="24" customHeight="1">
      <c r="A891" s="247" t="s">
        <v>429</v>
      </c>
      <c r="B891" s="183"/>
      <c r="C891" s="183"/>
      <c r="D891" s="247" t="s">
        <v>215</v>
      </c>
      <c r="E891" s="183"/>
      <c r="F891" s="183"/>
      <c r="G891" s="183"/>
      <c r="H891" s="183"/>
      <c r="I891" s="183"/>
      <c r="J891" s="183"/>
      <c r="K891" s="183"/>
      <c r="L891" s="192">
        <v>3524</v>
      </c>
      <c r="M891" s="192">
        <v>4513</v>
      </c>
      <c r="N891" s="144">
        <v>5000</v>
      </c>
      <c r="O891" s="144">
        <v>6000</v>
      </c>
      <c r="P891" s="143">
        <v>6000</v>
      </c>
      <c r="Q891" s="143">
        <v>6000</v>
      </c>
      <c r="R891" s="143">
        <v>6000</v>
      </c>
      <c r="S891" s="143">
        <v>6000</v>
      </c>
      <c r="T891" s="143">
        <v>6000</v>
      </c>
    </row>
    <row r="892" spans="1:20" ht="24" customHeight="1">
      <c r="A892" s="247" t="s">
        <v>430</v>
      </c>
      <c r="B892" s="248"/>
      <c r="C892" s="248"/>
      <c r="D892" s="247" t="s">
        <v>88</v>
      </c>
      <c r="E892" s="248"/>
      <c r="F892" s="248"/>
      <c r="G892" s="248"/>
      <c r="H892" s="248"/>
      <c r="I892" s="248"/>
      <c r="J892" s="248"/>
      <c r="K892" s="248"/>
      <c r="L892" s="192">
        <v>398</v>
      </c>
      <c r="M892" s="192">
        <v>582</v>
      </c>
      <c r="N892" s="144">
        <v>500</v>
      </c>
      <c r="O892" s="144">
        <v>600</v>
      </c>
      <c r="P892" s="143">
        <v>750</v>
      </c>
      <c r="Q892" s="143">
        <v>600</v>
      </c>
      <c r="R892" s="143">
        <v>600</v>
      </c>
      <c r="S892" s="143">
        <v>600</v>
      </c>
      <c r="T892" s="143">
        <v>600</v>
      </c>
    </row>
    <row r="893" spans="1:20" ht="24" customHeight="1">
      <c r="A893" s="247" t="s">
        <v>431</v>
      </c>
      <c r="B893" s="183"/>
      <c r="C893" s="183"/>
      <c r="D893" s="247" t="s">
        <v>912</v>
      </c>
      <c r="E893" s="183"/>
      <c r="F893" s="183"/>
      <c r="G893" s="183"/>
      <c r="H893" s="183"/>
      <c r="I893" s="183"/>
      <c r="J893" s="183"/>
      <c r="K893" s="183"/>
      <c r="L893" s="192">
        <v>9005</v>
      </c>
      <c r="M893" s="192">
        <v>8911</v>
      </c>
      <c r="N893" s="144">
        <v>11000</v>
      </c>
      <c r="O893" s="144">
        <v>11000</v>
      </c>
      <c r="P893" s="143">
        <v>11000</v>
      </c>
      <c r="Q893" s="143">
        <v>11000</v>
      </c>
      <c r="R893" s="143">
        <v>11000</v>
      </c>
      <c r="S893" s="143">
        <v>11000</v>
      </c>
      <c r="T893" s="143">
        <v>11000</v>
      </c>
    </row>
    <row r="894" spans="1:20" ht="24" customHeight="1">
      <c r="A894" s="247" t="s">
        <v>432</v>
      </c>
      <c r="B894" s="183"/>
      <c r="C894" s="183"/>
      <c r="D894" s="247" t="s">
        <v>10</v>
      </c>
      <c r="E894" s="183"/>
      <c r="F894" s="183"/>
      <c r="G894" s="183"/>
      <c r="H894" s="183"/>
      <c r="I894" s="183"/>
      <c r="J894" s="183"/>
      <c r="K894" s="183"/>
      <c r="L894" s="192">
        <v>38037</v>
      </c>
      <c r="M894" s="192">
        <v>24151</v>
      </c>
      <c r="N894" s="144">
        <v>40000</v>
      </c>
      <c r="O894" s="144">
        <v>35000</v>
      </c>
      <c r="P894" s="143">
        <v>40000</v>
      </c>
      <c r="Q894" s="143">
        <v>40000</v>
      </c>
      <c r="R894" s="143">
        <v>40000</v>
      </c>
      <c r="S894" s="143">
        <v>40000</v>
      </c>
      <c r="T894" s="143">
        <v>40000</v>
      </c>
    </row>
    <row r="895" spans="1:20" ht="24" customHeight="1">
      <c r="A895" s="247" t="s">
        <v>433</v>
      </c>
      <c r="B895" s="183"/>
      <c r="C895" s="183"/>
      <c r="D895" s="247" t="s">
        <v>124</v>
      </c>
      <c r="E895" s="183"/>
      <c r="F895" s="183"/>
      <c r="G895" s="248"/>
      <c r="H895" s="248"/>
      <c r="I895" s="248"/>
      <c r="J895" s="248"/>
      <c r="K895" s="248"/>
      <c r="L895" s="192">
        <v>0</v>
      </c>
      <c r="M895" s="192">
        <v>2100</v>
      </c>
      <c r="N895" s="144">
        <v>3000</v>
      </c>
      <c r="O895" s="144">
        <v>3000</v>
      </c>
      <c r="P895" s="143">
        <v>3000</v>
      </c>
      <c r="Q895" s="143">
        <v>3000</v>
      </c>
      <c r="R895" s="143">
        <v>3000</v>
      </c>
      <c r="S895" s="143">
        <v>3000</v>
      </c>
      <c r="T895" s="143">
        <v>3000</v>
      </c>
    </row>
    <row r="896" spans="1:20" ht="24" customHeight="1">
      <c r="A896" s="247" t="s">
        <v>434</v>
      </c>
      <c r="B896" s="183"/>
      <c r="C896" s="183"/>
      <c r="D896" s="247" t="s">
        <v>435</v>
      </c>
      <c r="E896" s="183"/>
      <c r="F896" s="183"/>
      <c r="G896" s="267"/>
      <c r="H896" s="267"/>
      <c r="I896" s="267"/>
      <c r="J896" s="267"/>
      <c r="K896" s="267"/>
      <c r="L896" s="192">
        <v>12633</v>
      </c>
      <c r="M896" s="192">
        <v>13466</v>
      </c>
      <c r="N896" s="144">
        <v>20000</v>
      </c>
      <c r="O896" s="144">
        <v>18000</v>
      </c>
      <c r="P896" s="143">
        <v>20000</v>
      </c>
      <c r="Q896" s="143">
        <v>20000</v>
      </c>
      <c r="R896" s="143">
        <v>20000</v>
      </c>
      <c r="S896" s="143">
        <v>20000</v>
      </c>
      <c r="T896" s="143">
        <v>20000</v>
      </c>
    </row>
    <row r="897" spans="1:21" ht="24" customHeight="1">
      <c r="A897" s="247" t="s">
        <v>436</v>
      </c>
      <c r="B897" s="248"/>
      <c r="C897" s="248"/>
      <c r="D897" s="247" t="s">
        <v>17</v>
      </c>
      <c r="E897" s="248"/>
      <c r="F897" s="248"/>
      <c r="G897" s="248"/>
      <c r="H897" s="248"/>
      <c r="I897" s="248"/>
      <c r="J897" s="248"/>
      <c r="K897" s="248"/>
      <c r="L897" s="193">
        <v>10961</v>
      </c>
      <c r="M897" s="193">
        <v>9852</v>
      </c>
      <c r="N897" s="144">
        <v>9540</v>
      </c>
      <c r="O897" s="144">
        <v>10500</v>
      </c>
      <c r="P897" s="143">
        <v>11130</v>
      </c>
      <c r="Q897" s="143">
        <v>11798</v>
      </c>
      <c r="R897" s="143">
        <v>12506</v>
      </c>
      <c r="S897" s="143">
        <v>13256</v>
      </c>
      <c r="T897" s="143">
        <v>14051</v>
      </c>
    </row>
    <row r="898" spans="1:21" ht="24" customHeight="1">
      <c r="A898" s="247" t="s">
        <v>437</v>
      </c>
      <c r="B898" s="248"/>
      <c r="C898" s="248"/>
      <c r="D898" s="247" t="s">
        <v>914</v>
      </c>
      <c r="E898" s="248"/>
      <c r="F898" s="248"/>
      <c r="G898" s="248"/>
      <c r="H898" s="248"/>
      <c r="I898" s="248"/>
      <c r="J898" s="248"/>
      <c r="K898" s="248"/>
      <c r="L898" s="209">
        <v>27190</v>
      </c>
      <c r="M898" s="209">
        <v>65777</v>
      </c>
      <c r="N898" s="172">
        <v>50000</v>
      </c>
      <c r="O898" s="172">
        <v>40000</v>
      </c>
      <c r="P898" s="166">
        <v>50000</v>
      </c>
      <c r="Q898" s="166">
        <v>50000</v>
      </c>
      <c r="R898" s="166">
        <v>50000</v>
      </c>
      <c r="S898" s="166">
        <v>50000</v>
      </c>
      <c r="T898" s="166">
        <v>50000</v>
      </c>
    </row>
    <row r="899" spans="1:21" ht="24" customHeight="1">
      <c r="A899" s="247" t="s">
        <v>602</v>
      </c>
      <c r="B899" s="248"/>
      <c r="C899" s="248"/>
      <c r="D899" s="247" t="s">
        <v>270</v>
      </c>
      <c r="E899" s="248"/>
      <c r="F899" s="248"/>
      <c r="G899" s="248"/>
      <c r="H899" s="248"/>
      <c r="I899" s="248"/>
      <c r="J899" s="248"/>
      <c r="K899" s="248"/>
      <c r="L899" s="209">
        <v>1689</v>
      </c>
      <c r="M899" s="209">
        <v>1689</v>
      </c>
      <c r="N899" s="172">
        <v>1700</v>
      </c>
      <c r="O899" s="172">
        <v>1689</v>
      </c>
      <c r="P899" s="166">
        <v>1700</v>
      </c>
      <c r="Q899" s="166">
        <v>1700</v>
      </c>
      <c r="R899" s="166">
        <v>1700</v>
      </c>
      <c r="S899" s="166">
        <v>1700</v>
      </c>
      <c r="T899" s="166">
        <v>1700</v>
      </c>
    </row>
    <row r="900" spans="1:21" ht="24" customHeight="1">
      <c r="A900" s="247" t="s">
        <v>438</v>
      </c>
      <c r="B900" s="248"/>
      <c r="C900" s="248"/>
      <c r="D900" s="247" t="s">
        <v>11</v>
      </c>
      <c r="E900" s="248"/>
      <c r="F900" s="248"/>
      <c r="G900" s="248"/>
      <c r="H900" s="248"/>
      <c r="I900" s="248"/>
      <c r="J900" s="248"/>
      <c r="K900" s="248"/>
      <c r="L900" s="193">
        <v>8906</v>
      </c>
      <c r="M900" s="193">
        <v>5518</v>
      </c>
      <c r="N900" s="141">
        <v>8000</v>
      </c>
      <c r="O900" s="141">
        <v>8000</v>
      </c>
      <c r="P900" s="140">
        <v>8000</v>
      </c>
      <c r="Q900" s="140">
        <v>8000</v>
      </c>
      <c r="R900" s="140">
        <v>8000</v>
      </c>
      <c r="S900" s="140">
        <v>8000</v>
      </c>
      <c r="T900" s="140">
        <v>8000</v>
      </c>
    </row>
    <row r="901" spans="1:21" ht="24" customHeight="1">
      <c r="A901" s="247" t="s">
        <v>439</v>
      </c>
      <c r="B901" s="248"/>
      <c r="C901" s="248"/>
      <c r="D901" s="247" t="s">
        <v>1296</v>
      </c>
      <c r="E901" s="248"/>
      <c r="F901" s="248"/>
      <c r="G901" s="248"/>
      <c r="H901" s="248"/>
      <c r="I901" s="248"/>
      <c r="J901" s="248"/>
      <c r="K901" s="248"/>
      <c r="L901" s="192">
        <v>9654</v>
      </c>
      <c r="M901" s="192">
        <v>6733</v>
      </c>
      <c r="N901" s="144">
        <v>2000</v>
      </c>
      <c r="O901" s="144">
        <v>2166</v>
      </c>
      <c r="P901" s="143">
        <v>3000</v>
      </c>
      <c r="Q901" s="143">
        <v>2000</v>
      </c>
      <c r="R901" s="143">
        <v>2000</v>
      </c>
      <c r="S901" s="143">
        <v>2000</v>
      </c>
      <c r="T901" s="143">
        <v>2000</v>
      </c>
      <c r="U901" s="143"/>
    </row>
    <row r="902" spans="1:21" ht="24" customHeight="1">
      <c r="A902" s="247" t="s">
        <v>1294</v>
      </c>
      <c r="B902" s="248"/>
      <c r="C902" s="248"/>
      <c r="D902" s="247" t="s">
        <v>1295</v>
      </c>
      <c r="E902" s="248"/>
      <c r="F902" s="248"/>
      <c r="G902" s="248"/>
      <c r="H902" s="248"/>
      <c r="I902" s="248"/>
      <c r="J902" s="248"/>
      <c r="K902" s="248"/>
      <c r="L902" s="193">
        <v>0</v>
      </c>
      <c r="M902" s="193">
        <v>0</v>
      </c>
      <c r="N902" s="148">
        <v>8000</v>
      </c>
      <c r="O902" s="148">
        <v>8000</v>
      </c>
      <c r="P902" s="145">
        <v>8000</v>
      </c>
      <c r="Q902" s="145">
        <v>8000</v>
      </c>
      <c r="R902" s="145">
        <v>8000</v>
      </c>
      <c r="S902" s="145">
        <v>8000</v>
      </c>
      <c r="T902" s="145">
        <v>8000</v>
      </c>
      <c r="U902" s="145"/>
    </row>
    <row r="903" spans="1:21" ht="24" customHeight="1">
      <c r="A903" s="416" t="s">
        <v>1356</v>
      </c>
      <c r="B903" s="415"/>
      <c r="C903" s="415"/>
      <c r="D903" s="416" t="s">
        <v>224</v>
      </c>
      <c r="E903" s="415"/>
      <c r="F903" s="415"/>
      <c r="G903" s="415"/>
      <c r="H903" s="415"/>
      <c r="I903" s="415"/>
      <c r="J903" s="415"/>
      <c r="K903" s="415"/>
      <c r="L903" s="193">
        <v>0</v>
      </c>
      <c r="M903" s="193">
        <v>0</v>
      </c>
      <c r="N903" s="148">
        <v>0</v>
      </c>
      <c r="O903" s="148">
        <v>673</v>
      </c>
      <c r="P903" s="145">
        <v>2000</v>
      </c>
      <c r="Q903" s="145">
        <v>2000</v>
      </c>
      <c r="R903" s="145">
        <v>2000</v>
      </c>
      <c r="S903" s="145">
        <v>2000</v>
      </c>
      <c r="T903" s="145">
        <v>2000</v>
      </c>
      <c r="U903" s="145"/>
    </row>
    <row r="904" spans="1:21" ht="24" customHeight="1">
      <c r="A904" s="247" t="s">
        <v>440</v>
      </c>
      <c r="B904" s="248"/>
      <c r="C904" s="248"/>
      <c r="D904" s="247" t="s">
        <v>441</v>
      </c>
      <c r="E904" s="248"/>
      <c r="F904" s="248"/>
      <c r="G904" s="248"/>
      <c r="H904" s="248"/>
      <c r="I904" s="248"/>
      <c r="J904" s="248"/>
      <c r="K904" s="248"/>
      <c r="L904" s="194">
        <v>1243</v>
      </c>
      <c r="M904" s="194">
        <v>820</v>
      </c>
      <c r="N904" s="147">
        <v>1000</v>
      </c>
      <c r="O904" s="147">
        <v>1000</v>
      </c>
      <c r="P904" s="146">
        <v>1000</v>
      </c>
      <c r="Q904" s="146">
        <v>1000</v>
      </c>
      <c r="R904" s="146">
        <v>1000</v>
      </c>
      <c r="S904" s="146">
        <v>1000</v>
      </c>
      <c r="T904" s="146">
        <v>1000</v>
      </c>
    </row>
    <row r="905" spans="1:21" ht="24" customHeight="1">
      <c r="A905" s="247" t="s">
        <v>442</v>
      </c>
      <c r="B905" s="183"/>
      <c r="C905" s="183"/>
      <c r="D905" s="247" t="s">
        <v>443</v>
      </c>
      <c r="E905" s="183"/>
      <c r="F905" s="183"/>
      <c r="G905" s="183"/>
      <c r="H905" s="183"/>
      <c r="I905" s="183"/>
      <c r="J905" s="183"/>
      <c r="K905" s="183"/>
      <c r="L905" s="193">
        <v>0</v>
      </c>
      <c r="M905" s="193">
        <v>151</v>
      </c>
      <c r="N905" s="141">
        <v>200</v>
      </c>
      <c r="O905" s="141">
        <v>200</v>
      </c>
      <c r="P905" s="140">
        <v>200</v>
      </c>
      <c r="Q905" s="140">
        <v>200</v>
      </c>
      <c r="R905" s="140">
        <v>200</v>
      </c>
      <c r="S905" s="140">
        <v>200</v>
      </c>
      <c r="T905" s="140">
        <v>200</v>
      </c>
    </row>
    <row r="906" spans="1:21" ht="24" customHeight="1">
      <c r="A906" s="247" t="s">
        <v>445</v>
      </c>
      <c r="B906" s="183"/>
      <c r="C906" s="183"/>
      <c r="D906" s="247" t="s">
        <v>918</v>
      </c>
      <c r="E906" s="183"/>
      <c r="F906" s="183"/>
      <c r="G906" s="183"/>
      <c r="H906" s="183"/>
      <c r="I906" s="183"/>
      <c r="J906" s="183"/>
      <c r="K906" s="183"/>
      <c r="L906" s="194">
        <v>0</v>
      </c>
      <c r="M906" s="194">
        <v>0</v>
      </c>
      <c r="N906" s="147">
        <v>0</v>
      </c>
      <c r="O906" s="147">
        <v>0</v>
      </c>
      <c r="P906" s="146">
        <v>0</v>
      </c>
      <c r="Q906" s="146">
        <v>0</v>
      </c>
      <c r="R906" s="146">
        <v>0</v>
      </c>
      <c r="S906" s="146">
        <v>0</v>
      </c>
      <c r="T906" s="146">
        <v>0</v>
      </c>
    </row>
    <row r="907" spans="1:21" ht="24" customHeight="1">
      <c r="A907" s="247" t="s">
        <v>446</v>
      </c>
      <c r="B907" s="183"/>
      <c r="C907" s="183"/>
      <c r="D907" s="247" t="s">
        <v>447</v>
      </c>
      <c r="E907" s="183"/>
      <c r="F907" s="183"/>
      <c r="G907" s="183"/>
      <c r="H907" s="183"/>
      <c r="I907" s="183"/>
      <c r="J907" s="183"/>
      <c r="K907" s="183"/>
      <c r="L907" s="194">
        <v>1141</v>
      </c>
      <c r="M907" s="194">
        <v>499</v>
      </c>
      <c r="N907" s="147">
        <v>500</v>
      </c>
      <c r="O907" s="147">
        <v>500</v>
      </c>
      <c r="P907" s="146">
        <v>500</v>
      </c>
      <c r="Q907" s="146">
        <v>500</v>
      </c>
      <c r="R907" s="146">
        <v>500</v>
      </c>
      <c r="S907" s="146">
        <v>500</v>
      </c>
      <c r="T907" s="146">
        <v>500</v>
      </c>
    </row>
    <row r="908" spans="1:21" ht="24" customHeight="1">
      <c r="A908" s="247" t="s">
        <v>1111</v>
      </c>
      <c r="B908" s="183"/>
      <c r="C908" s="183"/>
      <c r="D908" s="247" t="s">
        <v>778</v>
      </c>
      <c r="E908" s="183"/>
      <c r="F908" s="183"/>
      <c r="G908" s="183"/>
      <c r="H908" s="183"/>
      <c r="I908" s="183"/>
      <c r="J908" s="183"/>
      <c r="K908" s="183"/>
      <c r="L908" s="194">
        <v>5983</v>
      </c>
      <c r="M908" s="194">
        <v>1367</v>
      </c>
      <c r="N908" s="147">
        <v>1500</v>
      </c>
      <c r="O908" s="147">
        <v>4231</v>
      </c>
      <c r="P908" s="146">
        <v>1500</v>
      </c>
      <c r="Q908" s="146">
        <v>1500</v>
      </c>
      <c r="R908" s="146">
        <v>1500</v>
      </c>
      <c r="S908" s="146">
        <v>1500</v>
      </c>
      <c r="T908" s="146">
        <v>1500</v>
      </c>
    </row>
    <row r="909" spans="1:21" ht="24" customHeight="1">
      <c r="A909" s="251" t="s">
        <v>448</v>
      </c>
      <c r="B909" s="251"/>
      <c r="C909" s="251"/>
      <c r="D909" s="251"/>
      <c r="E909" s="251"/>
      <c r="F909" s="251"/>
      <c r="G909" s="251"/>
      <c r="H909" s="251"/>
      <c r="I909" s="251"/>
      <c r="J909" s="251"/>
      <c r="K909" s="251"/>
      <c r="L909" s="199"/>
      <c r="M909" s="199"/>
      <c r="N909" s="155"/>
      <c r="O909" s="155"/>
      <c r="P909" s="154"/>
      <c r="Q909" s="154"/>
      <c r="R909" s="154"/>
      <c r="S909" s="154"/>
      <c r="T909" s="154"/>
    </row>
    <row r="910" spans="1:21" ht="24" customHeight="1">
      <c r="A910" s="247" t="s">
        <v>1212</v>
      </c>
      <c r="B910" s="248"/>
      <c r="C910" s="248"/>
      <c r="D910" s="247" t="s">
        <v>879</v>
      </c>
      <c r="E910" s="248"/>
      <c r="F910" s="248"/>
      <c r="G910" s="248"/>
      <c r="H910" s="248"/>
      <c r="I910" s="248"/>
      <c r="J910" s="248"/>
      <c r="K910" s="248"/>
      <c r="L910" s="193">
        <v>50000</v>
      </c>
      <c r="M910" s="193">
        <v>50000</v>
      </c>
      <c r="N910" s="141">
        <v>50000</v>
      </c>
      <c r="O910" s="141">
        <v>50000</v>
      </c>
      <c r="P910" s="140">
        <v>50000</v>
      </c>
      <c r="Q910" s="140">
        <v>75000</v>
      </c>
      <c r="R910" s="140">
        <v>75000</v>
      </c>
      <c r="S910" s="140">
        <v>75000</v>
      </c>
      <c r="T910" s="140">
        <v>100000</v>
      </c>
    </row>
    <row r="911" spans="1:21" ht="24" customHeight="1">
      <c r="A911" s="247" t="s">
        <v>1213</v>
      </c>
      <c r="B911" s="248"/>
      <c r="C911" s="248"/>
      <c r="D911" s="247" t="s">
        <v>257</v>
      </c>
      <c r="E911" s="248"/>
      <c r="F911" s="248"/>
      <c r="G911" s="248"/>
      <c r="H911" s="248"/>
      <c r="I911" s="248"/>
      <c r="J911" s="248"/>
      <c r="K911" s="248"/>
      <c r="L911" s="193">
        <v>29738</v>
      </c>
      <c r="M911" s="193">
        <v>27363</v>
      </c>
      <c r="N911" s="141">
        <v>24988</v>
      </c>
      <c r="O911" s="141">
        <v>24988</v>
      </c>
      <c r="P911" s="140">
        <v>22613</v>
      </c>
      <c r="Q911" s="140">
        <v>20238</v>
      </c>
      <c r="R911" s="140">
        <v>16675</v>
      </c>
      <c r="S911" s="140">
        <v>13113</v>
      </c>
      <c r="T911" s="140">
        <v>9550</v>
      </c>
    </row>
    <row r="912" spans="1:21" ht="24" customHeight="1">
      <c r="A912" s="251" t="s">
        <v>884</v>
      </c>
      <c r="B912" s="251"/>
      <c r="C912" s="251"/>
      <c r="D912" s="251"/>
      <c r="E912" s="251"/>
      <c r="F912" s="251"/>
      <c r="G912" s="251"/>
      <c r="H912" s="251"/>
      <c r="I912" s="251"/>
      <c r="J912" s="248"/>
      <c r="K912" s="248"/>
      <c r="L912" s="198"/>
      <c r="M912" s="198"/>
      <c r="N912" s="161"/>
      <c r="O912" s="161"/>
      <c r="P912" s="151"/>
      <c r="Q912" s="151"/>
      <c r="R912" s="151"/>
      <c r="S912" s="151"/>
      <c r="T912" s="151"/>
    </row>
    <row r="913" spans="1:21" ht="24" customHeight="1">
      <c r="A913" s="247" t="s">
        <v>1214</v>
      </c>
      <c r="B913" s="248"/>
      <c r="C913" s="248"/>
      <c r="D913" s="247" t="s">
        <v>879</v>
      </c>
      <c r="E913" s="248"/>
      <c r="F913" s="248"/>
      <c r="G913" s="248"/>
      <c r="H913" s="248"/>
      <c r="I913" s="248"/>
      <c r="J913" s="248"/>
      <c r="K913" s="248"/>
      <c r="L913" s="193">
        <v>500000</v>
      </c>
      <c r="M913" s="193">
        <v>520000</v>
      </c>
      <c r="N913" s="148">
        <v>565000</v>
      </c>
      <c r="O913" s="148">
        <v>565000</v>
      </c>
      <c r="P913" s="145">
        <v>585000</v>
      </c>
      <c r="Q913" s="145">
        <v>610000</v>
      </c>
      <c r="R913" s="145">
        <v>645000</v>
      </c>
      <c r="S913" s="145">
        <v>675000</v>
      </c>
      <c r="T913" s="145">
        <v>700000</v>
      </c>
    </row>
    <row r="914" spans="1:21" ht="24" customHeight="1">
      <c r="A914" s="247" t="s">
        <v>1215</v>
      </c>
      <c r="B914" s="248"/>
      <c r="C914" s="248"/>
      <c r="D914" s="247" t="s">
        <v>257</v>
      </c>
      <c r="E914" s="248"/>
      <c r="F914" s="248"/>
      <c r="G914" s="248"/>
      <c r="H914" s="248"/>
      <c r="I914" s="248"/>
      <c r="J914" s="248"/>
      <c r="K914" s="248"/>
      <c r="L914" s="198">
        <v>173033</v>
      </c>
      <c r="M914" s="198">
        <v>163033</v>
      </c>
      <c r="N914" s="153">
        <v>152113</v>
      </c>
      <c r="O914" s="153">
        <v>152113</v>
      </c>
      <c r="P914" s="152">
        <v>139400</v>
      </c>
      <c r="Q914" s="152">
        <v>121850</v>
      </c>
      <c r="R914" s="152">
        <v>103550</v>
      </c>
      <c r="S914" s="152">
        <v>84200</v>
      </c>
      <c r="T914" s="152">
        <v>57200</v>
      </c>
    </row>
    <row r="915" spans="1:21" ht="15" customHeight="1">
      <c r="A915" s="183"/>
      <c r="B915" s="183"/>
      <c r="C915" s="183"/>
      <c r="D915" s="183"/>
      <c r="E915" s="183"/>
      <c r="F915" s="183"/>
      <c r="G915" s="183"/>
      <c r="H915" s="183"/>
      <c r="I915" s="183"/>
      <c r="J915" s="183"/>
      <c r="K915" s="183"/>
      <c r="L915" s="199"/>
      <c r="M915" s="199"/>
      <c r="N915" s="155"/>
      <c r="O915" s="155"/>
      <c r="P915" s="154"/>
      <c r="Q915" s="154"/>
      <c r="R915" s="154"/>
      <c r="S915" s="154"/>
      <c r="T915" s="154"/>
    </row>
    <row r="916" spans="1:21" s="183" customFormat="1" ht="24" customHeight="1">
      <c r="K916" s="251" t="s">
        <v>457</v>
      </c>
      <c r="L916" s="201">
        <f>SUM(L878:L915)</f>
        <v>1453791</v>
      </c>
      <c r="M916" s="201">
        <f t="shared" ref="M916:T916" si="57">SUM(M878:M915)</f>
        <v>1458497</v>
      </c>
      <c r="N916" s="202">
        <f t="shared" si="57"/>
        <v>1547989</v>
      </c>
      <c r="O916" s="202">
        <f t="shared" si="57"/>
        <v>1542269</v>
      </c>
      <c r="P916" s="201">
        <f t="shared" si="57"/>
        <v>1620345</v>
      </c>
      <c r="Q916" s="201">
        <f t="shared" si="57"/>
        <v>1674038</v>
      </c>
      <c r="R916" s="201">
        <f t="shared" si="57"/>
        <v>1714234</v>
      </c>
      <c r="S916" s="201">
        <f t="shared" si="57"/>
        <v>1749674</v>
      </c>
      <c r="T916" s="201">
        <f t="shared" si="57"/>
        <v>1798828</v>
      </c>
      <c r="U916" s="64"/>
    </row>
    <row r="917" spans="1:21" s="183" customFormat="1" ht="15" customHeight="1">
      <c r="L917" s="199"/>
      <c r="M917" s="199"/>
      <c r="N917" s="200"/>
      <c r="O917" s="200"/>
      <c r="P917" s="199"/>
      <c r="Q917" s="199"/>
      <c r="R917" s="199"/>
      <c r="S917" s="199"/>
      <c r="T917" s="199"/>
      <c r="U917" s="64"/>
    </row>
    <row r="918" spans="1:21" s="183" customFormat="1" ht="24" customHeight="1">
      <c r="K918" s="251" t="s">
        <v>458</v>
      </c>
      <c r="L918" s="201">
        <f t="shared" ref="L918:T918" si="58">L876-L916</f>
        <v>-10301</v>
      </c>
      <c r="M918" s="201">
        <f t="shared" si="58"/>
        <v>21297</v>
      </c>
      <c r="N918" s="202">
        <f t="shared" si="58"/>
        <v>-11354</v>
      </c>
      <c r="O918" s="202">
        <f t="shared" si="58"/>
        <v>4364</v>
      </c>
      <c r="P918" s="201">
        <f t="shared" si="58"/>
        <v>-43594</v>
      </c>
      <c r="Q918" s="201">
        <f t="shared" si="58"/>
        <v>-51923</v>
      </c>
      <c r="R918" s="201">
        <f t="shared" si="58"/>
        <v>-65742</v>
      </c>
      <c r="S918" s="201">
        <f t="shared" si="58"/>
        <v>-77946</v>
      </c>
      <c r="T918" s="201">
        <f t="shared" si="58"/>
        <v>-93687</v>
      </c>
      <c r="U918" s="64"/>
    </row>
    <row r="919" spans="1:21" s="183" customFormat="1" ht="15" customHeight="1">
      <c r="L919" s="199"/>
      <c r="M919" s="199"/>
      <c r="N919" s="200"/>
      <c r="O919" s="200"/>
      <c r="P919" s="199"/>
      <c r="Q919" s="199"/>
      <c r="R919" s="199"/>
      <c r="S919" s="199"/>
      <c r="T919" s="199"/>
      <c r="U919" s="64"/>
    </row>
    <row r="920" spans="1:21" s="183" customFormat="1" ht="24" customHeight="1">
      <c r="K920" s="256" t="s">
        <v>460</v>
      </c>
      <c r="L920" s="218">
        <v>489057</v>
      </c>
      <c r="M920" s="218">
        <v>510355</v>
      </c>
      <c r="N920" s="219">
        <v>474039</v>
      </c>
      <c r="O920" s="219">
        <f>M920+O918</f>
        <v>514719</v>
      </c>
      <c r="P920" s="218">
        <f>O920+P918</f>
        <v>471125</v>
      </c>
      <c r="Q920" s="218">
        <f>P920+Q918</f>
        <v>419202</v>
      </c>
      <c r="R920" s="218">
        <f>Q920+R918</f>
        <v>353460</v>
      </c>
      <c r="S920" s="218">
        <f>R920+S918</f>
        <v>275514</v>
      </c>
      <c r="T920" s="218">
        <f>S920+T918</f>
        <v>181827</v>
      </c>
      <c r="U920" s="64"/>
    </row>
    <row r="921" spans="1:21" s="260" customFormat="1" ht="24" customHeight="1">
      <c r="L921" s="220">
        <f t="shared" ref="L921:T921" si="59">L920/L916</f>
        <v>0.33640117458424218</v>
      </c>
      <c r="M921" s="220">
        <f t="shared" si="59"/>
        <v>0.34991844343869066</v>
      </c>
      <c r="N921" s="221">
        <f t="shared" si="59"/>
        <v>0.30622892023134529</v>
      </c>
      <c r="O921" s="221">
        <f t="shared" si="59"/>
        <v>0.3337413901206599</v>
      </c>
      <c r="P921" s="220">
        <f t="shared" si="59"/>
        <v>0.29075598097935934</v>
      </c>
      <c r="Q921" s="220">
        <f t="shared" si="59"/>
        <v>0.25041367041847318</v>
      </c>
      <c r="R921" s="220">
        <f t="shared" si="59"/>
        <v>0.20619122010180641</v>
      </c>
      <c r="S921" s="220">
        <f t="shared" si="59"/>
        <v>0.15746590507717437</v>
      </c>
      <c r="T921" s="220">
        <f t="shared" si="59"/>
        <v>0.10108081484166358</v>
      </c>
      <c r="U921" s="386"/>
    </row>
    <row r="922" spans="1:21" s="260" customFormat="1" ht="15" customHeight="1">
      <c r="L922" s="220"/>
      <c r="M922" s="220"/>
      <c r="N922" s="221"/>
      <c r="O922" s="221"/>
      <c r="P922" s="220"/>
      <c r="Q922" s="220"/>
      <c r="R922" s="220"/>
      <c r="S922" s="220"/>
      <c r="T922" s="220"/>
      <c r="U922" s="386"/>
    </row>
    <row r="923" spans="1:21" s="381" customFormat="1" ht="24" customHeight="1">
      <c r="H923" s="382"/>
      <c r="I923" s="382"/>
      <c r="J923" s="382"/>
      <c r="K923" s="402" t="s">
        <v>1292</v>
      </c>
      <c r="L923" s="372">
        <f>L920/(L916-L914-L913-L911-L910)</f>
        <v>0.69763630138940402</v>
      </c>
      <c r="M923" s="372">
        <f t="shared" ref="M923:T923" si="60">M920/(M916-M914-M913-M911-M910)</f>
        <v>0.73106183775700073</v>
      </c>
      <c r="N923" s="372">
        <f t="shared" si="60"/>
        <v>0.6271286222297483</v>
      </c>
      <c r="O923" s="372">
        <f>O920/(O916-O914-O913-O911-O910)</f>
        <v>0.68613830501967554</v>
      </c>
      <c r="P923" s="372">
        <f t="shared" si="60"/>
        <v>0.57221752585834151</v>
      </c>
      <c r="Q923" s="372">
        <f t="shared" si="60"/>
        <v>0.49495483794793083</v>
      </c>
      <c r="R923" s="372">
        <f t="shared" si="60"/>
        <v>0.40441231154370266</v>
      </c>
      <c r="S923" s="372">
        <f t="shared" si="60"/>
        <v>0.30532569559189726</v>
      </c>
      <c r="T923" s="372">
        <f t="shared" si="60"/>
        <v>0.19507702145099445</v>
      </c>
      <c r="U923" s="389"/>
    </row>
    <row r="924" spans="1:21" ht="15" customHeight="1">
      <c r="A924" s="183"/>
      <c r="B924" s="183"/>
      <c r="C924" s="183"/>
      <c r="D924" s="183"/>
      <c r="E924" s="183"/>
      <c r="F924" s="183"/>
      <c r="G924" s="183"/>
      <c r="H924" s="183"/>
      <c r="I924" s="183"/>
      <c r="J924" s="183"/>
      <c r="K924" s="183"/>
      <c r="L924" s="302"/>
      <c r="M924" s="302"/>
      <c r="N924" s="306"/>
      <c r="O924" s="306"/>
      <c r="P924" s="307"/>
      <c r="Q924" s="307"/>
      <c r="R924" s="307"/>
      <c r="S924" s="307"/>
      <c r="T924" s="307"/>
    </row>
    <row r="925" spans="1:21" ht="24" customHeight="1">
      <c r="A925" s="258" t="s">
        <v>796</v>
      </c>
      <c r="B925" s="183"/>
      <c r="C925" s="183"/>
      <c r="D925" s="183"/>
      <c r="E925" s="183"/>
      <c r="F925" s="183"/>
      <c r="G925" s="183"/>
      <c r="H925" s="183"/>
      <c r="I925" s="183"/>
      <c r="J925" s="183"/>
      <c r="K925" s="183"/>
      <c r="L925" s="245"/>
      <c r="M925" s="245"/>
      <c r="N925" s="300"/>
      <c r="O925" s="300"/>
      <c r="P925" s="301"/>
      <c r="Q925" s="301"/>
      <c r="R925" s="301"/>
      <c r="S925" s="301"/>
      <c r="T925" s="301"/>
    </row>
    <row r="926" spans="1:21" ht="15" customHeight="1">
      <c r="A926" s="183"/>
      <c r="B926" s="183"/>
      <c r="C926" s="183"/>
      <c r="D926" s="183"/>
      <c r="E926" s="183"/>
      <c r="F926" s="183"/>
      <c r="G926" s="183"/>
      <c r="H926" s="183"/>
      <c r="I926" s="183"/>
      <c r="J926" s="183"/>
      <c r="K926" s="183"/>
      <c r="L926" s="245"/>
      <c r="M926" s="245"/>
      <c r="N926" s="300"/>
      <c r="O926" s="300"/>
      <c r="P926" s="301"/>
      <c r="Q926" s="301"/>
      <c r="R926" s="301"/>
      <c r="S926" s="301"/>
      <c r="T926" s="301"/>
    </row>
    <row r="927" spans="1:21" ht="24" customHeight="1">
      <c r="A927" s="247" t="s">
        <v>607</v>
      </c>
      <c r="B927" s="248"/>
      <c r="C927" s="248"/>
      <c r="D927" s="247" t="s">
        <v>606</v>
      </c>
      <c r="E927" s="183"/>
      <c r="F927" s="183"/>
      <c r="G927" s="183"/>
      <c r="H927" s="183"/>
      <c r="I927" s="183"/>
      <c r="J927" s="183"/>
      <c r="K927" s="183"/>
      <c r="L927" s="192">
        <v>53450</v>
      </c>
      <c r="M927" s="192">
        <v>100484</v>
      </c>
      <c r="N927" s="144">
        <v>43200</v>
      </c>
      <c r="O927" s="144">
        <v>110000</v>
      </c>
      <c r="P927" s="159">
        <v>50000</v>
      </c>
      <c r="Q927" s="159">
        <v>50000</v>
      </c>
      <c r="R927" s="159">
        <v>50000</v>
      </c>
      <c r="S927" s="159">
        <v>50000</v>
      </c>
      <c r="T927" s="159">
        <v>50000</v>
      </c>
    </row>
    <row r="928" spans="1:21" ht="24" customHeight="1">
      <c r="A928" s="247" t="s">
        <v>1128</v>
      </c>
      <c r="B928" s="248"/>
      <c r="C928" s="248"/>
      <c r="D928" s="247" t="s">
        <v>1119</v>
      </c>
      <c r="E928" s="183"/>
      <c r="F928" s="183"/>
      <c r="G928" s="183"/>
      <c r="H928" s="183"/>
      <c r="I928" s="183"/>
      <c r="J928" s="183"/>
      <c r="K928" s="183"/>
      <c r="L928" s="192">
        <v>200</v>
      </c>
      <c r="M928" s="192">
        <v>0</v>
      </c>
      <c r="N928" s="144">
        <v>0</v>
      </c>
      <c r="O928" s="144">
        <v>0</v>
      </c>
      <c r="P928" s="143">
        <v>0</v>
      </c>
      <c r="Q928" s="143">
        <v>0</v>
      </c>
      <c r="R928" s="143">
        <v>0</v>
      </c>
      <c r="S928" s="143">
        <v>0</v>
      </c>
      <c r="T928" s="143">
        <v>0</v>
      </c>
    </row>
    <row r="929" spans="1:21" ht="24" customHeight="1">
      <c r="A929" s="247" t="s">
        <v>576</v>
      </c>
      <c r="B929" s="248"/>
      <c r="C929" s="248"/>
      <c r="D929" s="491" t="s">
        <v>6</v>
      </c>
      <c r="E929" s="491"/>
      <c r="F929" s="491"/>
      <c r="G929" s="491"/>
      <c r="H929" s="491"/>
      <c r="I929" s="491"/>
      <c r="J929" s="491"/>
      <c r="K929" s="491"/>
      <c r="L929" s="192">
        <v>12</v>
      </c>
      <c r="M929" s="192">
        <v>16</v>
      </c>
      <c r="N929" s="144">
        <v>10</v>
      </c>
      <c r="O929" s="144">
        <v>150</v>
      </c>
      <c r="P929" s="143">
        <v>100</v>
      </c>
      <c r="Q929" s="143">
        <v>100</v>
      </c>
      <c r="R929" s="143">
        <v>100</v>
      </c>
      <c r="S929" s="143">
        <v>0</v>
      </c>
      <c r="T929" s="143">
        <v>0</v>
      </c>
    </row>
    <row r="930" spans="1:21" ht="24" customHeight="1">
      <c r="A930" s="247" t="s">
        <v>1096</v>
      </c>
      <c r="B930" s="248"/>
      <c r="C930" s="248"/>
      <c r="D930" s="247" t="s">
        <v>7</v>
      </c>
      <c r="E930" s="183"/>
      <c r="F930" s="183"/>
      <c r="G930" s="183"/>
      <c r="H930" s="183"/>
      <c r="I930" s="183"/>
      <c r="J930" s="183"/>
      <c r="K930" s="183"/>
      <c r="L930" s="198">
        <v>130</v>
      </c>
      <c r="M930" s="198">
        <v>37</v>
      </c>
      <c r="N930" s="153">
        <v>0</v>
      </c>
      <c r="O930" s="153">
        <v>0</v>
      </c>
      <c r="P930" s="152">
        <v>0</v>
      </c>
      <c r="Q930" s="152">
        <v>0</v>
      </c>
      <c r="R930" s="152">
        <v>0</v>
      </c>
      <c r="S930" s="152">
        <v>0</v>
      </c>
      <c r="T930" s="152">
        <v>0</v>
      </c>
    </row>
    <row r="931" spans="1:21" ht="15" customHeight="1">
      <c r="A931" s="183"/>
      <c r="B931" s="183"/>
      <c r="C931" s="183"/>
      <c r="D931" s="183"/>
      <c r="E931" s="183"/>
      <c r="F931" s="183"/>
      <c r="G931" s="183"/>
      <c r="H931" s="183"/>
      <c r="I931" s="183"/>
      <c r="J931" s="183"/>
      <c r="K931" s="183"/>
      <c r="L931" s="199"/>
      <c r="M931" s="199"/>
      <c r="N931" s="155"/>
      <c r="O931" s="155"/>
      <c r="P931" s="154"/>
      <c r="Q931" s="154"/>
      <c r="R931" s="154"/>
      <c r="S931" s="154"/>
      <c r="T931" s="154"/>
    </row>
    <row r="932" spans="1:21" s="183" customFormat="1" ht="24" customHeight="1">
      <c r="K932" s="251" t="s">
        <v>454</v>
      </c>
      <c r="L932" s="201">
        <f>SUM(L927:L930)</f>
        <v>53792</v>
      </c>
      <c r="M932" s="201">
        <f>SUM(M927:M930)</f>
        <v>100537</v>
      </c>
      <c r="N932" s="202">
        <f t="shared" ref="N932:S932" si="61">SUM(N927:N930)</f>
        <v>43210</v>
      </c>
      <c r="O932" s="202">
        <f t="shared" si="61"/>
        <v>110150</v>
      </c>
      <c r="P932" s="201">
        <f t="shared" si="61"/>
        <v>50100</v>
      </c>
      <c r="Q932" s="201">
        <f t="shared" si="61"/>
        <v>50100</v>
      </c>
      <c r="R932" s="201">
        <f t="shared" si="61"/>
        <v>50100</v>
      </c>
      <c r="S932" s="201">
        <f t="shared" si="61"/>
        <v>50000</v>
      </c>
      <c r="T932" s="201">
        <f>SUM(T927:T930)</f>
        <v>50000</v>
      </c>
      <c r="U932" s="64"/>
    </row>
    <row r="933" spans="1:21" ht="15" customHeight="1">
      <c r="A933" s="183"/>
      <c r="B933" s="183"/>
      <c r="C933" s="183"/>
      <c r="D933" s="183"/>
      <c r="E933" s="183"/>
      <c r="F933" s="183"/>
      <c r="G933" s="183"/>
      <c r="H933" s="183"/>
      <c r="I933" s="183"/>
      <c r="J933" s="183"/>
      <c r="K933" s="251"/>
      <c r="L933" s="201"/>
      <c r="M933" s="201"/>
      <c r="N933" s="158"/>
      <c r="O933" s="158"/>
      <c r="P933" s="157"/>
      <c r="Q933" s="157"/>
      <c r="R933" s="157"/>
      <c r="S933" s="157"/>
      <c r="T933" s="157"/>
    </row>
    <row r="934" spans="1:21" ht="24" customHeight="1">
      <c r="A934" s="247" t="s">
        <v>1129</v>
      </c>
      <c r="B934" s="183"/>
      <c r="C934" s="183"/>
      <c r="D934" s="247" t="s">
        <v>1120</v>
      </c>
      <c r="E934" s="183"/>
      <c r="F934" s="183"/>
      <c r="G934" s="183"/>
      <c r="H934" s="183"/>
      <c r="I934" s="183"/>
      <c r="J934" s="183"/>
      <c r="K934" s="251"/>
      <c r="L934" s="213">
        <v>200</v>
      </c>
      <c r="M934" s="213">
        <v>0</v>
      </c>
      <c r="N934" s="171">
        <v>0</v>
      </c>
      <c r="O934" s="171">
        <v>0</v>
      </c>
      <c r="P934" s="170">
        <v>0</v>
      </c>
      <c r="Q934" s="170">
        <v>0</v>
      </c>
      <c r="R934" s="170">
        <v>0</v>
      </c>
      <c r="S934" s="170">
        <v>0</v>
      </c>
      <c r="T934" s="170">
        <v>0</v>
      </c>
    </row>
    <row r="935" spans="1:21" ht="24" customHeight="1">
      <c r="A935" s="247" t="s">
        <v>838</v>
      </c>
      <c r="B935" s="183"/>
      <c r="C935" s="183"/>
      <c r="D935" s="247" t="s">
        <v>941</v>
      </c>
      <c r="E935" s="183"/>
      <c r="F935" s="183"/>
      <c r="G935" s="183"/>
      <c r="H935" s="183"/>
      <c r="I935" s="183"/>
      <c r="J935" s="183"/>
      <c r="K935" s="251"/>
      <c r="L935" s="213">
        <v>3644</v>
      </c>
      <c r="M935" s="213">
        <v>3425</v>
      </c>
      <c r="N935" s="171">
        <v>3500</v>
      </c>
      <c r="O935" s="171">
        <v>3500</v>
      </c>
      <c r="P935" s="170">
        <v>3500</v>
      </c>
      <c r="Q935" s="170">
        <v>3500</v>
      </c>
      <c r="R935" s="170">
        <v>3500</v>
      </c>
      <c r="S935" s="170">
        <v>3500</v>
      </c>
      <c r="T935" s="170">
        <v>3500</v>
      </c>
    </row>
    <row r="936" spans="1:21" ht="24" customHeight="1">
      <c r="A936" s="247" t="s">
        <v>777</v>
      </c>
      <c r="B936" s="248"/>
      <c r="C936" s="248"/>
      <c r="D936" s="247" t="s">
        <v>224</v>
      </c>
      <c r="E936" s="248"/>
      <c r="F936" s="248"/>
      <c r="G936" s="248"/>
      <c r="H936" s="248"/>
      <c r="I936" s="248"/>
      <c r="J936" s="183"/>
      <c r="K936" s="251"/>
      <c r="L936" s="213">
        <v>15444</v>
      </c>
      <c r="M936" s="213">
        <v>7367</v>
      </c>
      <c r="N936" s="171">
        <v>15000</v>
      </c>
      <c r="O936" s="171">
        <v>15000</v>
      </c>
      <c r="P936" s="170">
        <v>15000</v>
      </c>
      <c r="Q936" s="170">
        <v>15000</v>
      </c>
      <c r="R936" s="170">
        <v>15000</v>
      </c>
      <c r="S936" s="170">
        <v>15000</v>
      </c>
      <c r="T936" s="170">
        <v>15000</v>
      </c>
    </row>
    <row r="937" spans="1:21" ht="24" customHeight="1">
      <c r="A937" s="247" t="s">
        <v>774</v>
      </c>
      <c r="B937" s="183"/>
      <c r="C937" s="183"/>
      <c r="D937" s="247" t="s">
        <v>444</v>
      </c>
      <c r="E937" s="183"/>
      <c r="F937" s="183"/>
      <c r="G937" s="183"/>
      <c r="H937" s="183"/>
      <c r="I937" s="183"/>
      <c r="J937" s="183"/>
      <c r="K937" s="183"/>
      <c r="L937" s="213">
        <v>2758</v>
      </c>
      <c r="M937" s="213">
        <v>3531</v>
      </c>
      <c r="N937" s="171">
        <v>1600</v>
      </c>
      <c r="O937" s="171">
        <v>3000</v>
      </c>
      <c r="P937" s="170">
        <v>3500</v>
      </c>
      <c r="Q937" s="170">
        <v>3500</v>
      </c>
      <c r="R937" s="170">
        <v>3500</v>
      </c>
      <c r="S937" s="170">
        <v>3500</v>
      </c>
      <c r="T937" s="170">
        <v>3500</v>
      </c>
    </row>
    <row r="938" spans="1:21" ht="24" customHeight="1">
      <c r="A938" s="247" t="s">
        <v>775</v>
      </c>
      <c r="B938" s="183"/>
      <c r="C938" s="183"/>
      <c r="D938" s="247" t="s">
        <v>918</v>
      </c>
      <c r="E938" s="183"/>
      <c r="F938" s="183"/>
      <c r="G938" s="183"/>
      <c r="H938" s="183"/>
      <c r="I938" s="183"/>
      <c r="J938" s="183"/>
      <c r="K938" s="183"/>
      <c r="L938" s="213">
        <v>0</v>
      </c>
      <c r="M938" s="213">
        <v>699</v>
      </c>
      <c r="N938" s="171">
        <v>500</v>
      </c>
      <c r="O938" s="171">
        <v>500</v>
      </c>
      <c r="P938" s="170">
        <v>500</v>
      </c>
      <c r="Q938" s="170">
        <v>500</v>
      </c>
      <c r="R938" s="170">
        <v>500</v>
      </c>
      <c r="S938" s="170">
        <v>500</v>
      </c>
      <c r="T938" s="170">
        <v>500</v>
      </c>
    </row>
    <row r="939" spans="1:21" ht="24" customHeight="1">
      <c r="A939" s="247" t="s">
        <v>776</v>
      </c>
      <c r="B939" s="183"/>
      <c r="C939" s="183"/>
      <c r="D939" s="247" t="s">
        <v>447</v>
      </c>
      <c r="E939" s="183"/>
      <c r="F939" s="183"/>
      <c r="G939" s="183"/>
      <c r="H939" s="183"/>
      <c r="I939" s="183"/>
      <c r="J939" s="183"/>
      <c r="K939" s="183"/>
      <c r="L939" s="213">
        <v>1843</v>
      </c>
      <c r="M939" s="213">
        <v>1903</v>
      </c>
      <c r="N939" s="171">
        <v>1500</v>
      </c>
      <c r="O939" s="171">
        <v>3000</v>
      </c>
      <c r="P939" s="170">
        <v>3000</v>
      </c>
      <c r="Q939" s="170">
        <v>3000</v>
      </c>
      <c r="R939" s="170">
        <v>3000</v>
      </c>
      <c r="S939" s="170">
        <v>3000</v>
      </c>
      <c r="T939" s="170">
        <v>3000</v>
      </c>
    </row>
    <row r="940" spans="1:21" ht="24" customHeight="1">
      <c r="A940" s="247" t="s">
        <v>779</v>
      </c>
      <c r="B940" s="183"/>
      <c r="C940" s="183"/>
      <c r="D940" s="247" t="s">
        <v>778</v>
      </c>
      <c r="E940" s="183"/>
      <c r="F940" s="183"/>
      <c r="G940" s="183"/>
      <c r="H940" s="183"/>
      <c r="I940" s="183"/>
      <c r="J940" s="183"/>
      <c r="K940" s="183"/>
      <c r="L940" s="213">
        <v>24806</v>
      </c>
      <c r="M940" s="213">
        <v>41104</v>
      </c>
      <c r="N940" s="171">
        <v>30000</v>
      </c>
      <c r="O940" s="171">
        <v>50000</v>
      </c>
      <c r="P940" s="170">
        <v>50000</v>
      </c>
      <c r="Q940" s="170">
        <v>50000</v>
      </c>
      <c r="R940" s="170">
        <v>50000</v>
      </c>
      <c r="S940" s="170">
        <v>40000</v>
      </c>
      <c r="T940" s="170">
        <v>26143</v>
      </c>
    </row>
    <row r="941" spans="1:21" ht="24" customHeight="1">
      <c r="A941" s="247" t="s">
        <v>1342</v>
      </c>
      <c r="B941" s="183"/>
      <c r="C941" s="183"/>
      <c r="D941" s="247" t="s">
        <v>1163</v>
      </c>
      <c r="E941" s="183"/>
      <c r="F941" s="183"/>
      <c r="G941" s="183"/>
      <c r="H941" s="183"/>
      <c r="I941" s="183"/>
      <c r="J941" s="183"/>
      <c r="K941" s="183"/>
      <c r="L941" s="230">
        <v>0</v>
      </c>
      <c r="M941" s="230">
        <v>3970</v>
      </c>
      <c r="N941" s="178">
        <v>0</v>
      </c>
      <c r="O941" s="178">
        <v>0</v>
      </c>
      <c r="P941" s="396">
        <v>0</v>
      </c>
      <c r="Q941" s="396">
        <v>0</v>
      </c>
      <c r="R941" s="396">
        <v>0</v>
      </c>
      <c r="S941" s="396">
        <v>0</v>
      </c>
      <c r="T941" s="396">
        <v>0</v>
      </c>
    </row>
    <row r="942" spans="1:21" ht="15" customHeight="1">
      <c r="A942" s="247"/>
      <c r="B942" s="183"/>
      <c r="C942" s="183"/>
      <c r="D942" s="183"/>
      <c r="E942" s="183"/>
      <c r="F942" s="183"/>
      <c r="G942" s="183"/>
      <c r="H942" s="183"/>
      <c r="I942" s="183"/>
      <c r="J942" s="183"/>
      <c r="K942" s="183"/>
      <c r="L942" s="199"/>
      <c r="M942" s="199"/>
      <c r="N942" s="155"/>
      <c r="O942" s="155"/>
      <c r="P942" s="154"/>
      <c r="Q942" s="154"/>
      <c r="R942" s="154"/>
      <c r="S942" s="154"/>
      <c r="T942" s="154"/>
    </row>
    <row r="943" spans="1:21" s="183" customFormat="1" ht="24" customHeight="1">
      <c r="A943" s="247"/>
      <c r="K943" s="251" t="s">
        <v>457</v>
      </c>
      <c r="L943" s="201">
        <f>SUM(L934:L942)</f>
        <v>48695</v>
      </c>
      <c r="M943" s="201">
        <f>SUM(M934:M942)</f>
        <v>61999</v>
      </c>
      <c r="N943" s="202">
        <f t="shared" ref="N943:T943" si="62">SUM(N934:N942)</f>
        <v>52100</v>
      </c>
      <c r="O943" s="202">
        <f t="shared" si="62"/>
        <v>75000</v>
      </c>
      <c r="P943" s="201">
        <f t="shared" si="62"/>
        <v>75500</v>
      </c>
      <c r="Q943" s="201">
        <f t="shared" si="62"/>
        <v>75500</v>
      </c>
      <c r="R943" s="201">
        <f t="shared" si="62"/>
        <v>75500</v>
      </c>
      <c r="S943" s="201">
        <f t="shared" si="62"/>
        <v>65500</v>
      </c>
      <c r="T943" s="201">
        <f t="shared" si="62"/>
        <v>51643</v>
      </c>
      <c r="U943" s="64"/>
    </row>
    <row r="944" spans="1:21" s="183" customFormat="1" ht="15" customHeight="1">
      <c r="A944" s="247"/>
      <c r="L944" s="199"/>
      <c r="M944" s="199"/>
      <c r="N944" s="200"/>
      <c r="O944" s="200"/>
      <c r="P944" s="199"/>
      <c r="Q944" s="199"/>
      <c r="R944" s="199"/>
      <c r="S944" s="199"/>
      <c r="T944" s="199"/>
      <c r="U944" s="64"/>
    </row>
    <row r="945" spans="1:21" s="183" customFormat="1" ht="24" customHeight="1">
      <c r="K945" s="251" t="s">
        <v>458</v>
      </c>
      <c r="L945" s="201">
        <f>L932-L943</f>
        <v>5097</v>
      </c>
      <c r="M945" s="201">
        <f>M932-M943</f>
        <v>38538</v>
      </c>
      <c r="N945" s="202">
        <f t="shared" ref="N945:S945" si="63">N932-N943</f>
        <v>-8890</v>
      </c>
      <c r="O945" s="202">
        <f t="shared" si="63"/>
        <v>35150</v>
      </c>
      <c r="P945" s="201">
        <f t="shared" si="63"/>
        <v>-25400</v>
      </c>
      <c r="Q945" s="201">
        <f t="shared" si="63"/>
        <v>-25400</v>
      </c>
      <c r="R945" s="201">
        <f t="shared" si="63"/>
        <v>-25400</v>
      </c>
      <c r="S945" s="201">
        <f t="shared" si="63"/>
        <v>-15500</v>
      </c>
      <c r="T945" s="201">
        <f>T932-T943</f>
        <v>-1643</v>
      </c>
      <c r="U945" s="64"/>
    </row>
    <row r="946" spans="1:21" s="183" customFormat="1" ht="15" customHeight="1">
      <c r="L946" s="199"/>
      <c r="M946" s="199"/>
      <c r="N946" s="200"/>
      <c r="O946" s="200"/>
      <c r="P946" s="199"/>
      <c r="Q946" s="199"/>
      <c r="R946" s="199"/>
      <c r="S946" s="199"/>
      <c r="T946" s="199"/>
      <c r="U946" s="64"/>
    </row>
    <row r="947" spans="1:21" s="183" customFormat="1" ht="24" customHeight="1">
      <c r="K947" s="256" t="s">
        <v>460</v>
      </c>
      <c r="L947" s="201">
        <v>19904</v>
      </c>
      <c r="M947" s="201">
        <v>58443</v>
      </c>
      <c r="N947" s="202">
        <v>31274</v>
      </c>
      <c r="O947" s="202">
        <f>M947+O945</f>
        <v>93593</v>
      </c>
      <c r="P947" s="201">
        <f>O947+P945</f>
        <v>68193</v>
      </c>
      <c r="Q947" s="201">
        <f>P947+Q945</f>
        <v>42793</v>
      </c>
      <c r="R947" s="201">
        <f>Q947+R945</f>
        <v>17393</v>
      </c>
      <c r="S947" s="201">
        <f>R947+S945</f>
        <v>1893</v>
      </c>
      <c r="T947" s="201">
        <f>S947+T945</f>
        <v>250</v>
      </c>
      <c r="U947" s="64"/>
    </row>
    <row r="948" spans="1:21" ht="15" customHeight="1">
      <c r="A948" s="183"/>
      <c r="B948" s="183"/>
      <c r="C948" s="183"/>
      <c r="D948" s="183"/>
      <c r="E948" s="183"/>
      <c r="F948" s="183"/>
      <c r="G948" s="183"/>
      <c r="H948" s="183"/>
      <c r="I948" s="183"/>
      <c r="J948" s="183"/>
      <c r="K948" s="183"/>
      <c r="L948" s="245"/>
      <c r="M948" s="245"/>
      <c r="N948" s="300"/>
      <c r="O948" s="300"/>
      <c r="P948" s="301"/>
      <c r="Q948" s="301"/>
      <c r="R948" s="301"/>
      <c r="S948" s="301"/>
      <c r="T948" s="301"/>
    </row>
    <row r="949" spans="1:21" ht="24" customHeight="1">
      <c r="A949" s="258" t="s">
        <v>450</v>
      </c>
      <c r="B949" s="183"/>
      <c r="C949" s="183"/>
      <c r="D949" s="183"/>
      <c r="E949" s="183"/>
      <c r="F949" s="183"/>
      <c r="G949" s="183"/>
      <c r="H949" s="183"/>
      <c r="I949" s="183"/>
      <c r="J949" s="183"/>
      <c r="K949" s="183"/>
      <c r="L949" s="245"/>
      <c r="M949" s="245"/>
      <c r="N949" s="300"/>
      <c r="O949" s="300"/>
      <c r="P949" s="301"/>
      <c r="Q949" s="301"/>
      <c r="R949" s="301"/>
      <c r="S949" s="301"/>
      <c r="T949" s="301"/>
    </row>
    <row r="950" spans="1:21" ht="15" customHeight="1">
      <c r="A950" s="183"/>
      <c r="B950" s="183"/>
      <c r="C950" s="183"/>
      <c r="D950" s="183"/>
      <c r="E950" s="183"/>
      <c r="F950" s="183"/>
      <c r="G950" s="183"/>
      <c r="H950" s="183"/>
      <c r="I950" s="183"/>
      <c r="J950" s="183"/>
      <c r="K950" s="183"/>
      <c r="L950" s="245"/>
      <c r="M950" s="245"/>
      <c r="N950" s="300"/>
      <c r="O950" s="300"/>
      <c r="P950" s="301"/>
      <c r="Q950" s="301"/>
      <c r="R950" s="301"/>
      <c r="S950" s="301"/>
      <c r="T950" s="301"/>
    </row>
    <row r="951" spans="1:21" ht="24" customHeight="1">
      <c r="A951" s="183" t="s">
        <v>951</v>
      </c>
      <c r="B951" s="183"/>
      <c r="C951" s="183"/>
      <c r="D951" s="183" t="s">
        <v>950</v>
      </c>
      <c r="E951" s="183"/>
      <c r="F951" s="183"/>
      <c r="G951" s="183"/>
      <c r="H951" s="183"/>
      <c r="I951" s="183"/>
      <c r="J951" s="183"/>
      <c r="K951" s="183"/>
      <c r="L951" s="207">
        <v>215360</v>
      </c>
      <c r="M951" s="207">
        <v>198294</v>
      </c>
      <c r="N951" s="163">
        <v>246261</v>
      </c>
      <c r="O951" s="163">
        <v>198918</v>
      </c>
      <c r="P951" s="162">
        <v>232318</v>
      </c>
      <c r="Q951" s="162">
        <v>260762</v>
      </c>
      <c r="R951" s="162">
        <v>429192</v>
      </c>
      <c r="S951" s="162">
        <v>439922</v>
      </c>
      <c r="T951" s="162">
        <v>450920</v>
      </c>
    </row>
    <row r="952" spans="1:21" ht="15" customHeight="1">
      <c r="A952" s="183"/>
      <c r="B952" s="183"/>
      <c r="C952" s="183"/>
      <c r="D952" s="183"/>
      <c r="E952" s="183"/>
      <c r="F952" s="183"/>
      <c r="G952" s="183"/>
      <c r="H952" s="183"/>
      <c r="I952" s="183"/>
      <c r="J952" s="183"/>
      <c r="K952" s="183"/>
      <c r="L952" s="199"/>
      <c r="M952" s="199"/>
      <c r="N952" s="155"/>
      <c r="O952" s="155"/>
      <c r="P952" s="154"/>
      <c r="Q952" s="154"/>
      <c r="R952" s="154"/>
      <c r="S952" s="154"/>
      <c r="T952" s="154"/>
    </row>
    <row r="953" spans="1:21" s="183" customFormat="1" ht="24" customHeight="1">
      <c r="K953" s="251" t="s">
        <v>454</v>
      </c>
      <c r="L953" s="201">
        <f t="shared" ref="L953:N953" si="64">SUM(L951:L952)</f>
        <v>215360</v>
      </c>
      <c r="M953" s="201">
        <f t="shared" si="64"/>
        <v>198294</v>
      </c>
      <c r="N953" s="202">
        <f t="shared" si="64"/>
        <v>246261</v>
      </c>
      <c r="O953" s="202">
        <v>198918</v>
      </c>
      <c r="P953" s="201">
        <v>232318</v>
      </c>
      <c r="Q953" s="201">
        <v>260762</v>
      </c>
      <c r="R953" s="201">
        <v>429192</v>
      </c>
      <c r="S953" s="201">
        <v>439922</v>
      </c>
      <c r="T953" s="201">
        <v>450920</v>
      </c>
      <c r="U953" s="64"/>
    </row>
    <row r="954" spans="1:21" ht="15" customHeight="1">
      <c r="A954" s="183"/>
      <c r="B954" s="183"/>
      <c r="C954" s="183"/>
      <c r="D954" s="183"/>
      <c r="E954" s="183"/>
      <c r="F954" s="183"/>
      <c r="G954" s="183"/>
      <c r="H954" s="183"/>
      <c r="I954" s="183"/>
      <c r="J954" s="183"/>
      <c r="K954" s="183"/>
      <c r="L954" s="199"/>
      <c r="M954" s="199"/>
      <c r="N954" s="155"/>
      <c r="O954" s="155"/>
      <c r="P954" s="154"/>
      <c r="Q954" s="154"/>
      <c r="R954" s="154"/>
      <c r="S954" s="154"/>
      <c r="T954" s="154"/>
    </row>
    <row r="955" spans="1:21" ht="24" customHeight="1">
      <c r="A955" s="247" t="s">
        <v>1190</v>
      </c>
      <c r="B955" s="248"/>
      <c r="C955" s="248"/>
      <c r="D955" s="183" t="s">
        <v>1187</v>
      </c>
      <c r="E955" s="248"/>
      <c r="F955" s="248"/>
      <c r="G955" s="248"/>
      <c r="H955" s="248"/>
      <c r="I955" s="248"/>
      <c r="J955" s="248"/>
      <c r="K955" s="183"/>
      <c r="L955" s="190">
        <v>0</v>
      </c>
      <c r="M955" s="190">
        <v>10701</v>
      </c>
      <c r="N955" s="141">
        <v>11049</v>
      </c>
      <c r="O955" s="141">
        <v>11049</v>
      </c>
      <c r="P955" s="145">
        <v>11263</v>
      </c>
      <c r="Q955" s="145">
        <v>11601</v>
      </c>
      <c r="R955" s="145">
        <v>11949</v>
      </c>
      <c r="S955" s="145">
        <v>12307</v>
      </c>
      <c r="T955" s="145">
        <v>12676</v>
      </c>
    </row>
    <row r="956" spans="1:21" ht="24" customHeight="1">
      <c r="A956" s="247" t="s">
        <v>1241</v>
      </c>
      <c r="B956" s="248"/>
      <c r="C956" s="248"/>
      <c r="D956" s="247" t="s">
        <v>882</v>
      </c>
      <c r="E956" s="248"/>
      <c r="F956" s="248"/>
      <c r="G956" s="248"/>
      <c r="H956" s="248"/>
      <c r="I956" s="248"/>
      <c r="J956" s="248"/>
      <c r="K956" s="183"/>
      <c r="L956" s="190">
        <v>0</v>
      </c>
      <c r="M956" s="190">
        <v>0</v>
      </c>
      <c r="N956" s="141">
        <v>700000</v>
      </c>
      <c r="O956" s="141">
        <v>0</v>
      </c>
      <c r="P956" s="140">
        <v>700000</v>
      </c>
      <c r="Q956" s="140">
        <v>0</v>
      </c>
      <c r="R956" s="140">
        <v>0</v>
      </c>
      <c r="S956" s="140">
        <v>0</v>
      </c>
      <c r="T956" s="140">
        <v>0</v>
      </c>
    </row>
    <row r="957" spans="1:21" ht="24" customHeight="1">
      <c r="A957" s="247" t="s">
        <v>1074</v>
      </c>
      <c r="B957" s="248"/>
      <c r="C957" s="248"/>
      <c r="D957" s="247" t="s">
        <v>10</v>
      </c>
      <c r="E957" s="248"/>
      <c r="F957" s="248"/>
      <c r="G957" s="248"/>
      <c r="H957" s="248"/>
      <c r="I957" s="248"/>
      <c r="J957" s="248"/>
      <c r="K957" s="183"/>
      <c r="L957" s="190">
        <v>1281</v>
      </c>
      <c r="M957" s="190">
        <v>1329</v>
      </c>
      <c r="N957" s="141">
        <v>2000</v>
      </c>
      <c r="O957" s="141">
        <v>2000</v>
      </c>
      <c r="P957" s="140">
        <v>2000</v>
      </c>
      <c r="Q957" s="140">
        <v>2000</v>
      </c>
      <c r="R957" s="140">
        <v>2000</v>
      </c>
      <c r="S957" s="140">
        <v>2000</v>
      </c>
      <c r="T957" s="140">
        <v>2000</v>
      </c>
    </row>
    <row r="958" spans="1:21" ht="24" customHeight="1">
      <c r="A958" s="247" t="s">
        <v>451</v>
      </c>
      <c r="B958" s="248"/>
      <c r="C958" s="248"/>
      <c r="D958" s="247" t="s">
        <v>270</v>
      </c>
      <c r="E958" s="248"/>
      <c r="F958" s="248"/>
      <c r="G958" s="248"/>
      <c r="H958" s="248"/>
      <c r="I958" s="248"/>
      <c r="J958" s="248"/>
      <c r="K958" s="183"/>
      <c r="L958" s="193">
        <v>659</v>
      </c>
      <c r="M958" s="193">
        <v>661</v>
      </c>
      <c r="N958" s="148">
        <v>700</v>
      </c>
      <c r="O958" s="148">
        <v>661</v>
      </c>
      <c r="P958" s="145">
        <v>700</v>
      </c>
      <c r="Q958" s="145">
        <v>700</v>
      </c>
      <c r="R958" s="145">
        <v>700</v>
      </c>
      <c r="S958" s="145">
        <v>700</v>
      </c>
      <c r="T958" s="145">
        <v>700</v>
      </c>
    </row>
    <row r="959" spans="1:21" ht="24" customHeight="1">
      <c r="A959" s="253" t="s">
        <v>1090</v>
      </c>
      <c r="B959" s="248"/>
      <c r="C959" s="248"/>
      <c r="D959" s="247"/>
      <c r="E959" s="248"/>
      <c r="F959" s="248"/>
      <c r="G959" s="248"/>
      <c r="H959" s="248"/>
      <c r="I959" s="248"/>
      <c r="J959" s="248"/>
      <c r="K959" s="248"/>
      <c r="L959" s="192"/>
      <c r="M959" s="192"/>
      <c r="N959" s="144"/>
      <c r="O959" s="144"/>
      <c r="P959" s="143"/>
      <c r="Q959" s="143"/>
      <c r="R959" s="143"/>
      <c r="S959" s="143"/>
      <c r="T959" s="143"/>
    </row>
    <row r="960" spans="1:21" ht="24" customHeight="1">
      <c r="A960" s="247" t="s">
        <v>1114</v>
      </c>
      <c r="B960" s="248"/>
      <c r="C960" s="248"/>
      <c r="D960" s="247" t="s">
        <v>879</v>
      </c>
      <c r="E960" s="248"/>
      <c r="F960" s="248"/>
      <c r="G960" s="248"/>
      <c r="H960" s="248"/>
      <c r="I960" s="248"/>
      <c r="J960" s="248"/>
      <c r="K960" s="248"/>
      <c r="L960" s="192">
        <v>26457</v>
      </c>
      <c r="M960" s="192">
        <v>41009</v>
      </c>
      <c r="N960" s="144">
        <v>42336</v>
      </c>
      <c r="O960" s="144">
        <v>42336</v>
      </c>
      <c r="P960" s="143">
        <v>104517</v>
      </c>
      <c r="Q960" s="143">
        <v>107163</v>
      </c>
      <c r="R960" s="143">
        <v>112455</v>
      </c>
      <c r="S960" s="143">
        <v>116424</v>
      </c>
      <c r="T960" s="143">
        <v>121716</v>
      </c>
    </row>
    <row r="961" spans="1:21" ht="24" customHeight="1">
      <c r="A961" s="247" t="s">
        <v>1115</v>
      </c>
      <c r="B961" s="248"/>
      <c r="C961" s="248"/>
      <c r="D961" s="247" t="s">
        <v>257</v>
      </c>
      <c r="E961" s="248"/>
      <c r="F961" s="248"/>
      <c r="G961" s="248"/>
      <c r="H961" s="248"/>
      <c r="I961" s="248"/>
      <c r="J961" s="248"/>
      <c r="K961" s="248"/>
      <c r="L961" s="193">
        <v>82055</v>
      </c>
      <c r="M961" s="193">
        <v>57945</v>
      </c>
      <c r="N961" s="144">
        <v>56307</v>
      </c>
      <c r="O961" s="144">
        <v>56307</v>
      </c>
      <c r="P961" s="143">
        <v>54613</v>
      </c>
      <c r="Q961" s="143">
        <v>50433</v>
      </c>
      <c r="R961" s="143">
        <v>46146</v>
      </c>
      <c r="S961" s="143">
        <v>41648</v>
      </c>
      <c r="T961" s="143">
        <v>36991</v>
      </c>
    </row>
    <row r="962" spans="1:21" ht="24" customHeight="1">
      <c r="A962" s="251" t="s">
        <v>1032</v>
      </c>
      <c r="B962" s="251"/>
      <c r="C962" s="251"/>
      <c r="D962" s="251"/>
      <c r="E962" s="251"/>
      <c r="F962" s="251"/>
      <c r="G962" s="251"/>
      <c r="H962" s="251"/>
      <c r="I962" s="251"/>
      <c r="J962" s="251"/>
      <c r="K962" s="183"/>
      <c r="L962" s="199"/>
      <c r="M962" s="199"/>
      <c r="N962" s="155"/>
      <c r="O962" s="155"/>
      <c r="P962" s="154"/>
      <c r="Q962" s="154"/>
      <c r="R962" s="154"/>
      <c r="S962" s="154"/>
      <c r="T962" s="154"/>
    </row>
    <row r="963" spans="1:21" ht="24" customHeight="1">
      <c r="A963" s="247" t="s">
        <v>885</v>
      </c>
      <c r="B963" s="248"/>
      <c r="C963" s="248"/>
      <c r="D963" s="247" t="s">
        <v>879</v>
      </c>
      <c r="E963" s="248"/>
      <c r="F963" s="248"/>
      <c r="G963" s="248"/>
      <c r="H963" s="248"/>
      <c r="I963" s="248"/>
      <c r="J963" s="248"/>
      <c r="K963" s="183"/>
      <c r="L963" s="193">
        <v>0</v>
      </c>
      <c r="M963" s="193">
        <v>0</v>
      </c>
      <c r="N963" s="148">
        <v>0</v>
      </c>
      <c r="O963" s="148">
        <v>0</v>
      </c>
      <c r="P963" s="145">
        <v>0</v>
      </c>
      <c r="Q963" s="145">
        <v>0</v>
      </c>
      <c r="R963" s="145">
        <v>0</v>
      </c>
      <c r="S963" s="145">
        <v>0</v>
      </c>
      <c r="T963" s="145">
        <v>0</v>
      </c>
    </row>
    <row r="964" spans="1:21" ht="24" customHeight="1">
      <c r="A964" s="247" t="s">
        <v>886</v>
      </c>
      <c r="B964" s="248"/>
      <c r="C964" s="248"/>
      <c r="D964" s="247" t="s">
        <v>257</v>
      </c>
      <c r="E964" s="248"/>
      <c r="F964" s="248"/>
      <c r="G964" s="248"/>
      <c r="H964" s="248"/>
      <c r="I964" s="248"/>
      <c r="J964" s="248"/>
      <c r="K964" s="183"/>
      <c r="L964" s="198">
        <v>50715</v>
      </c>
      <c r="M964" s="198">
        <v>50715</v>
      </c>
      <c r="N964" s="153">
        <v>50715</v>
      </c>
      <c r="O964" s="153">
        <v>50715</v>
      </c>
      <c r="P964" s="152">
        <v>50715</v>
      </c>
      <c r="Q964" s="152">
        <v>50715</v>
      </c>
      <c r="R964" s="152">
        <v>50715</v>
      </c>
      <c r="S964" s="152">
        <v>50715</v>
      </c>
      <c r="T964" s="152">
        <v>50715</v>
      </c>
      <c r="U964" s="287"/>
    </row>
    <row r="965" spans="1:21" ht="15" customHeight="1">
      <c r="A965" s="183"/>
      <c r="B965" s="183"/>
      <c r="C965" s="183"/>
      <c r="D965" s="183"/>
      <c r="E965" s="183"/>
      <c r="F965" s="183"/>
      <c r="G965" s="183"/>
      <c r="H965" s="183"/>
      <c r="I965" s="183"/>
      <c r="J965" s="183"/>
      <c r="K965" s="183"/>
      <c r="L965" s="199"/>
      <c r="M965" s="199"/>
      <c r="N965" s="155"/>
      <c r="O965" s="155"/>
      <c r="P965" s="154"/>
      <c r="Q965" s="154"/>
      <c r="R965" s="154"/>
      <c r="S965" s="154"/>
      <c r="T965" s="154"/>
    </row>
    <row r="966" spans="1:21" s="183" customFormat="1" ht="24" customHeight="1">
      <c r="K966" s="251" t="s">
        <v>457</v>
      </c>
      <c r="L966" s="201">
        <f t="shared" ref="L966:T966" si="65">SUM(L955:L965)</f>
        <v>161167</v>
      </c>
      <c r="M966" s="201">
        <f t="shared" si="65"/>
        <v>162360</v>
      </c>
      <c r="N966" s="202">
        <f t="shared" si="65"/>
        <v>863107</v>
      </c>
      <c r="O966" s="202">
        <f t="shared" si="65"/>
        <v>163068</v>
      </c>
      <c r="P966" s="201">
        <f t="shared" si="65"/>
        <v>923808</v>
      </c>
      <c r="Q966" s="201">
        <f t="shared" si="65"/>
        <v>222612</v>
      </c>
      <c r="R966" s="201">
        <f t="shared" si="65"/>
        <v>223965</v>
      </c>
      <c r="S966" s="201">
        <f t="shared" si="65"/>
        <v>223794</v>
      </c>
      <c r="T966" s="201">
        <f t="shared" si="65"/>
        <v>224798</v>
      </c>
      <c r="U966" s="64"/>
    </row>
    <row r="967" spans="1:21" s="183" customFormat="1" ht="15" customHeight="1">
      <c r="L967" s="199"/>
      <c r="M967" s="199"/>
      <c r="N967" s="200"/>
      <c r="O967" s="200"/>
      <c r="P967" s="199"/>
      <c r="Q967" s="199"/>
      <c r="R967" s="199"/>
      <c r="S967" s="199"/>
      <c r="T967" s="199"/>
      <c r="U967" s="64"/>
    </row>
    <row r="968" spans="1:21" s="183" customFormat="1" ht="24" customHeight="1">
      <c r="K968" s="251" t="s">
        <v>458</v>
      </c>
      <c r="L968" s="201">
        <f t="shared" ref="L968:T968" si="66">L953-L966</f>
        <v>54193</v>
      </c>
      <c r="M968" s="201">
        <f t="shared" si="66"/>
        <v>35934</v>
      </c>
      <c r="N968" s="202">
        <f t="shared" si="66"/>
        <v>-616846</v>
      </c>
      <c r="O968" s="202">
        <f t="shared" si="66"/>
        <v>35850</v>
      </c>
      <c r="P968" s="201">
        <f t="shared" si="66"/>
        <v>-691490</v>
      </c>
      <c r="Q968" s="201">
        <f t="shared" si="66"/>
        <v>38150</v>
      </c>
      <c r="R968" s="201">
        <f t="shared" si="66"/>
        <v>205227</v>
      </c>
      <c r="S968" s="201">
        <f t="shared" si="66"/>
        <v>216128</v>
      </c>
      <c r="T968" s="201">
        <f t="shared" si="66"/>
        <v>226122</v>
      </c>
      <c r="U968" s="64"/>
    </row>
    <row r="969" spans="1:21" s="183" customFormat="1" ht="15" customHeight="1">
      <c r="L969" s="199"/>
      <c r="M969" s="199"/>
      <c r="N969" s="200"/>
      <c r="O969" s="200"/>
      <c r="P969" s="199"/>
      <c r="Q969" s="199"/>
      <c r="R969" s="199"/>
      <c r="S969" s="199"/>
      <c r="T969" s="199"/>
      <c r="U969" s="64"/>
    </row>
    <row r="970" spans="1:21" s="183" customFormat="1" ht="24" customHeight="1">
      <c r="K970" s="256" t="s">
        <v>460</v>
      </c>
      <c r="L970" s="218">
        <v>-495754</v>
      </c>
      <c r="M970" s="218">
        <v>-459819</v>
      </c>
      <c r="N970" s="219">
        <v>-1077343</v>
      </c>
      <c r="O970" s="219">
        <f>M970+O968</f>
        <v>-423969</v>
      </c>
      <c r="P970" s="218">
        <f>O970+P968</f>
        <v>-1115459</v>
      </c>
      <c r="Q970" s="218">
        <f>P970+Q968</f>
        <v>-1077309</v>
      </c>
      <c r="R970" s="218">
        <f>Q970+R968</f>
        <v>-872082</v>
      </c>
      <c r="S970" s="218">
        <f>R970+S968</f>
        <v>-655954</v>
      </c>
      <c r="T970" s="218">
        <f>S970+T968</f>
        <v>-429832</v>
      </c>
      <c r="U970" s="64"/>
    </row>
    <row r="971" spans="1:21" ht="15" customHeight="1">
      <c r="A971" s="183"/>
      <c r="B971" s="183"/>
      <c r="C971" s="183"/>
      <c r="D971" s="183"/>
      <c r="E971" s="183"/>
      <c r="F971" s="183"/>
      <c r="G971" s="183"/>
      <c r="H971" s="183"/>
      <c r="I971" s="183"/>
      <c r="J971" s="183"/>
      <c r="K971" s="183"/>
      <c r="L971" s="302"/>
      <c r="M971" s="302"/>
      <c r="N971" s="306"/>
      <c r="O971" s="306"/>
      <c r="P971" s="307"/>
      <c r="Q971" s="307"/>
      <c r="R971" s="307"/>
      <c r="S971" s="307"/>
      <c r="T971" s="307"/>
    </row>
    <row r="972" spans="1:21" ht="24" customHeight="1">
      <c r="A972" s="258" t="s">
        <v>452</v>
      </c>
      <c r="B972" s="183"/>
      <c r="C972" s="183"/>
      <c r="D972" s="183"/>
      <c r="E972" s="183"/>
      <c r="F972" s="183"/>
      <c r="G972" s="183"/>
      <c r="H972" s="183"/>
      <c r="I972" s="183"/>
      <c r="J972" s="183"/>
      <c r="K972" s="183"/>
      <c r="L972" s="302"/>
      <c r="M972" s="302"/>
      <c r="N972" s="306"/>
      <c r="O972" s="306"/>
      <c r="P972" s="307"/>
      <c r="Q972" s="307"/>
      <c r="R972" s="307"/>
      <c r="S972" s="307"/>
      <c r="T972" s="307"/>
    </row>
    <row r="973" spans="1:21" ht="15" customHeight="1">
      <c r="A973" s="183"/>
      <c r="B973" s="183"/>
      <c r="C973" s="183"/>
      <c r="D973" s="183"/>
      <c r="E973" s="183"/>
      <c r="F973" s="183"/>
      <c r="G973" s="183"/>
      <c r="H973" s="183"/>
      <c r="I973" s="183"/>
      <c r="J973" s="183"/>
      <c r="K973" s="183"/>
      <c r="L973" s="245"/>
      <c r="M973" s="245"/>
      <c r="N973" s="300"/>
      <c r="O973" s="300"/>
      <c r="P973" s="301"/>
      <c r="Q973" s="301"/>
      <c r="R973" s="301"/>
      <c r="S973" s="301"/>
      <c r="T973" s="301"/>
    </row>
    <row r="974" spans="1:21" ht="24" customHeight="1">
      <c r="A974" s="183" t="s">
        <v>952</v>
      </c>
      <c r="B974" s="183"/>
      <c r="C974" s="183"/>
      <c r="D974" s="183" t="s">
        <v>945</v>
      </c>
      <c r="E974" s="183"/>
      <c r="F974" s="183"/>
      <c r="G974" s="183"/>
      <c r="H974" s="183"/>
      <c r="I974" s="183"/>
      <c r="J974" s="183"/>
      <c r="K974" s="183"/>
      <c r="L974" s="192">
        <v>67307</v>
      </c>
      <c r="M974" s="192">
        <v>76186</v>
      </c>
      <c r="N974" s="144">
        <v>80000</v>
      </c>
      <c r="O974" s="144">
        <v>78417</v>
      </c>
      <c r="P974" s="143">
        <v>80000</v>
      </c>
      <c r="Q974" s="143">
        <v>80000</v>
      </c>
      <c r="R974" s="143">
        <v>80000</v>
      </c>
      <c r="S974" s="143">
        <v>80000</v>
      </c>
      <c r="T974" s="143">
        <v>80000</v>
      </c>
    </row>
    <row r="975" spans="1:21" ht="24" customHeight="1">
      <c r="A975" s="247" t="s">
        <v>1023</v>
      </c>
      <c r="B975" s="248"/>
      <c r="C975" s="248"/>
      <c r="D975" s="183" t="s">
        <v>7</v>
      </c>
      <c r="E975" s="248"/>
      <c r="F975" s="248"/>
      <c r="G975" s="248"/>
      <c r="H975" s="248"/>
      <c r="I975" s="248"/>
      <c r="J975" s="248"/>
      <c r="K975" s="248"/>
      <c r="L975" s="192">
        <v>1456</v>
      </c>
      <c r="M975" s="192">
        <v>0</v>
      </c>
      <c r="N975" s="144">
        <v>0</v>
      </c>
      <c r="O975" s="144">
        <v>0</v>
      </c>
      <c r="P975" s="143">
        <v>0</v>
      </c>
      <c r="Q975" s="143">
        <v>0</v>
      </c>
      <c r="R975" s="143">
        <v>0</v>
      </c>
      <c r="S975" s="143">
        <v>0</v>
      </c>
      <c r="T975" s="143">
        <v>0</v>
      </c>
    </row>
    <row r="976" spans="1:21" ht="24" customHeight="1">
      <c r="A976" s="247" t="s">
        <v>1347</v>
      </c>
      <c r="B976" s="248"/>
      <c r="C976" s="248"/>
      <c r="D976" s="183" t="s">
        <v>1348</v>
      </c>
      <c r="E976" s="248"/>
      <c r="F976" s="248"/>
      <c r="G976" s="248"/>
      <c r="H976" s="248"/>
      <c r="I976" s="248"/>
      <c r="J976" s="248"/>
      <c r="K976" s="248"/>
      <c r="L976" s="198">
        <v>0</v>
      </c>
      <c r="M976" s="198">
        <v>800000</v>
      </c>
      <c r="N976" s="153">
        <v>0</v>
      </c>
      <c r="O976" s="153">
        <v>0</v>
      </c>
      <c r="P976" s="152">
        <v>0</v>
      </c>
      <c r="Q976" s="152">
        <v>0</v>
      </c>
      <c r="R976" s="152">
        <v>0</v>
      </c>
      <c r="S976" s="152">
        <v>0</v>
      </c>
      <c r="T976" s="152">
        <v>0</v>
      </c>
    </row>
    <row r="977" spans="1:21" ht="15" customHeight="1">
      <c r="A977" s="183"/>
      <c r="B977" s="183"/>
      <c r="C977" s="183"/>
      <c r="D977" s="183"/>
      <c r="E977" s="183"/>
      <c r="F977" s="183"/>
      <c r="G977" s="183"/>
      <c r="H977" s="183"/>
      <c r="I977" s="183"/>
      <c r="J977" s="183"/>
      <c r="K977" s="183"/>
      <c r="L977" s="199"/>
      <c r="M977" s="199"/>
      <c r="N977" s="155"/>
      <c r="O977" s="155"/>
      <c r="P977" s="154"/>
      <c r="Q977" s="154"/>
      <c r="R977" s="154"/>
      <c r="S977" s="154"/>
      <c r="T977" s="154"/>
    </row>
    <row r="978" spans="1:21" s="183" customFormat="1" ht="24" customHeight="1">
      <c r="K978" s="251" t="s">
        <v>454</v>
      </c>
      <c r="L978" s="201">
        <f>SUM(L974:L977)</f>
        <v>68763</v>
      </c>
      <c r="M978" s="201">
        <f t="shared" ref="M978:T978" si="67">SUM(M974:M977)</f>
        <v>876186</v>
      </c>
      <c r="N978" s="202">
        <f t="shared" si="67"/>
        <v>80000</v>
      </c>
      <c r="O978" s="202">
        <f t="shared" si="67"/>
        <v>78417</v>
      </c>
      <c r="P978" s="201">
        <f>SUM(P974:P977)</f>
        <v>80000</v>
      </c>
      <c r="Q978" s="201">
        <f t="shared" si="67"/>
        <v>80000</v>
      </c>
      <c r="R978" s="201">
        <f t="shared" si="67"/>
        <v>80000</v>
      </c>
      <c r="S978" s="201">
        <f t="shared" si="67"/>
        <v>80000</v>
      </c>
      <c r="T978" s="201">
        <f t="shared" si="67"/>
        <v>80000</v>
      </c>
      <c r="U978" s="64"/>
    </row>
    <row r="979" spans="1:21" ht="15" customHeight="1">
      <c r="A979" s="183"/>
      <c r="B979" s="183"/>
      <c r="C979" s="183"/>
      <c r="D979" s="183"/>
      <c r="E979" s="183"/>
      <c r="F979" s="183"/>
      <c r="G979" s="183"/>
      <c r="H979" s="183"/>
      <c r="I979" s="183"/>
      <c r="J979" s="183"/>
      <c r="K979" s="183"/>
      <c r="L979" s="199"/>
      <c r="M979" s="199"/>
      <c r="N979" s="155"/>
      <c r="O979" s="155"/>
      <c r="P979" s="154"/>
      <c r="Q979" s="154"/>
      <c r="R979" s="154"/>
      <c r="S979" s="154"/>
      <c r="T979" s="154"/>
    </row>
    <row r="980" spans="1:21" ht="24" customHeight="1">
      <c r="A980" s="247" t="s">
        <v>1191</v>
      </c>
      <c r="B980" s="248"/>
      <c r="C980" s="248"/>
      <c r="D980" s="183" t="s">
        <v>1187</v>
      </c>
      <c r="E980" s="248"/>
      <c r="F980" s="248"/>
      <c r="G980" s="248"/>
      <c r="H980" s="248"/>
      <c r="I980" s="248"/>
      <c r="J980" s="248"/>
      <c r="K980" s="183"/>
      <c r="L980" s="190">
        <v>0</v>
      </c>
      <c r="M980" s="190">
        <v>30284</v>
      </c>
      <c r="N980" s="141">
        <v>31533</v>
      </c>
      <c r="O980" s="141">
        <v>31533</v>
      </c>
      <c r="P980" s="145">
        <v>32246</v>
      </c>
      <c r="Q980" s="145">
        <v>33213</v>
      </c>
      <c r="R980" s="145">
        <v>34209</v>
      </c>
      <c r="S980" s="145">
        <v>35235</v>
      </c>
      <c r="T980" s="145">
        <v>36292</v>
      </c>
    </row>
    <row r="981" spans="1:21" ht="24" customHeight="1">
      <c r="A981" s="247" t="s">
        <v>883</v>
      </c>
      <c r="B981" s="248"/>
      <c r="C981" s="248"/>
      <c r="D981" s="247" t="s">
        <v>882</v>
      </c>
      <c r="E981" s="248"/>
      <c r="F981" s="248"/>
      <c r="G981" s="248"/>
      <c r="H981" s="248"/>
      <c r="I981" s="248"/>
      <c r="J981" s="248"/>
      <c r="K981" s="183"/>
      <c r="L981" s="190">
        <v>20558</v>
      </c>
      <c r="M981" s="190">
        <v>22727</v>
      </c>
      <c r="N981" s="141">
        <v>20000</v>
      </c>
      <c r="O981" s="141">
        <v>20000</v>
      </c>
      <c r="P981" s="140">
        <v>20000</v>
      </c>
      <c r="Q981" s="140">
        <v>20000</v>
      </c>
      <c r="R981" s="140">
        <v>20000</v>
      </c>
      <c r="S981" s="140">
        <v>20000</v>
      </c>
      <c r="T981" s="140">
        <v>20000</v>
      </c>
    </row>
    <row r="982" spans="1:21" ht="24" customHeight="1">
      <c r="A982" s="247" t="s">
        <v>1075</v>
      </c>
      <c r="B982" s="248"/>
      <c r="C982" s="248"/>
      <c r="D982" s="247" t="s">
        <v>10</v>
      </c>
      <c r="E982" s="248"/>
      <c r="F982" s="248"/>
      <c r="G982" s="248"/>
      <c r="H982" s="248"/>
      <c r="I982" s="248"/>
      <c r="J982" s="248"/>
      <c r="K982" s="248"/>
      <c r="L982" s="192">
        <v>304</v>
      </c>
      <c r="M982" s="192">
        <v>4485</v>
      </c>
      <c r="N982" s="144">
        <v>6000</v>
      </c>
      <c r="O982" s="144">
        <v>1000</v>
      </c>
      <c r="P982" s="143">
        <v>1000</v>
      </c>
      <c r="Q982" s="143">
        <v>1000</v>
      </c>
      <c r="R982" s="143">
        <v>1000</v>
      </c>
      <c r="S982" s="143">
        <v>1000</v>
      </c>
      <c r="T982" s="143">
        <v>1000</v>
      </c>
    </row>
    <row r="983" spans="1:21" ht="24" customHeight="1">
      <c r="A983" s="247" t="s">
        <v>567</v>
      </c>
      <c r="B983" s="248"/>
      <c r="C983" s="248"/>
      <c r="D983" s="247" t="s">
        <v>124</v>
      </c>
      <c r="E983" s="248"/>
      <c r="F983" s="248"/>
      <c r="G983" s="248"/>
      <c r="H983" s="248"/>
      <c r="I983" s="248"/>
      <c r="J983" s="248"/>
      <c r="K983" s="248"/>
      <c r="L983" s="193">
        <v>11154</v>
      </c>
      <c r="M983" s="193">
        <v>22853</v>
      </c>
      <c r="N983" s="148">
        <v>15000</v>
      </c>
      <c r="O983" s="148">
        <v>5000</v>
      </c>
      <c r="P983" s="145">
        <v>15000</v>
      </c>
      <c r="Q983" s="145">
        <v>15000</v>
      </c>
      <c r="R983" s="145">
        <v>15000</v>
      </c>
      <c r="S983" s="145">
        <v>15000</v>
      </c>
      <c r="T983" s="145">
        <v>15000</v>
      </c>
    </row>
    <row r="984" spans="1:21" ht="24" customHeight="1">
      <c r="A984" s="456" t="s">
        <v>1362</v>
      </c>
      <c r="B984" s="455"/>
      <c r="C984" s="455"/>
      <c r="D984" s="456" t="s">
        <v>1363</v>
      </c>
      <c r="E984" s="455"/>
      <c r="F984" s="455"/>
      <c r="G984" s="455"/>
      <c r="H984" s="455"/>
      <c r="I984" s="455"/>
      <c r="J984" s="455"/>
      <c r="K984" s="455"/>
      <c r="L984" s="193">
        <v>0</v>
      </c>
      <c r="M984" s="193">
        <v>0</v>
      </c>
      <c r="N984" s="148">
        <v>0</v>
      </c>
      <c r="O984" s="148">
        <v>0</v>
      </c>
      <c r="P984" s="145">
        <v>25000</v>
      </c>
      <c r="Q984" s="145">
        <v>0</v>
      </c>
      <c r="R984" s="145">
        <v>0</v>
      </c>
      <c r="S984" s="145">
        <v>0</v>
      </c>
      <c r="T984" s="145">
        <v>0</v>
      </c>
    </row>
    <row r="985" spans="1:21" ht="24" customHeight="1">
      <c r="A985" s="247" t="s">
        <v>568</v>
      </c>
      <c r="B985" s="248"/>
      <c r="C985" s="248"/>
      <c r="D985" s="247" t="s">
        <v>569</v>
      </c>
      <c r="E985" s="248"/>
      <c r="F985" s="248"/>
      <c r="G985" s="248"/>
      <c r="H985" s="248"/>
      <c r="I985" s="248"/>
      <c r="J985" s="248"/>
      <c r="K985" s="248"/>
      <c r="L985" s="193">
        <v>71970</v>
      </c>
      <c r="M985" s="193">
        <v>73334</v>
      </c>
      <c r="N985" s="141">
        <f>20320+12300+121663+24960</f>
        <v>179243</v>
      </c>
      <c r="O985" s="141">
        <v>80000</v>
      </c>
      <c r="P985" s="145">
        <v>27500</v>
      </c>
      <c r="Q985" s="145">
        <v>10000</v>
      </c>
      <c r="R985" s="145">
        <v>10000</v>
      </c>
      <c r="S985" s="145">
        <v>10000</v>
      </c>
      <c r="T985" s="145">
        <v>10000</v>
      </c>
    </row>
    <row r="986" spans="1:21" ht="24" customHeight="1">
      <c r="A986" s="247" t="s">
        <v>1192</v>
      </c>
      <c r="B986" s="248"/>
      <c r="C986" s="248"/>
      <c r="D986" s="1" t="s">
        <v>1162</v>
      </c>
      <c r="E986" s="248"/>
      <c r="F986" s="248"/>
      <c r="G986" s="248"/>
      <c r="H986" s="248"/>
      <c r="I986" s="248"/>
      <c r="J986" s="248"/>
      <c r="K986" s="248"/>
      <c r="L986" s="193">
        <v>10000</v>
      </c>
      <c r="M986" s="193">
        <f>364449+800000</f>
        <v>1164449</v>
      </c>
      <c r="N986" s="148">
        <v>0</v>
      </c>
      <c r="O986" s="148">
        <v>0</v>
      </c>
      <c r="P986" s="145">
        <v>0</v>
      </c>
      <c r="Q986" s="145">
        <v>0</v>
      </c>
      <c r="R986" s="145">
        <v>0</v>
      </c>
      <c r="S986" s="145">
        <v>0</v>
      </c>
      <c r="T986" s="145">
        <v>0</v>
      </c>
    </row>
    <row r="987" spans="1:21" ht="24" customHeight="1">
      <c r="A987" s="459" t="s">
        <v>1365</v>
      </c>
      <c r="B987" s="458"/>
      <c r="C987" s="458"/>
      <c r="D987" s="1" t="s">
        <v>1366</v>
      </c>
      <c r="E987" s="458"/>
      <c r="F987" s="458"/>
      <c r="G987" s="458"/>
      <c r="H987" s="458"/>
      <c r="I987" s="458"/>
      <c r="J987" s="458"/>
      <c r="K987" s="458"/>
      <c r="L987" s="193">
        <v>0</v>
      </c>
      <c r="M987" s="193">
        <v>0</v>
      </c>
      <c r="N987" s="148">
        <v>0</v>
      </c>
      <c r="O987" s="148">
        <v>0</v>
      </c>
      <c r="P987" s="145">
        <v>50000</v>
      </c>
      <c r="Q987" s="145">
        <v>0</v>
      </c>
      <c r="R987" s="145">
        <v>0</v>
      </c>
      <c r="S987" s="145">
        <v>0</v>
      </c>
      <c r="T987" s="145">
        <v>0</v>
      </c>
    </row>
    <row r="988" spans="1:21" ht="24" customHeight="1">
      <c r="A988" s="247" t="s">
        <v>1208</v>
      </c>
      <c r="B988" s="248"/>
      <c r="C988" s="248"/>
      <c r="D988" s="1" t="s">
        <v>372</v>
      </c>
      <c r="E988" s="248"/>
      <c r="F988" s="248"/>
      <c r="G988" s="248"/>
      <c r="H988" s="248"/>
      <c r="I988" s="248"/>
      <c r="J988" s="248"/>
      <c r="K988" s="248"/>
      <c r="L988" s="193">
        <v>0</v>
      </c>
      <c r="M988" s="193">
        <v>329494</v>
      </c>
      <c r="N988" s="148">
        <v>0</v>
      </c>
      <c r="O988" s="148">
        <v>0</v>
      </c>
      <c r="P988" s="145">
        <v>0</v>
      </c>
      <c r="Q988" s="145">
        <v>0</v>
      </c>
      <c r="R988" s="145">
        <v>0</v>
      </c>
      <c r="S988" s="145">
        <v>0</v>
      </c>
      <c r="T988" s="145">
        <v>0</v>
      </c>
    </row>
    <row r="989" spans="1:21" ht="24" customHeight="1">
      <c r="A989" s="248" t="s">
        <v>958</v>
      </c>
      <c r="B989" s="250"/>
      <c r="C989" s="250"/>
      <c r="D989" s="249" t="s">
        <v>979</v>
      </c>
      <c r="E989" s="250"/>
      <c r="F989" s="250"/>
      <c r="G989" s="250"/>
      <c r="H989" s="250"/>
      <c r="I989" s="250"/>
      <c r="J989" s="250"/>
      <c r="K989" s="250"/>
      <c r="L989" s="205">
        <v>103504</v>
      </c>
      <c r="M989" s="205">
        <v>0</v>
      </c>
      <c r="N989" s="141">
        <v>30000</v>
      </c>
      <c r="O989" s="141">
        <v>0</v>
      </c>
      <c r="P989" s="140">
        <v>30000</v>
      </c>
      <c r="Q989" s="140">
        <v>0</v>
      </c>
      <c r="R989" s="140">
        <v>0</v>
      </c>
      <c r="S989" s="140">
        <v>0</v>
      </c>
      <c r="T989" s="140">
        <v>0</v>
      </c>
    </row>
    <row r="990" spans="1:21" ht="24" customHeight="1">
      <c r="A990" s="247" t="s">
        <v>453</v>
      </c>
      <c r="B990" s="248"/>
      <c r="C990" s="248"/>
      <c r="D990" s="247" t="s">
        <v>252</v>
      </c>
      <c r="E990" s="250"/>
      <c r="F990" s="250"/>
      <c r="G990" s="250"/>
      <c r="H990" s="250"/>
      <c r="I990" s="250"/>
      <c r="J990" s="250"/>
      <c r="K990" s="262"/>
      <c r="L990" s="193">
        <v>7420</v>
      </c>
      <c r="M990" s="193">
        <v>7420</v>
      </c>
      <c r="N990" s="144">
        <v>7420</v>
      </c>
      <c r="O990" s="141">
        <v>7482</v>
      </c>
      <c r="P990" s="140">
        <v>7488</v>
      </c>
      <c r="Q990" s="140">
        <v>7488</v>
      </c>
      <c r="R990" s="140">
        <v>7488</v>
      </c>
      <c r="S990" s="190">
        <v>3120</v>
      </c>
      <c r="T990" s="190">
        <v>0</v>
      </c>
      <c r="U990" s="286"/>
    </row>
    <row r="991" spans="1:21" ht="24" customHeight="1">
      <c r="A991" s="253" t="s">
        <v>1200</v>
      </c>
      <c r="B991" s="248"/>
      <c r="C991" s="248"/>
      <c r="D991" s="247"/>
      <c r="E991" s="248"/>
      <c r="F991" s="248"/>
      <c r="G991" s="248"/>
      <c r="H991" s="248"/>
      <c r="I991" s="248"/>
      <c r="J991" s="248"/>
      <c r="K991" s="248"/>
      <c r="L991" s="192"/>
      <c r="M991" s="192"/>
      <c r="N991" s="144"/>
      <c r="O991" s="144"/>
      <c r="P991" s="143"/>
      <c r="Q991" s="143"/>
      <c r="R991" s="143"/>
      <c r="S991" s="143"/>
      <c r="T991" s="143"/>
      <c r="U991" s="286"/>
    </row>
    <row r="992" spans="1:21" ht="24" customHeight="1">
      <c r="A992" s="247" t="s">
        <v>1167</v>
      </c>
      <c r="B992" s="248"/>
      <c r="C992" s="248"/>
      <c r="D992" s="247" t="s">
        <v>879</v>
      </c>
      <c r="E992" s="248"/>
      <c r="F992" s="248"/>
      <c r="G992" s="248"/>
      <c r="H992" s="248"/>
      <c r="I992" s="248"/>
      <c r="J992" s="248"/>
      <c r="K992" s="248"/>
      <c r="L992" s="192">
        <v>0</v>
      </c>
      <c r="M992" s="192">
        <v>0</v>
      </c>
      <c r="N992" s="144">
        <v>200000</v>
      </c>
      <c r="O992" s="144">
        <v>200000</v>
      </c>
      <c r="P992" s="143">
        <v>200000</v>
      </c>
      <c r="Q992" s="143">
        <v>200000</v>
      </c>
      <c r="R992" s="143">
        <v>200000</v>
      </c>
      <c r="S992" s="143">
        <v>0</v>
      </c>
      <c r="T992" s="143">
        <v>0</v>
      </c>
      <c r="U992" s="286"/>
    </row>
    <row r="993" spans="1:21" ht="24" customHeight="1">
      <c r="A993" s="247" t="s">
        <v>1168</v>
      </c>
      <c r="B993" s="248"/>
      <c r="C993" s="248"/>
      <c r="D993" s="247" t="s">
        <v>257</v>
      </c>
      <c r="E993" s="248"/>
      <c r="F993" s="248"/>
      <c r="G993" s="248"/>
      <c r="H993" s="248"/>
      <c r="I993" s="248"/>
      <c r="J993" s="248"/>
      <c r="K993" s="248"/>
      <c r="L993" s="198">
        <v>0</v>
      </c>
      <c r="M993" s="198">
        <v>0</v>
      </c>
      <c r="N993" s="153">
        <v>25800</v>
      </c>
      <c r="O993" s="153">
        <v>25800</v>
      </c>
      <c r="P993" s="152">
        <v>18250</v>
      </c>
      <c r="Q993" s="152">
        <v>12200</v>
      </c>
      <c r="R993" s="152">
        <v>6084</v>
      </c>
      <c r="S993" s="152">
        <v>0</v>
      </c>
      <c r="T993" s="152">
        <v>0</v>
      </c>
      <c r="U993" s="286"/>
    </row>
    <row r="994" spans="1:21" ht="15" customHeight="1">
      <c r="A994" s="183"/>
      <c r="B994" s="183"/>
      <c r="C994" s="183"/>
      <c r="D994" s="183"/>
      <c r="E994" s="183"/>
      <c r="F994" s="183"/>
      <c r="G994" s="183"/>
      <c r="H994" s="183"/>
      <c r="I994" s="183"/>
      <c r="J994" s="183"/>
      <c r="K994" s="183"/>
      <c r="L994" s="199"/>
      <c r="M994" s="199"/>
      <c r="N994" s="155"/>
      <c r="O994" s="155"/>
      <c r="P994" s="154"/>
      <c r="Q994" s="154"/>
      <c r="R994" s="154"/>
      <c r="S994" s="154"/>
      <c r="T994" s="154"/>
    </row>
    <row r="995" spans="1:21" s="183" customFormat="1" ht="24" customHeight="1">
      <c r="K995" s="251" t="s">
        <v>457</v>
      </c>
      <c r="L995" s="201">
        <f t="shared" ref="L995:T995" si="68">SUM(L980:L994)</f>
        <v>224910</v>
      </c>
      <c r="M995" s="201">
        <f t="shared" si="68"/>
        <v>1655046</v>
      </c>
      <c r="N995" s="202">
        <f t="shared" si="68"/>
        <v>514996</v>
      </c>
      <c r="O995" s="202">
        <f t="shared" si="68"/>
        <v>370815</v>
      </c>
      <c r="P995" s="201">
        <f t="shared" si="68"/>
        <v>426484</v>
      </c>
      <c r="Q995" s="201">
        <f t="shared" si="68"/>
        <v>298901</v>
      </c>
      <c r="R995" s="201">
        <f t="shared" si="68"/>
        <v>293781</v>
      </c>
      <c r="S995" s="201">
        <f t="shared" si="68"/>
        <v>84355</v>
      </c>
      <c r="T995" s="201">
        <f t="shared" si="68"/>
        <v>82292</v>
      </c>
      <c r="U995" s="64"/>
    </row>
    <row r="996" spans="1:21" s="183" customFormat="1" ht="15" customHeight="1">
      <c r="L996" s="199"/>
      <c r="M996" s="199"/>
      <c r="N996" s="200"/>
      <c r="O996" s="200"/>
      <c r="P996" s="199"/>
      <c r="Q996" s="199"/>
      <c r="R996" s="199"/>
      <c r="S996" s="199"/>
      <c r="T996" s="199"/>
      <c r="U996" s="64"/>
    </row>
    <row r="997" spans="1:21" s="183" customFormat="1" ht="24" customHeight="1">
      <c r="K997" s="251" t="s">
        <v>458</v>
      </c>
      <c r="L997" s="218">
        <f t="shared" ref="L997:T997" si="69">L978-L995</f>
        <v>-156147</v>
      </c>
      <c r="M997" s="218">
        <f t="shared" si="69"/>
        <v>-778860</v>
      </c>
      <c r="N997" s="219">
        <f t="shared" si="69"/>
        <v>-434996</v>
      </c>
      <c r="O997" s="219">
        <f t="shared" si="69"/>
        <v>-292398</v>
      </c>
      <c r="P997" s="218">
        <f t="shared" si="69"/>
        <v>-346484</v>
      </c>
      <c r="Q997" s="218">
        <f t="shared" si="69"/>
        <v>-218901</v>
      </c>
      <c r="R997" s="218">
        <f t="shared" si="69"/>
        <v>-213781</v>
      </c>
      <c r="S997" s="218">
        <f t="shared" si="69"/>
        <v>-4355</v>
      </c>
      <c r="T997" s="218">
        <f t="shared" si="69"/>
        <v>-2292</v>
      </c>
      <c r="U997" s="64"/>
    </row>
    <row r="998" spans="1:21" s="183" customFormat="1" ht="15" customHeight="1">
      <c r="L998" s="218"/>
      <c r="M998" s="218"/>
      <c r="N998" s="219"/>
      <c r="O998" s="219"/>
      <c r="P998" s="218"/>
      <c r="Q998" s="218"/>
      <c r="R998" s="218"/>
      <c r="S998" s="218"/>
      <c r="T998" s="218"/>
      <c r="U998" s="64"/>
    </row>
    <row r="999" spans="1:21" s="183" customFormat="1" ht="24" customHeight="1">
      <c r="K999" s="256" t="s">
        <v>460</v>
      </c>
      <c r="L999" s="218">
        <v>97556</v>
      </c>
      <c r="M999" s="218">
        <v>-681305</v>
      </c>
      <c r="N999" s="219">
        <v>-1194280</v>
      </c>
      <c r="O999" s="219">
        <f>M999+O997</f>
        <v>-973703</v>
      </c>
      <c r="P999" s="218">
        <f>O999+P997</f>
        <v>-1320187</v>
      </c>
      <c r="Q999" s="218">
        <f>P999+Q997</f>
        <v>-1539088</v>
      </c>
      <c r="R999" s="218">
        <f>Q999+R997</f>
        <v>-1752869</v>
      </c>
      <c r="S999" s="218">
        <f>R999+S997</f>
        <v>-1757224</v>
      </c>
      <c r="T999" s="218">
        <f>S999+T997</f>
        <v>-1759516</v>
      </c>
      <c r="U999" s="64"/>
    </row>
    <row r="1000" spans="1:21" ht="15" customHeight="1">
      <c r="A1000" s="183"/>
      <c r="B1000" s="183"/>
      <c r="C1000" s="183"/>
      <c r="D1000" s="183"/>
      <c r="E1000" s="183"/>
      <c r="F1000" s="183"/>
      <c r="G1000" s="183"/>
      <c r="H1000" s="183"/>
      <c r="I1000" s="183"/>
      <c r="J1000" s="183"/>
      <c r="K1000" s="183"/>
      <c r="L1000" s="302"/>
      <c r="M1000" s="302"/>
      <c r="N1000" s="306"/>
      <c r="O1000" s="306"/>
      <c r="P1000" s="307"/>
      <c r="Q1000" s="307"/>
      <c r="R1000" s="307"/>
      <c r="S1000" s="307"/>
      <c r="T1000" s="307"/>
    </row>
    <row r="1001" spans="1:21" s="183" customFormat="1" ht="24" customHeight="1">
      <c r="A1001" s="258" t="s">
        <v>1218</v>
      </c>
      <c r="L1001" s="302"/>
      <c r="M1001" s="302"/>
      <c r="N1001" s="306"/>
      <c r="O1001" s="306"/>
      <c r="P1001" s="307"/>
      <c r="Q1001" s="307"/>
      <c r="R1001" s="307"/>
      <c r="S1001" s="307"/>
      <c r="T1001" s="307"/>
      <c r="U1001" s="64"/>
    </row>
    <row r="1002" spans="1:21" s="183" customFormat="1" ht="24" customHeight="1">
      <c r="L1002" s="245"/>
      <c r="M1002" s="245"/>
      <c r="N1002" s="300"/>
      <c r="O1002" s="300"/>
      <c r="P1002" s="301"/>
      <c r="Q1002" s="301"/>
      <c r="R1002" s="301"/>
      <c r="S1002" s="301"/>
      <c r="T1002" s="301"/>
      <c r="U1002" s="64"/>
    </row>
    <row r="1003" spans="1:21" s="183" customFormat="1" ht="24" customHeight="1">
      <c r="A1003" s="183" t="s">
        <v>1219</v>
      </c>
      <c r="D1003" s="183" t="s">
        <v>945</v>
      </c>
      <c r="L1003" s="192">
        <v>0</v>
      </c>
      <c r="M1003" s="192">
        <v>0</v>
      </c>
      <c r="N1003" s="144">
        <v>0</v>
      </c>
      <c r="O1003" s="144">
        <v>0</v>
      </c>
      <c r="P1003" s="143">
        <v>0</v>
      </c>
      <c r="Q1003" s="143">
        <v>0</v>
      </c>
      <c r="R1003" s="143">
        <v>0</v>
      </c>
      <c r="S1003" s="143">
        <v>0</v>
      </c>
      <c r="T1003" s="143">
        <v>0</v>
      </c>
      <c r="U1003" s="64"/>
    </row>
    <row r="1004" spans="1:21" s="183" customFormat="1" ht="24" customHeight="1">
      <c r="A1004" s="247" t="s">
        <v>1220</v>
      </c>
      <c r="B1004" s="248"/>
      <c r="C1004" s="248"/>
      <c r="D1004" s="183" t="s">
        <v>6</v>
      </c>
      <c r="E1004" s="248"/>
      <c r="F1004" s="248"/>
      <c r="G1004" s="248"/>
      <c r="H1004" s="248"/>
      <c r="I1004" s="248"/>
      <c r="J1004" s="248"/>
      <c r="K1004" s="248"/>
      <c r="L1004" s="207">
        <v>0</v>
      </c>
      <c r="M1004" s="207">
        <v>0</v>
      </c>
      <c r="N1004" s="163">
        <v>0</v>
      </c>
      <c r="O1004" s="163">
        <v>0</v>
      </c>
      <c r="P1004" s="162">
        <v>0</v>
      </c>
      <c r="Q1004" s="162">
        <v>0</v>
      </c>
      <c r="R1004" s="162">
        <v>0</v>
      </c>
      <c r="S1004" s="162">
        <v>0</v>
      </c>
      <c r="T1004" s="162">
        <v>0</v>
      </c>
      <c r="U1004" s="64"/>
    </row>
    <row r="1005" spans="1:21" s="183" customFormat="1" ht="15" customHeight="1">
      <c r="L1005" s="199"/>
      <c r="M1005" s="199"/>
      <c r="N1005" s="155"/>
      <c r="O1005" s="155"/>
      <c r="P1005" s="154"/>
      <c r="Q1005" s="154"/>
      <c r="R1005" s="154"/>
      <c r="S1005" s="154"/>
      <c r="T1005" s="154"/>
      <c r="U1005" s="64"/>
    </row>
    <row r="1006" spans="1:21" s="183" customFormat="1" ht="24" customHeight="1">
      <c r="K1006" s="251" t="s">
        <v>454</v>
      </c>
      <c r="L1006" s="201">
        <f t="shared" ref="L1006:T1006" si="70">SUM(L1003:L1005)</f>
        <v>0</v>
      </c>
      <c r="M1006" s="201">
        <f t="shared" si="70"/>
        <v>0</v>
      </c>
      <c r="N1006" s="202">
        <f t="shared" si="70"/>
        <v>0</v>
      </c>
      <c r="O1006" s="202">
        <f t="shared" si="70"/>
        <v>0</v>
      </c>
      <c r="P1006" s="201">
        <f t="shared" si="70"/>
        <v>0</v>
      </c>
      <c r="Q1006" s="201">
        <f t="shared" si="70"/>
        <v>0</v>
      </c>
      <c r="R1006" s="201">
        <f t="shared" si="70"/>
        <v>0</v>
      </c>
      <c r="S1006" s="201">
        <f t="shared" si="70"/>
        <v>0</v>
      </c>
      <c r="T1006" s="201">
        <f t="shared" si="70"/>
        <v>0</v>
      </c>
      <c r="U1006" s="64"/>
    </row>
    <row r="1007" spans="1:21" s="183" customFormat="1" ht="15" customHeight="1">
      <c r="L1007" s="199"/>
      <c r="M1007" s="199"/>
      <c r="N1007" s="155"/>
      <c r="O1007" s="155"/>
      <c r="P1007" s="154"/>
      <c r="Q1007" s="154"/>
      <c r="R1007" s="154"/>
      <c r="S1007" s="154"/>
      <c r="T1007" s="154"/>
      <c r="U1007" s="64"/>
    </row>
    <row r="1008" spans="1:21" s="183" customFormat="1" ht="24" customHeight="1">
      <c r="A1008" s="247" t="s">
        <v>1221</v>
      </c>
      <c r="B1008" s="248"/>
      <c r="C1008" s="248"/>
      <c r="D1008" s="183" t="s">
        <v>1187</v>
      </c>
      <c r="E1008" s="248"/>
      <c r="F1008" s="248"/>
      <c r="G1008" s="248"/>
      <c r="H1008" s="248"/>
      <c r="I1008" s="248"/>
      <c r="J1008" s="248"/>
      <c r="L1008" s="190">
        <v>0</v>
      </c>
      <c r="M1008" s="190">
        <v>0</v>
      </c>
      <c r="N1008" s="141">
        <v>0</v>
      </c>
      <c r="O1008" s="141">
        <v>0</v>
      </c>
      <c r="P1008" s="140">
        <v>0</v>
      </c>
      <c r="Q1008" s="140">
        <v>0</v>
      </c>
      <c r="R1008" s="140">
        <v>0</v>
      </c>
      <c r="S1008" s="140">
        <v>0</v>
      </c>
      <c r="T1008" s="140">
        <v>0</v>
      </c>
      <c r="U1008" s="64"/>
    </row>
    <row r="1009" spans="1:21" s="183" customFormat="1" ht="24" customHeight="1">
      <c r="A1009" s="247" t="s">
        <v>1222</v>
      </c>
      <c r="B1009" s="248"/>
      <c r="C1009" s="248"/>
      <c r="D1009" s="247" t="s">
        <v>10</v>
      </c>
      <c r="E1009" s="248"/>
      <c r="F1009" s="248"/>
      <c r="G1009" s="248"/>
      <c r="H1009" s="248"/>
      <c r="I1009" s="248"/>
      <c r="J1009" s="248"/>
      <c r="K1009" s="248"/>
      <c r="L1009" s="192">
        <v>0</v>
      </c>
      <c r="M1009" s="192">
        <v>0</v>
      </c>
      <c r="N1009" s="144">
        <v>0</v>
      </c>
      <c r="O1009" s="144">
        <v>0</v>
      </c>
      <c r="P1009" s="143">
        <v>0</v>
      </c>
      <c r="Q1009" s="143">
        <v>0</v>
      </c>
      <c r="R1009" s="143">
        <v>0</v>
      </c>
      <c r="S1009" s="143">
        <v>0</v>
      </c>
      <c r="T1009" s="143">
        <v>0</v>
      </c>
      <c r="U1009" s="64"/>
    </row>
    <row r="1010" spans="1:21" s="183" customFormat="1" ht="24" customHeight="1">
      <c r="A1010" s="247" t="s">
        <v>1223</v>
      </c>
      <c r="B1010" s="248"/>
      <c r="C1010" s="248"/>
      <c r="D1010" s="247" t="s">
        <v>124</v>
      </c>
      <c r="E1010" s="248"/>
      <c r="F1010" s="248"/>
      <c r="G1010" s="248"/>
      <c r="H1010" s="248"/>
      <c r="I1010" s="248"/>
      <c r="J1010" s="248"/>
      <c r="K1010" s="248"/>
      <c r="L1010" s="193">
        <v>0</v>
      </c>
      <c r="M1010" s="193">
        <v>0</v>
      </c>
      <c r="N1010" s="148">
        <v>10000</v>
      </c>
      <c r="O1010" s="148">
        <v>10000</v>
      </c>
      <c r="P1010" s="145">
        <v>10000</v>
      </c>
      <c r="Q1010" s="145">
        <v>10000</v>
      </c>
      <c r="R1010" s="145">
        <v>10000</v>
      </c>
      <c r="S1010" s="145">
        <v>10000</v>
      </c>
      <c r="T1010" s="145">
        <v>10000</v>
      </c>
      <c r="U1010" s="64"/>
    </row>
    <row r="1011" spans="1:21" s="457" customFormat="1" ht="24" customHeight="1">
      <c r="A1011" s="456" t="s">
        <v>1364</v>
      </c>
      <c r="B1011" s="455"/>
      <c r="C1011" s="455"/>
      <c r="D1011" s="456" t="s">
        <v>1363</v>
      </c>
      <c r="E1011" s="455"/>
      <c r="F1011" s="455"/>
      <c r="G1011" s="455"/>
      <c r="H1011" s="455"/>
      <c r="I1011" s="455"/>
      <c r="J1011" s="455"/>
      <c r="K1011" s="455"/>
      <c r="L1011" s="193">
        <v>0</v>
      </c>
      <c r="M1011" s="193">
        <v>0</v>
      </c>
      <c r="N1011" s="148">
        <v>0</v>
      </c>
      <c r="O1011" s="148">
        <v>0</v>
      </c>
      <c r="P1011" s="145">
        <v>25000</v>
      </c>
      <c r="Q1011" s="145">
        <v>0</v>
      </c>
      <c r="R1011" s="145">
        <v>0</v>
      </c>
      <c r="S1011" s="145">
        <v>0</v>
      </c>
      <c r="T1011" s="145">
        <v>0</v>
      </c>
      <c r="U1011" s="352"/>
    </row>
    <row r="1012" spans="1:21" s="183" customFormat="1" ht="24" customHeight="1">
      <c r="A1012" s="247" t="s">
        <v>1224</v>
      </c>
      <c r="B1012" s="248"/>
      <c r="C1012" s="248"/>
      <c r="D1012" s="247" t="s">
        <v>569</v>
      </c>
      <c r="E1012" s="248"/>
      <c r="F1012" s="248"/>
      <c r="G1012" s="248"/>
      <c r="H1012" s="248"/>
      <c r="I1012" s="248"/>
      <c r="J1012" s="248"/>
      <c r="K1012" s="248"/>
      <c r="L1012" s="198">
        <v>0</v>
      </c>
      <c r="M1012" s="198">
        <v>0</v>
      </c>
      <c r="N1012" s="161">
        <v>0</v>
      </c>
      <c r="O1012" s="161">
        <v>0</v>
      </c>
      <c r="P1012" s="152">
        <v>0</v>
      </c>
      <c r="Q1012" s="152">
        <v>0</v>
      </c>
      <c r="R1012" s="152">
        <v>0</v>
      </c>
      <c r="S1012" s="152">
        <v>0</v>
      </c>
      <c r="T1012" s="152">
        <v>0</v>
      </c>
      <c r="U1012" s="64"/>
    </row>
    <row r="1013" spans="1:21" s="183" customFormat="1" ht="15" customHeight="1">
      <c r="L1013" s="199"/>
      <c r="M1013" s="199"/>
      <c r="N1013" s="155"/>
      <c r="O1013" s="155"/>
      <c r="P1013" s="154"/>
      <c r="Q1013" s="154"/>
      <c r="R1013" s="154"/>
      <c r="S1013" s="154"/>
      <c r="T1013" s="154"/>
      <c r="U1013" s="64"/>
    </row>
    <row r="1014" spans="1:21" s="183" customFormat="1" ht="24" customHeight="1">
      <c r="K1014" s="251" t="s">
        <v>457</v>
      </c>
      <c r="L1014" s="201">
        <f t="shared" ref="L1014:T1014" si="71">SUM(L1008:L1013)</f>
        <v>0</v>
      </c>
      <c r="M1014" s="201">
        <f t="shared" si="71"/>
        <v>0</v>
      </c>
      <c r="N1014" s="202">
        <f t="shared" si="71"/>
        <v>10000</v>
      </c>
      <c r="O1014" s="202">
        <f t="shared" si="71"/>
        <v>10000</v>
      </c>
      <c r="P1014" s="201">
        <f t="shared" si="71"/>
        <v>35000</v>
      </c>
      <c r="Q1014" s="201">
        <f t="shared" si="71"/>
        <v>10000</v>
      </c>
      <c r="R1014" s="201">
        <f t="shared" si="71"/>
        <v>10000</v>
      </c>
      <c r="S1014" s="201">
        <f t="shared" si="71"/>
        <v>10000</v>
      </c>
      <c r="T1014" s="201">
        <f t="shared" si="71"/>
        <v>10000</v>
      </c>
      <c r="U1014" s="64"/>
    </row>
    <row r="1015" spans="1:21" s="183" customFormat="1" ht="15" customHeight="1">
      <c r="L1015" s="199"/>
      <c r="M1015" s="199"/>
      <c r="N1015" s="200"/>
      <c r="O1015" s="200"/>
      <c r="P1015" s="199"/>
      <c r="Q1015" s="199"/>
      <c r="R1015" s="199"/>
      <c r="S1015" s="199"/>
      <c r="T1015" s="199"/>
      <c r="U1015" s="64"/>
    </row>
    <row r="1016" spans="1:21" s="183" customFormat="1" ht="24" customHeight="1">
      <c r="K1016" s="251" t="s">
        <v>458</v>
      </c>
      <c r="L1016" s="218">
        <f t="shared" ref="L1016:T1016" si="72">L1006-L1014</f>
        <v>0</v>
      </c>
      <c r="M1016" s="218">
        <f t="shared" si="72"/>
        <v>0</v>
      </c>
      <c r="N1016" s="219">
        <f t="shared" si="72"/>
        <v>-10000</v>
      </c>
      <c r="O1016" s="219">
        <f t="shared" si="72"/>
        <v>-10000</v>
      </c>
      <c r="P1016" s="218">
        <f t="shared" si="72"/>
        <v>-35000</v>
      </c>
      <c r="Q1016" s="218">
        <f t="shared" si="72"/>
        <v>-10000</v>
      </c>
      <c r="R1016" s="218">
        <f t="shared" si="72"/>
        <v>-10000</v>
      </c>
      <c r="S1016" s="218">
        <f t="shared" si="72"/>
        <v>-10000</v>
      </c>
      <c r="T1016" s="218">
        <f t="shared" si="72"/>
        <v>-10000</v>
      </c>
      <c r="U1016" s="64"/>
    </row>
    <row r="1017" spans="1:21" s="183" customFormat="1" ht="15" customHeight="1">
      <c r="L1017" s="218"/>
      <c r="M1017" s="218"/>
      <c r="N1017" s="219"/>
      <c r="O1017" s="219"/>
      <c r="P1017" s="218"/>
      <c r="Q1017" s="218"/>
      <c r="R1017" s="218"/>
      <c r="S1017" s="218"/>
      <c r="T1017" s="218"/>
      <c r="U1017" s="64"/>
    </row>
    <row r="1018" spans="1:21" s="183" customFormat="1" ht="24" customHeight="1">
      <c r="K1018" s="256" t="s">
        <v>460</v>
      </c>
      <c r="L1018" s="218">
        <v>0</v>
      </c>
      <c r="M1018" s="218">
        <v>0</v>
      </c>
      <c r="N1018" s="219">
        <v>-10000</v>
      </c>
      <c r="O1018" s="219">
        <f>M1018+O1016</f>
        <v>-10000</v>
      </c>
      <c r="P1018" s="218">
        <f>O1018+P1016</f>
        <v>-45000</v>
      </c>
      <c r="Q1018" s="218">
        <f>P1018+Q1016</f>
        <v>-55000</v>
      </c>
      <c r="R1018" s="218">
        <f>Q1018+R1016</f>
        <v>-65000</v>
      </c>
      <c r="S1018" s="218">
        <f>R1018+S1016</f>
        <v>-75000</v>
      </c>
      <c r="T1018" s="218">
        <f>S1018+T1016</f>
        <v>-85000</v>
      </c>
      <c r="U1018" s="64"/>
    </row>
    <row r="1019" spans="1:21" ht="15" customHeight="1">
      <c r="A1019" s="183"/>
      <c r="B1019" s="183"/>
      <c r="C1019" s="183"/>
      <c r="D1019" s="183"/>
      <c r="E1019" s="183"/>
      <c r="F1019" s="183"/>
      <c r="G1019" s="183"/>
      <c r="H1019" s="183"/>
      <c r="I1019" s="183"/>
      <c r="J1019" s="183"/>
      <c r="K1019" s="183"/>
      <c r="L1019" s="199"/>
      <c r="M1019" s="199"/>
      <c r="N1019" s="200"/>
      <c r="O1019" s="200"/>
      <c r="P1019" s="154"/>
      <c r="Q1019" s="154"/>
      <c r="R1019" s="154"/>
      <c r="S1019" s="154"/>
      <c r="T1019" s="154"/>
    </row>
    <row r="1020" spans="1:21" s="275" customFormat="1" ht="20.100000000000001" customHeight="1">
      <c r="A1020" s="478" t="s">
        <v>578</v>
      </c>
      <c r="B1020" s="478"/>
      <c r="C1020" s="478"/>
      <c r="D1020" s="478"/>
      <c r="E1020" s="478"/>
      <c r="F1020" s="478"/>
      <c r="G1020" s="478"/>
      <c r="H1020" s="478"/>
      <c r="I1020" s="478"/>
      <c r="J1020" s="478"/>
      <c r="L1020" s="276"/>
      <c r="M1020" s="276"/>
      <c r="N1020" s="276"/>
      <c r="O1020" s="276"/>
      <c r="P1020" s="276"/>
      <c r="Q1020" s="276"/>
      <c r="R1020" s="276"/>
      <c r="S1020" s="276"/>
      <c r="T1020" s="276"/>
      <c r="U1020" s="385"/>
    </row>
    <row r="1021" spans="1:21" s="291" customFormat="1" ht="24" customHeight="1">
      <c r="K1021" s="292" t="s">
        <v>519</v>
      </c>
      <c r="L1021" s="293"/>
      <c r="M1021" s="293"/>
      <c r="N1021" s="294"/>
      <c r="O1021" s="294"/>
      <c r="P1021" s="293"/>
      <c r="Q1021" s="293"/>
      <c r="R1021" s="293"/>
      <c r="S1021" s="293"/>
      <c r="T1021" s="293"/>
      <c r="U1021" s="390"/>
    </row>
    <row r="1022" spans="1:21" s="183" customFormat="1" ht="24" customHeight="1">
      <c r="J1022" s="496" t="s">
        <v>873</v>
      </c>
      <c r="K1022" s="183" t="s">
        <v>520</v>
      </c>
      <c r="L1022" s="213">
        <f t="shared" ref="L1022:T1022" si="73">L267</f>
        <v>522383</v>
      </c>
      <c r="M1022" s="213">
        <f t="shared" si="73"/>
        <v>282289</v>
      </c>
      <c r="N1022" s="200">
        <f t="shared" si="73"/>
        <v>-752834</v>
      </c>
      <c r="O1022" s="200">
        <f t="shared" si="73"/>
        <v>199</v>
      </c>
      <c r="P1022" s="199">
        <f t="shared" si="73"/>
        <v>0</v>
      </c>
      <c r="Q1022" s="199">
        <f t="shared" si="73"/>
        <v>-575977</v>
      </c>
      <c r="R1022" s="199">
        <f t="shared" si="73"/>
        <v>-1043229</v>
      </c>
      <c r="S1022" s="199">
        <f t="shared" si="73"/>
        <v>-1545123</v>
      </c>
      <c r="T1022" s="199">
        <f t="shared" si="73"/>
        <v>-1611461</v>
      </c>
      <c r="U1022" s="64"/>
    </row>
    <row r="1023" spans="1:21" s="183" customFormat="1" ht="24" customHeight="1">
      <c r="J1023" s="496"/>
      <c r="K1023" s="183" t="s">
        <v>521</v>
      </c>
      <c r="L1023" s="213">
        <f t="shared" ref="L1023:T1023" si="74">L285</f>
        <v>18522</v>
      </c>
      <c r="M1023" s="213">
        <f t="shared" si="74"/>
        <v>-8186</v>
      </c>
      <c r="N1023" s="200">
        <f t="shared" si="74"/>
        <v>4546</v>
      </c>
      <c r="O1023" s="200">
        <f t="shared" si="74"/>
        <v>4546</v>
      </c>
      <c r="P1023" s="199">
        <f t="shared" si="74"/>
        <v>-17596</v>
      </c>
      <c r="Q1023" s="199">
        <f t="shared" si="74"/>
        <v>3055</v>
      </c>
      <c r="R1023" s="199">
        <f t="shared" si="74"/>
        <v>2899</v>
      </c>
      <c r="S1023" s="199">
        <f t="shared" si="74"/>
        <v>2735</v>
      </c>
      <c r="T1023" s="199">
        <f t="shared" si="74"/>
        <v>1123</v>
      </c>
      <c r="U1023" s="64"/>
    </row>
    <row r="1024" spans="1:21" s="183" customFormat="1" ht="24" customHeight="1">
      <c r="J1024" s="496"/>
      <c r="K1024" s="183" t="s">
        <v>522</v>
      </c>
      <c r="L1024" s="213">
        <f t="shared" ref="L1024:T1024" si="75">L303</f>
        <v>15399</v>
      </c>
      <c r="M1024" s="213">
        <f t="shared" si="75"/>
        <v>-5477</v>
      </c>
      <c r="N1024" s="200">
        <f t="shared" si="75"/>
        <v>-3198</v>
      </c>
      <c r="O1024" s="200">
        <f t="shared" si="75"/>
        <v>-3196</v>
      </c>
      <c r="P1024" s="199">
        <f t="shared" si="75"/>
        <v>4163</v>
      </c>
      <c r="Q1024" s="199">
        <f t="shared" si="75"/>
        <v>5978</v>
      </c>
      <c r="R1024" s="199">
        <f t="shared" si="75"/>
        <v>5822</v>
      </c>
      <c r="S1024" s="199">
        <f t="shared" si="75"/>
        <v>5658</v>
      </c>
      <c r="T1024" s="199">
        <f t="shared" si="75"/>
        <v>4046</v>
      </c>
      <c r="U1024" s="64"/>
    </row>
    <row r="1025" spans="10:21" s="183" customFormat="1" ht="24" customHeight="1">
      <c r="J1025" s="496"/>
      <c r="K1025" s="183" t="s">
        <v>624</v>
      </c>
      <c r="L1025" s="213">
        <f t="shared" ref="L1025:T1025" si="76">L329</f>
        <v>-90999</v>
      </c>
      <c r="M1025" s="213">
        <f t="shared" si="76"/>
        <v>-93729</v>
      </c>
      <c r="N1025" s="200">
        <f t="shared" si="76"/>
        <v>-155970</v>
      </c>
      <c r="O1025" s="200">
        <f t="shared" si="76"/>
        <v>-68366</v>
      </c>
      <c r="P1025" s="199">
        <f t="shared" si="76"/>
        <v>-183884</v>
      </c>
      <c r="Q1025" s="199">
        <f t="shared" si="76"/>
        <v>-178122</v>
      </c>
      <c r="R1025" s="199">
        <f t="shared" si="76"/>
        <v>-146470</v>
      </c>
      <c r="S1025" s="199">
        <f t="shared" si="76"/>
        <v>-95455</v>
      </c>
      <c r="T1025" s="199">
        <f t="shared" si="76"/>
        <v>-26196</v>
      </c>
      <c r="U1025" s="64"/>
    </row>
    <row r="1026" spans="10:21" s="183" customFormat="1" ht="24" customHeight="1">
      <c r="J1026" s="496"/>
      <c r="K1026" s="183" t="s">
        <v>626</v>
      </c>
      <c r="L1026" s="213">
        <f t="shared" ref="L1026:T1026" si="77">L416</f>
        <v>-1648379</v>
      </c>
      <c r="M1026" s="213">
        <f t="shared" si="77"/>
        <v>-966633</v>
      </c>
      <c r="N1026" s="200">
        <f t="shared" si="77"/>
        <v>-438576</v>
      </c>
      <c r="O1026" s="200">
        <f t="shared" si="77"/>
        <v>165825</v>
      </c>
      <c r="P1026" s="199">
        <f t="shared" si="77"/>
        <v>-626379</v>
      </c>
      <c r="Q1026" s="199">
        <f t="shared" si="77"/>
        <v>39000</v>
      </c>
      <c r="R1026" s="199">
        <f t="shared" si="77"/>
        <v>57267</v>
      </c>
      <c r="S1026" s="199">
        <f t="shared" si="77"/>
        <v>77018</v>
      </c>
      <c r="T1026" s="199">
        <f t="shared" si="77"/>
        <v>80552</v>
      </c>
      <c r="U1026" s="64"/>
    </row>
    <row r="1027" spans="10:21" s="183" customFormat="1" ht="24" customHeight="1">
      <c r="J1027" s="496"/>
      <c r="K1027" s="183" t="s">
        <v>822</v>
      </c>
      <c r="L1027" s="213">
        <f t="shared" ref="L1027:T1027" si="78">(L423+L426+L427+L429+L430+L444+L431+L432+L443+L441+L434+L435+L440-L454-L470+L450+L462+L433-L458+L425)</f>
        <v>0</v>
      </c>
      <c r="M1027" s="213">
        <f t="shared" si="78"/>
        <v>37930</v>
      </c>
      <c r="N1027" s="214">
        <f t="shared" si="78"/>
        <v>-1574</v>
      </c>
      <c r="O1027" s="214">
        <f t="shared" si="78"/>
        <v>66473</v>
      </c>
      <c r="P1027" s="213">
        <f t="shared" si="78"/>
        <v>-12842</v>
      </c>
      <c r="Q1027" s="213">
        <f t="shared" si="78"/>
        <v>-6773</v>
      </c>
      <c r="R1027" s="213">
        <f t="shared" si="78"/>
        <v>-6773</v>
      </c>
      <c r="S1027" s="213">
        <f t="shared" si="78"/>
        <v>-10948</v>
      </c>
      <c r="T1027" s="213">
        <f t="shared" si="78"/>
        <v>4862</v>
      </c>
      <c r="U1027" s="64"/>
    </row>
    <row r="1028" spans="10:21" s="183" customFormat="1" ht="24" customHeight="1">
      <c r="J1028" s="496"/>
      <c r="K1028" s="183" t="s">
        <v>593</v>
      </c>
      <c r="L1028" s="199">
        <f t="shared" ref="L1028:T1028" si="79">L515</f>
        <v>0</v>
      </c>
      <c r="M1028" s="199">
        <f t="shared" si="79"/>
        <v>0</v>
      </c>
      <c r="N1028" s="200">
        <f t="shared" si="79"/>
        <v>0</v>
      </c>
      <c r="O1028" s="200">
        <f t="shared" si="79"/>
        <v>0</v>
      </c>
      <c r="P1028" s="199">
        <f t="shared" si="79"/>
        <v>0</v>
      </c>
      <c r="Q1028" s="199">
        <f t="shared" si="79"/>
        <v>0</v>
      </c>
      <c r="R1028" s="199">
        <f t="shared" si="79"/>
        <v>0</v>
      </c>
      <c r="S1028" s="199">
        <f t="shared" si="79"/>
        <v>0</v>
      </c>
      <c r="T1028" s="199">
        <f t="shared" si="79"/>
        <v>0</v>
      </c>
      <c r="U1028" s="64"/>
    </row>
    <row r="1029" spans="10:21" s="183" customFormat="1" ht="24" customHeight="1">
      <c r="J1029" s="496"/>
      <c r="K1029" s="183" t="s">
        <v>523</v>
      </c>
      <c r="L1029" s="213">
        <f t="shared" ref="L1029:T1029" si="80">L625</f>
        <v>-2370144</v>
      </c>
      <c r="M1029" s="213">
        <f t="shared" si="80"/>
        <v>-241882</v>
      </c>
      <c r="N1029" s="200">
        <f t="shared" si="80"/>
        <v>-345353</v>
      </c>
      <c r="O1029" s="200">
        <f t="shared" si="80"/>
        <v>896467</v>
      </c>
      <c r="P1029" s="199">
        <f t="shared" si="80"/>
        <v>-1070213</v>
      </c>
      <c r="Q1029" s="199">
        <f t="shared" si="80"/>
        <v>-478170</v>
      </c>
      <c r="R1029" s="199">
        <f t="shared" si="80"/>
        <v>-310</v>
      </c>
      <c r="S1029" s="199">
        <f t="shared" si="80"/>
        <v>258454</v>
      </c>
      <c r="T1029" s="199">
        <f t="shared" si="80"/>
        <v>2223570</v>
      </c>
      <c r="U1029" s="64"/>
    </row>
    <row r="1030" spans="10:21" s="183" customFormat="1" ht="24" customHeight="1">
      <c r="J1030" s="496"/>
      <c r="K1030" s="183" t="s">
        <v>524</v>
      </c>
      <c r="L1030" s="213">
        <f t="shared" ref="L1030:T1030" si="81">L711</f>
        <v>-192843</v>
      </c>
      <c r="M1030" s="213">
        <f t="shared" si="81"/>
        <v>33021</v>
      </c>
      <c r="N1030" s="200">
        <f t="shared" si="81"/>
        <v>-633763</v>
      </c>
      <c r="O1030" s="200">
        <f t="shared" si="81"/>
        <v>-338057</v>
      </c>
      <c r="P1030" s="199">
        <f t="shared" si="81"/>
        <v>-388418</v>
      </c>
      <c r="Q1030" s="199">
        <f t="shared" si="81"/>
        <v>-224868</v>
      </c>
      <c r="R1030" s="199">
        <f t="shared" si="81"/>
        <v>129063</v>
      </c>
      <c r="S1030" s="199">
        <f t="shared" si="81"/>
        <v>273524</v>
      </c>
      <c r="T1030" s="199">
        <f t="shared" si="81"/>
        <v>682531</v>
      </c>
      <c r="U1030" s="64"/>
    </row>
    <row r="1031" spans="10:21" s="183" customFormat="1" ht="24" customHeight="1">
      <c r="J1031" s="496"/>
      <c r="K1031" s="183" t="s">
        <v>525</v>
      </c>
      <c r="L1031" s="213">
        <f t="shared" ref="L1031:T1031" si="82">L762</f>
        <v>37998</v>
      </c>
      <c r="M1031" s="213">
        <f t="shared" si="82"/>
        <v>-528520</v>
      </c>
      <c r="N1031" s="200">
        <f t="shared" si="82"/>
        <v>279113</v>
      </c>
      <c r="O1031" s="200">
        <f t="shared" si="82"/>
        <v>484364</v>
      </c>
      <c r="P1031" s="199">
        <f t="shared" si="82"/>
        <v>-46415</v>
      </c>
      <c r="Q1031" s="199">
        <f t="shared" si="82"/>
        <v>-85271</v>
      </c>
      <c r="R1031" s="199">
        <f t="shared" si="82"/>
        <v>-5000</v>
      </c>
      <c r="S1031" s="199">
        <f t="shared" si="82"/>
        <v>-80000</v>
      </c>
      <c r="T1031" s="199">
        <f t="shared" si="82"/>
        <v>-186695</v>
      </c>
      <c r="U1031" s="64"/>
    </row>
    <row r="1032" spans="10:21" s="183" customFormat="1" ht="24" customHeight="1">
      <c r="J1032" s="268"/>
      <c r="K1032" s="183" t="s">
        <v>450</v>
      </c>
      <c r="L1032" s="213">
        <f t="shared" ref="L1032:T1032" si="83">L968</f>
        <v>54193</v>
      </c>
      <c r="M1032" s="213">
        <f t="shared" si="83"/>
        <v>35934</v>
      </c>
      <c r="N1032" s="200">
        <f t="shared" si="83"/>
        <v>-616846</v>
      </c>
      <c r="O1032" s="200">
        <f t="shared" si="83"/>
        <v>35850</v>
      </c>
      <c r="P1032" s="199">
        <f t="shared" si="83"/>
        <v>-691490</v>
      </c>
      <c r="Q1032" s="199">
        <f t="shared" si="83"/>
        <v>38150</v>
      </c>
      <c r="R1032" s="199">
        <f t="shared" si="83"/>
        <v>205227</v>
      </c>
      <c r="S1032" s="199">
        <f t="shared" si="83"/>
        <v>216128</v>
      </c>
      <c r="T1032" s="199">
        <f t="shared" si="83"/>
        <v>226122</v>
      </c>
      <c r="U1032" s="64"/>
    </row>
    <row r="1033" spans="10:21" s="183" customFormat="1" ht="24" customHeight="1">
      <c r="J1033" s="268"/>
      <c r="K1033" s="183" t="s">
        <v>452</v>
      </c>
      <c r="L1033" s="213">
        <f t="shared" ref="L1033:T1033" si="84">L997</f>
        <v>-156147</v>
      </c>
      <c r="M1033" s="213">
        <f t="shared" si="84"/>
        <v>-778860</v>
      </c>
      <c r="N1033" s="200">
        <f t="shared" si="84"/>
        <v>-434996</v>
      </c>
      <c r="O1033" s="200">
        <f t="shared" si="84"/>
        <v>-292398</v>
      </c>
      <c r="P1033" s="199">
        <f t="shared" si="84"/>
        <v>-346484</v>
      </c>
      <c r="Q1033" s="199">
        <f t="shared" si="84"/>
        <v>-218901</v>
      </c>
      <c r="R1033" s="199">
        <f t="shared" si="84"/>
        <v>-213781</v>
      </c>
      <c r="S1033" s="199">
        <f t="shared" si="84"/>
        <v>-4355</v>
      </c>
      <c r="T1033" s="199">
        <f t="shared" si="84"/>
        <v>-2292</v>
      </c>
      <c r="U1033" s="64"/>
    </row>
    <row r="1034" spans="10:21" s="183" customFormat="1" ht="24" customHeight="1">
      <c r="J1034" s="268"/>
      <c r="K1034" s="183" t="s">
        <v>1218</v>
      </c>
      <c r="L1034" s="230">
        <f>L1016</f>
        <v>0</v>
      </c>
      <c r="M1034" s="230">
        <f t="shared" ref="M1034:T1034" si="85">M1016</f>
        <v>0</v>
      </c>
      <c r="N1034" s="231">
        <f t="shared" si="85"/>
        <v>-10000</v>
      </c>
      <c r="O1034" s="231">
        <f t="shared" si="85"/>
        <v>-10000</v>
      </c>
      <c r="P1034" s="230">
        <f t="shared" si="85"/>
        <v>-35000</v>
      </c>
      <c r="Q1034" s="230">
        <f t="shared" si="85"/>
        <v>-10000</v>
      </c>
      <c r="R1034" s="230">
        <f t="shared" si="85"/>
        <v>-10000</v>
      </c>
      <c r="S1034" s="230">
        <f t="shared" si="85"/>
        <v>-10000</v>
      </c>
      <c r="T1034" s="230">
        <f t="shared" si="85"/>
        <v>-10000</v>
      </c>
      <c r="U1034" s="64"/>
    </row>
    <row r="1035" spans="10:21" s="183" customFormat="1" ht="24" customHeight="1">
      <c r="L1035" s="213"/>
      <c r="M1035" s="213"/>
      <c r="N1035" s="200"/>
      <c r="O1035" s="200"/>
      <c r="P1035" s="199"/>
      <c r="Q1035" s="199"/>
      <c r="R1035" s="199"/>
      <c r="S1035" s="199"/>
      <c r="T1035" s="199"/>
      <c r="U1035" s="64"/>
    </row>
    <row r="1036" spans="10:21" s="251" customFormat="1" ht="24" customHeight="1">
      <c r="L1036" s="218">
        <f t="shared" ref="L1036:T1036" si="86">SUM(L1022:L1035)</f>
        <v>-3810017</v>
      </c>
      <c r="M1036" s="218">
        <f t="shared" si="86"/>
        <v>-2234113</v>
      </c>
      <c r="N1036" s="202">
        <f t="shared" si="86"/>
        <v>-3109451</v>
      </c>
      <c r="O1036" s="202">
        <f t="shared" si="86"/>
        <v>941707</v>
      </c>
      <c r="P1036" s="201">
        <f t="shared" si="86"/>
        <v>-3414558</v>
      </c>
      <c r="Q1036" s="201">
        <f t="shared" si="86"/>
        <v>-1691899</v>
      </c>
      <c r="R1036" s="201">
        <f t="shared" si="86"/>
        <v>-1025285</v>
      </c>
      <c r="S1036" s="201">
        <f t="shared" si="86"/>
        <v>-912364</v>
      </c>
      <c r="T1036" s="201">
        <f t="shared" si="86"/>
        <v>1386162</v>
      </c>
      <c r="U1036" s="64"/>
    </row>
    <row r="1037" spans="10:21" s="183" customFormat="1" ht="24" customHeight="1">
      <c r="L1037" s="199"/>
      <c r="M1037" s="199"/>
      <c r="N1037" s="200"/>
      <c r="O1037" s="200"/>
      <c r="P1037" s="199"/>
      <c r="Q1037" s="199"/>
      <c r="R1037" s="199"/>
      <c r="S1037" s="199"/>
      <c r="T1037" s="199"/>
      <c r="U1037" s="64"/>
    </row>
    <row r="1038" spans="10:21" s="295" customFormat="1" ht="24" customHeight="1">
      <c r="K1038" s="296" t="s">
        <v>762</v>
      </c>
      <c r="L1038" s="297"/>
      <c r="M1038" s="297"/>
      <c r="N1038" s="298"/>
      <c r="O1038" s="298"/>
      <c r="P1038" s="297"/>
      <c r="Q1038" s="297"/>
      <c r="R1038" s="297"/>
      <c r="S1038" s="297"/>
      <c r="T1038" s="297"/>
      <c r="U1038" s="391"/>
    </row>
    <row r="1039" spans="10:21" s="183" customFormat="1" ht="24" customHeight="1">
      <c r="J1039" s="496" t="s">
        <v>873</v>
      </c>
      <c r="K1039" s="183" t="s">
        <v>520</v>
      </c>
      <c r="L1039" s="213">
        <f t="shared" ref="L1039:T1039" si="87">L269</f>
        <v>6214089</v>
      </c>
      <c r="M1039" s="213">
        <f t="shared" si="87"/>
        <v>6496373</v>
      </c>
      <c r="N1039" s="200">
        <f t="shared" si="87"/>
        <v>5468778</v>
      </c>
      <c r="O1039" s="200">
        <f t="shared" si="87"/>
        <v>6496572</v>
      </c>
      <c r="P1039" s="199">
        <f t="shared" si="87"/>
        <v>6496572</v>
      </c>
      <c r="Q1039" s="199">
        <f t="shared" si="87"/>
        <v>5920595</v>
      </c>
      <c r="R1039" s="199">
        <f t="shared" si="87"/>
        <v>4877366</v>
      </c>
      <c r="S1039" s="199">
        <f t="shared" si="87"/>
        <v>3332243</v>
      </c>
      <c r="T1039" s="199">
        <f t="shared" si="87"/>
        <v>1720782</v>
      </c>
      <c r="U1039" s="64"/>
    </row>
    <row r="1040" spans="10:21" s="183" customFormat="1" ht="24" customHeight="1">
      <c r="J1040" s="496"/>
      <c r="K1040" s="183" t="s">
        <v>521</v>
      </c>
      <c r="L1040" s="213">
        <f t="shared" ref="L1040:T1040" si="88">L287</f>
        <v>14742</v>
      </c>
      <c r="M1040" s="213">
        <f t="shared" si="88"/>
        <v>6556</v>
      </c>
      <c r="N1040" s="200">
        <f t="shared" si="88"/>
        <v>9954</v>
      </c>
      <c r="O1040" s="200">
        <f t="shared" si="88"/>
        <v>11102</v>
      </c>
      <c r="P1040" s="199">
        <f t="shared" si="88"/>
        <v>-6494</v>
      </c>
      <c r="Q1040" s="199">
        <f t="shared" si="88"/>
        <v>-3439</v>
      </c>
      <c r="R1040" s="199">
        <f t="shared" si="88"/>
        <v>-540</v>
      </c>
      <c r="S1040" s="199">
        <f t="shared" si="88"/>
        <v>2195</v>
      </c>
      <c r="T1040" s="199">
        <f t="shared" si="88"/>
        <v>3318</v>
      </c>
      <c r="U1040" s="64"/>
    </row>
    <row r="1041" spans="1:21" s="183" customFormat="1" ht="24" customHeight="1">
      <c r="J1041" s="496"/>
      <c r="K1041" s="183" t="s">
        <v>522</v>
      </c>
      <c r="L1041" s="213">
        <f t="shared" ref="L1041:T1041" si="89">L305</f>
        <v>-15774</v>
      </c>
      <c r="M1041" s="213">
        <f t="shared" si="89"/>
        <v>-21251</v>
      </c>
      <c r="N1041" s="200">
        <f t="shared" si="89"/>
        <v>-28236</v>
      </c>
      <c r="O1041" s="200">
        <f t="shared" si="89"/>
        <v>-24447</v>
      </c>
      <c r="P1041" s="199">
        <f t="shared" si="89"/>
        <v>-20284</v>
      </c>
      <c r="Q1041" s="199">
        <f t="shared" si="89"/>
        <v>-14306</v>
      </c>
      <c r="R1041" s="199">
        <f t="shared" si="89"/>
        <v>-8484</v>
      </c>
      <c r="S1041" s="199">
        <f t="shared" si="89"/>
        <v>-2826</v>
      </c>
      <c r="T1041" s="199">
        <f t="shared" si="89"/>
        <v>1220</v>
      </c>
      <c r="U1041" s="64"/>
    </row>
    <row r="1042" spans="1:21" s="183" customFormat="1" ht="24" customHeight="1">
      <c r="J1042" s="496"/>
      <c r="K1042" s="183" t="s">
        <v>624</v>
      </c>
      <c r="L1042" s="213">
        <f t="shared" ref="L1042:T1042" si="90">L331</f>
        <v>792224</v>
      </c>
      <c r="M1042" s="213">
        <f t="shared" si="90"/>
        <v>698493</v>
      </c>
      <c r="N1042" s="200">
        <f t="shared" si="90"/>
        <v>428536</v>
      </c>
      <c r="O1042" s="200">
        <f t="shared" si="90"/>
        <v>630127</v>
      </c>
      <c r="P1042" s="199">
        <f t="shared" si="90"/>
        <v>446243</v>
      </c>
      <c r="Q1042" s="199">
        <f t="shared" si="90"/>
        <v>268121</v>
      </c>
      <c r="R1042" s="199">
        <f t="shared" si="90"/>
        <v>121651</v>
      </c>
      <c r="S1042" s="199">
        <f t="shared" si="90"/>
        <v>26196</v>
      </c>
      <c r="T1042" s="199">
        <f t="shared" si="90"/>
        <v>0</v>
      </c>
      <c r="U1042" s="64"/>
    </row>
    <row r="1043" spans="1:21" s="183" customFormat="1" ht="24" customHeight="1">
      <c r="J1043" s="496"/>
      <c r="K1043" s="183" t="s">
        <v>626</v>
      </c>
      <c r="L1043" s="213">
        <f t="shared" ref="L1043:T1043" si="91">L418</f>
        <v>1355530</v>
      </c>
      <c r="M1043" s="213">
        <f t="shared" si="91"/>
        <v>388897</v>
      </c>
      <c r="N1043" s="200">
        <f t="shared" si="91"/>
        <v>-30817</v>
      </c>
      <c r="O1043" s="200">
        <f t="shared" si="91"/>
        <v>554722</v>
      </c>
      <c r="P1043" s="199">
        <f t="shared" si="91"/>
        <v>-71657</v>
      </c>
      <c r="Q1043" s="199">
        <f t="shared" si="91"/>
        <v>-32657</v>
      </c>
      <c r="R1043" s="199">
        <f t="shared" si="91"/>
        <v>24610</v>
      </c>
      <c r="S1043" s="199">
        <f t="shared" si="91"/>
        <v>101628</v>
      </c>
      <c r="T1043" s="199">
        <f t="shared" si="91"/>
        <v>182180</v>
      </c>
      <c r="U1043" s="64"/>
    </row>
    <row r="1044" spans="1:21" s="183" customFormat="1" ht="24" customHeight="1">
      <c r="J1044" s="496"/>
      <c r="K1044" s="183" t="s">
        <v>822</v>
      </c>
      <c r="L1044" s="213">
        <f t="shared" ref="L1044:T1044" si="92">L487+L491+L489</f>
        <v>0</v>
      </c>
      <c r="M1044" s="213">
        <f t="shared" si="92"/>
        <v>37930</v>
      </c>
      <c r="N1044" s="214">
        <f t="shared" si="92"/>
        <v>6435</v>
      </c>
      <c r="O1044" s="214">
        <f t="shared" si="92"/>
        <v>104403</v>
      </c>
      <c r="P1044" s="213">
        <f t="shared" si="92"/>
        <v>91561</v>
      </c>
      <c r="Q1044" s="213">
        <f t="shared" si="92"/>
        <v>84788</v>
      </c>
      <c r="R1044" s="213">
        <f t="shared" si="92"/>
        <v>78015</v>
      </c>
      <c r="S1044" s="213">
        <f t="shared" si="92"/>
        <v>67067</v>
      </c>
      <c r="T1044" s="213">
        <f t="shared" si="92"/>
        <v>71929</v>
      </c>
      <c r="U1044" s="64"/>
    </row>
    <row r="1045" spans="1:21" s="183" customFormat="1" ht="24" customHeight="1">
      <c r="J1045" s="496"/>
      <c r="K1045" s="183" t="s">
        <v>593</v>
      </c>
      <c r="L1045" s="199">
        <f t="shared" ref="L1045:T1045" si="93">L517</f>
        <v>0</v>
      </c>
      <c r="M1045" s="199">
        <f t="shared" si="93"/>
        <v>0</v>
      </c>
      <c r="N1045" s="200">
        <f t="shared" si="93"/>
        <v>0</v>
      </c>
      <c r="O1045" s="200">
        <f t="shared" si="93"/>
        <v>0</v>
      </c>
      <c r="P1045" s="199">
        <f t="shared" si="93"/>
        <v>0</v>
      </c>
      <c r="Q1045" s="199">
        <f t="shared" si="93"/>
        <v>0</v>
      </c>
      <c r="R1045" s="199">
        <f t="shared" si="93"/>
        <v>0</v>
      </c>
      <c r="S1045" s="199">
        <f t="shared" si="93"/>
        <v>0</v>
      </c>
      <c r="T1045" s="199">
        <f t="shared" si="93"/>
        <v>0</v>
      </c>
      <c r="U1045" s="64"/>
    </row>
    <row r="1046" spans="1:21" s="183" customFormat="1" ht="24" customHeight="1">
      <c r="J1046" s="496"/>
      <c r="K1046" s="183" t="s">
        <v>523</v>
      </c>
      <c r="L1046" s="213">
        <f t="shared" ref="L1046:T1046" si="94">L627</f>
        <v>2826144</v>
      </c>
      <c r="M1046" s="213">
        <f t="shared" si="94"/>
        <v>2584259</v>
      </c>
      <c r="N1046" s="200">
        <f t="shared" si="94"/>
        <v>1952155</v>
      </c>
      <c r="O1046" s="200">
        <f t="shared" si="94"/>
        <v>3480726</v>
      </c>
      <c r="P1046" s="199">
        <f t="shared" si="94"/>
        <v>2410513</v>
      </c>
      <c r="Q1046" s="199">
        <f t="shared" si="94"/>
        <v>1932343</v>
      </c>
      <c r="R1046" s="199">
        <f t="shared" si="94"/>
        <v>1932033</v>
      </c>
      <c r="S1046" s="199">
        <f t="shared" si="94"/>
        <v>2190487</v>
      </c>
      <c r="T1046" s="199">
        <f t="shared" si="94"/>
        <v>4414057</v>
      </c>
      <c r="U1046" s="64"/>
    </row>
    <row r="1047" spans="1:21" s="183" customFormat="1" ht="24" customHeight="1">
      <c r="J1047" s="496"/>
      <c r="K1047" s="183" t="s">
        <v>524</v>
      </c>
      <c r="L1047" s="213">
        <f t="shared" ref="L1047:T1047" si="95">L713</f>
        <v>1378030</v>
      </c>
      <c r="M1047" s="213">
        <f t="shared" si="95"/>
        <v>1411053</v>
      </c>
      <c r="N1047" s="200">
        <f t="shared" si="95"/>
        <v>705765</v>
      </c>
      <c r="O1047" s="200">
        <f t="shared" si="95"/>
        <v>1072996</v>
      </c>
      <c r="P1047" s="199">
        <f t="shared" si="95"/>
        <v>684578</v>
      </c>
      <c r="Q1047" s="199">
        <f t="shared" si="95"/>
        <v>459710</v>
      </c>
      <c r="R1047" s="199">
        <f t="shared" si="95"/>
        <v>588773</v>
      </c>
      <c r="S1047" s="199">
        <f t="shared" si="95"/>
        <v>862297</v>
      </c>
      <c r="T1047" s="199">
        <f t="shared" si="95"/>
        <v>1544828</v>
      </c>
      <c r="U1047" s="64"/>
    </row>
    <row r="1048" spans="1:21" s="183" customFormat="1" ht="24" customHeight="1">
      <c r="J1048" s="496"/>
      <c r="K1048" s="183" t="s">
        <v>525</v>
      </c>
      <c r="L1048" s="213">
        <f t="shared" ref="L1048:T1048" si="96">L764</f>
        <v>250318</v>
      </c>
      <c r="M1048" s="213">
        <f t="shared" si="96"/>
        <v>-278204</v>
      </c>
      <c r="N1048" s="200">
        <f t="shared" si="96"/>
        <v>62362</v>
      </c>
      <c r="O1048" s="200">
        <f t="shared" si="96"/>
        <v>206160</v>
      </c>
      <c r="P1048" s="199">
        <f t="shared" si="96"/>
        <v>159745</v>
      </c>
      <c r="Q1048" s="199">
        <f t="shared" si="96"/>
        <v>74474</v>
      </c>
      <c r="R1048" s="199">
        <f t="shared" si="96"/>
        <v>69474</v>
      </c>
      <c r="S1048" s="199">
        <f t="shared" si="96"/>
        <v>-10526</v>
      </c>
      <c r="T1048" s="199">
        <f t="shared" si="96"/>
        <v>-197221</v>
      </c>
      <c r="U1048" s="64"/>
    </row>
    <row r="1049" spans="1:21" s="183" customFormat="1" ht="24" customHeight="1">
      <c r="J1049" s="268"/>
      <c r="K1049" s="183" t="s">
        <v>450</v>
      </c>
      <c r="L1049" s="213">
        <f t="shared" ref="L1049:T1049" si="97">L970</f>
        <v>-495754</v>
      </c>
      <c r="M1049" s="213">
        <f t="shared" si="97"/>
        <v>-459819</v>
      </c>
      <c r="N1049" s="200">
        <f t="shared" si="97"/>
        <v>-1077343</v>
      </c>
      <c r="O1049" s="200">
        <f t="shared" si="97"/>
        <v>-423969</v>
      </c>
      <c r="P1049" s="199">
        <f t="shared" si="97"/>
        <v>-1115459</v>
      </c>
      <c r="Q1049" s="199">
        <f t="shared" si="97"/>
        <v>-1077309</v>
      </c>
      <c r="R1049" s="199">
        <f t="shared" si="97"/>
        <v>-872082</v>
      </c>
      <c r="S1049" s="199">
        <f t="shared" si="97"/>
        <v>-655954</v>
      </c>
      <c r="T1049" s="199">
        <f t="shared" si="97"/>
        <v>-429832</v>
      </c>
      <c r="U1049" s="64"/>
    </row>
    <row r="1050" spans="1:21" s="183" customFormat="1" ht="24" customHeight="1">
      <c r="J1050" s="268"/>
      <c r="K1050" s="183" t="s">
        <v>452</v>
      </c>
      <c r="L1050" s="213">
        <f t="shared" ref="L1050:T1050" si="98">L999</f>
        <v>97556</v>
      </c>
      <c r="M1050" s="213">
        <f t="shared" si="98"/>
        <v>-681305</v>
      </c>
      <c r="N1050" s="200">
        <f t="shared" si="98"/>
        <v>-1194280</v>
      </c>
      <c r="O1050" s="200">
        <f t="shared" si="98"/>
        <v>-973703</v>
      </c>
      <c r="P1050" s="199">
        <f t="shared" si="98"/>
        <v>-1320187</v>
      </c>
      <c r="Q1050" s="199">
        <f t="shared" si="98"/>
        <v>-1539088</v>
      </c>
      <c r="R1050" s="199">
        <f t="shared" si="98"/>
        <v>-1752869</v>
      </c>
      <c r="S1050" s="199">
        <f t="shared" si="98"/>
        <v>-1757224</v>
      </c>
      <c r="T1050" s="199">
        <f t="shared" si="98"/>
        <v>-1759516</v>
      </c>
      <c r="U1050" s="64"/>
    </row>
    <row r="1051" spans="1:21" s="183" customFormat="1" ht="24" customHeight="1">
      <c r="J1051" s="268"/>
      <c r="K1051" s="183" t="s">
        <v>1218</v>
      </c>
      <c r="L1051" s="230">
        <f t="shared" ref="L1051:T1051" si="99">L1018</f>
        <v>0</v>
      </c>
      <c r="M1051" s="230">
        <f t="shared" si="99"/>
        <v>0</v>
      </c>
      <c r="N1051" s="231">
        <f t="shared" si="99"/>
        <v>-10000</v>
      </c>
      <c r="O1051" s="231">
        <f t="shared" si="99"/>
        <v>-10000</v>
      </c>
      <c r="P1051" s="230">
        <f t="shared" si="99"/>
        <v>-45000</v>
      </c>
      <c r="Q1051" s="230">
        <f t="shared" si="99"/>
        <v>-55000</v>
      </c>
      <c r="R1051" s="230">
        <f t="shared" si="99"/>
        <v>-65000</v>
      </c>
      <c r="S1051" s="230">
        <f t="shared" si="99"/>
        <v>-75000</v>
      </c>
      <c r="T1051" s="230">
        <f t="shared" si="99"/>
        <v>-85000</v>
      </c>
      <c r="U1051" s="64"/>
    </row>
    <row r="1052" spans="1:21" s="183" customFormat="1" ht="24" customHeight="1">
      <c r="L1052" s="213"/>
      <c r="M1052" s="213"/>
      <c r="N1052" s="200"/>
      <c r="O1052" s="200"/>
      <c r="P1052" s="199"/>
      <c r="Q1052" s="199"/>
      <c r="R1052" s="199"/>
      <c r="S1052" s="199"/>
      <c r="T1052" s="199"/>
      <c r="U1052" s="64"/>
    </row>
    <row r="1053" spans="1:21" s="183" customFormat="1" ht="24" customHeight="1">
      <c r="L1053" s="218">
        <f t="shared" ref="L1053:T1053" si="100">SUM(L1039:L1052)</f>
        <v>12417105</v>
      </c>
      <c r="M1053" s="218">
        <f t="shared" si="100"/>
        <v>10182982</v>
      </c>
      <c r="N1053" s="202">
        <f t="shared" si="100"/>
        <v>6293309</v>
      </c>
      <c r="O1053" s="202">
        <f t="shared" si="100"/>
        <v>11124689</v>
      </c>
      <c r="P1053" s="201">
        <f t="shared" si="100"/>
        <v>7710131</v>
      </c>
      <c r="Q1053" s="201">
        <f t="shared" si="100"/>
        <v>6018232</v>
      </c>
      <c r="R1053" s="201">
        <f t="shared" si="100"/>
        <v>4992947</v>
      </c>
      <c r="S1053" s="201">
        <f t="shared" si="100"/>
        <v>4080583</v>
      </c>
      <c r="T1053" s="201">
        <f t="shared" si="100"/>
        <v>5466745</v>
      </c>
      <c r="U1053" s="64"/>
    </row>
    <row r="1054" spans="1:21" s="183" customFormat="1" ht="24" customHeight="1">
      <c r="L1054" s="199"/>
      <c r="M1054" s="199"/>
      <c r="N1054" s="200"/>
      <c r="O1054" s="200"/>
      <c r="P1054" s="199"/>
      <c r="Q1054" s="199"/>
      <c r="R1054" s="199"/>
      <c r="S1054" s="199"/>
      <c r="T1054" s="199"/>
      <c r="U1054" s="64"/>
    </row>
    <row r="1055" spans="1:21" s="142" customFormat="1" ht="24" customHeight="1">
      <c r="A1055" s="267"/>
      <c r="B1055" s="267"/>
      <c r="C1055" s="267"/>
      <c r="D1055" s="267"/>
      <c r="E1055" s="267"/>
      <c r="F1055" s="269"/>
      <c r="G1055" s="269"/>
      <c r="H1055" s="269"/>
      <c r="I1055" s="269"/>
      <c r="J1055" s="269"/>
      <c r="K1055" s="269"/>
      <c r="L1055" s="238"/>
      <c r="M1055" s="238"/>
      <c r="N1055" s="237"/>
      <c r="O1055" s="237"/>
      <c r="P1055" s="179"/>
      <c r="Q1055" s="179"/>
      <c r="R1055" s="179"/>
      <c r="S1055" s="179"/>
      <c r="T1055" s="179"/>
      <c r="U1055" s="392"/>
    </row>
    <row r="1056" spans="1:21" s="275" customFormat="1" ht="24" customHeight="1">
      <c r="A1056" s="478" t="s">
        <v>579</v>
      </c>
      <c r="B1056" s="478"/>
      <c r="C1056" s="478"/>
      <c r="D1056" s="478"/>
      <c r="E1056" s="478"/>
      <c r="F1056" s="478"/>
      <c r="G1056" s="478"/>
      <c r="H1056" s="478"/>
      <c r="I1056" s="478"/>
      <c r="J1056" s="478"/>
      <c r="K1056" s="478"/>
      <c r="L1056" s="276"/>
      <c r="M1056" s="276"/>
      <c r="N1056" s="276"/>
      <c r="O1056" s="276"/>
      <c r="P1056" s="276"/>
      <c r="Q1056" s="276"/>
      <c r="R1056" s="276"/>
      <c r="S1056" s="276"/>
      <c r="T1056" s="276"/>
      <c r="U1056" s="385"/>
    </row>
    <row r="1057" spans="1:21" s="183" customFormat="1" ht="24" customHeight="1">
      <c r="L1057" s="199"/>
      <c r="M1057" s="199"/>
      <c r="N1057" s="200"/>
      <c r="O1057" s="200"/>
      <c r="P1057" s="199"/>
      <c r="Q1057" s="199"/>
      <c r="R1057" s="199"/>
      <c r="S1057" s="199"/>
      <c r="T1057" s="199"/>
      <c r="U1057" s="64"/>
    </row>
    <row r="1058" spans="1:21" s="291" customFormat="1" ht="24" customHeight="1">
      <c r="K1058" s="292" t="s">
        <v>519</v>
      </c>
      <c r="L1058" s="293"/>
      <c r="M1058" s="293"/>
      <c r="N1058" s="294"/>
      <c r="O1058" s="294"/>
      <c r="P1058" s="293"/>
      <c r="Q1058" s="293"/>
      <c r="R1058" s="293"/>
      <c r="S1058" s="293"/>
      <c r="T1058" s="293"/>
      <c r="U1058" s="390"/>
    </row>
    <row r="1059" spans="1:21" s="183" customFormat="1" ht="24" customHeight="1">
      <c r="K1059" s="183" t="s">
        <v>822</v>
      </c>
      <c r="L1059" s="199">
        <f>L428+L436+L438-L481+L445+L442+L473+L439</f>
        <v>268567</v>
      </c>
      <c r="M1059" s="199">
        <f>M428+M436+M438-M481+M445+M442+M473+M439</f>
        <v>48910</v>
      </c>
      <c r="N1059" s="200">
        <f t="shared" ref="N1059:T1059" si="101">N428+N436+N438-N481+N445+N442+N473</f>
        <v>-46069</v>
      </c>
      <c r="O1059" s="200">
        <f t="shared" si="101"/>
        <v>-40930</v>
      </c>
      <c r="P1059" s="199">
        <f t="shared" si="101"/>
        <v>-51516</v>
      </c>
      <c r="Q1059" s="199">
        <f t="shared" si="101"/>
        <v>1484</v>
      </c>
      <c r="R1059" s="199">
        <f t="shared" si="101"/>
        <v>1483</v>
      </c>
      <c r="S1059" s="199">
        <f t="shared" si="101"/>
        <v>1484</v>
      </c>
      <c r="T1059" s="199">
        <f t="shared" si="101"/>
        <v>1483</v>
      </c>
      <c r="U1059" s="64"/>
    </row>
    <row r="1060" spans="1:21" s="183" customFormat="1" ht="24" customHeight="1">
      <c r="K1060" s="183" t="s">
        <v>580</v>
      </c>
      <c r="L1060" s="213">
        <f t="shared" ref="L1060:T1060" si="102">L851</f>
        <v>-54885</v>
      </c>
      <c r="M1060" s="213">
        <f t="shared" si="102"/>
        <v>27975</v>
      </c>
      <c r="N1060" s="214">
        <f t="shared" si="102"/>
        <v>-105494</v>
      </c>
      <c r="O1060" s="214">
        <f t="shared" si="102"/>
        <v>-57980</v>
      </c>
      <c r="P1060" s="199">
        <f t="shared" si="102"/>
        <v>-98417</v>
      </c>
      <c r="Q1060" s="199">
        <f t="shared" si="102"/>
        <v>6680</v>
      </c>
      <c r="R1060" s="199">
        <f t="shared" si="102"/>
        <v>9396</v>
      </c>
      <c r="S1060" s="199">
        <f t="shared" si="102"/>
        <v>11564</v>
      </c>
      <c r="T1060" s="199">
        <f t="shared" si="102"/>
        <v>10388</v>
      </c>
      <c r="U1060" s="64"/>
    </row>
    <row r="1061" spans="1:21" s="183" customFormat="1" ht="24" customHeight="1">
      <c r="L1061" s="213"/>
      <c r="M1061" s="213"/>
      <c r="N1061" s="200"/>
      <c r="O1061" s="200"/>
      <c r="P1061" s="199"/>
      <c r="Q1061" s="199"/>
      <c r="R1061" s="199"/>
      <c r="S1061" s="199"/>
      <c r="T1061" s="199"/>
      <c r="U1061" s="64"/>
    </row>
    <row r="1062" spans="1:21" s="183" customFormat="1" ht="24" customHeight="1">
      <c r="K1062" s="251"/>
      <c r="L1062" s="218">
        <f>SUM(L1059:L1061)</f>
        <v>213682</v>
      </c>
      <c r="M1062" s="218">
        <f>SUM(M1059:M1061)</f>
        <v>76885</v>
      </c>
      <c r="N1062" s="202">
        <f t="shared" ref="N1062:T1062" si="103">SUM(N1059:N1061)</f>
        <v>-151563</v>
      </c>
      <c r="O1062" s="202">
        <f t="shared" si="103"/>
        <v>-98910</v>
      </c>
      <c r="P1062" s="201">
        <f t="shared" si="103"/>
        <v>-149933</v>
      </c>
      <c r="Q1062" s="201">
        <f t="shared" si="103"/>
        <v>8164</v>
      </c>
      <c r="R1062" s="201">
        <f t="shared" si="103"/>
        <v>10879</v>
      </c>
      <c r="S1062" s="201">
        <f t="shared" si="103"/>
        <v>13048</v>
      </c>
      <c r="T1062" s="201">
        <f t="shared" si="103"/>
        <v>11871</v>
      </c>
      <c r="U1062" s="64"/>
    </row>
    <row r="1063" spans="1:21" s="183" customFormat="1" ht="24" customHeight="1">
      <c r="L1063" s="199"/>
      <c r="M1063" s="199"/>
      <c r="N1063" s="200"/>
      <c r="O1063" s="200"/>
      <c r="P1063" s="199"/>
      <c r="Q1063" s="199"/>
      <c r="R1063" s="199"/>
      <c r="S1063" s="199"/>
      <c r="T1063" s="199"/>
      <c r="U1063" s="64"/>
    </row>
    <row r="1064" spans="1:21" s="295" customFormat="1" ht="24" customHeight="1">
      <c r="K1064" s="296" t="s">
        <v>762</v>
      </c>
      <c r="L1064" s="297"/>
      <c r="M1064" s="297"/>
      <c r="N1064" s="298"/>
      <c r="O1064" s="298"/>
      <c r="P1064" s="297"/>
      <c r="Q1064" s="297"/>
      <c r="R1064" s="297"/>
      <c r="S1064" s="297"/>
      <c r="T1064" s="297"/>
      <c r="U1064" s="391"/>
    </row>
    <row r="1065" spans="1:21" s="183" customFormat="1" ht="24" customHeight="1">
      <c r="K1065" s="183" t="s">
        <v>822</v>
      </c>
      <c r="L1065" s="199">
        <f t="shared" ref="L1065:T1065" si="104">L493</f>
        <v>270407</v>
      </c>
      <c r="M1065" s="199">
        <f t="shared" si="104"/>
        <v>319316</v>
      </c>
      <c r="N1065" s="200">
        <f t="shared" si="104"/>
        <v>257366</v>
      </c>
      <c r="O1065" s="200">
        <f t="shared" si="104"/>
        <v>278386</v>
      </c>
      <c r="P1065" s="199">
        <f t="shared" si="104"/>
        <v>226870</v>
      </c>
      <c r="Q1065" s="199">
        <f t="shared" si="104"/>
        <v>228354</v>
      </c>
      <c r="R1065" s="199">
        <f t="shared" si="104"/>
        <v>229837</v>
      </c>
      <c r="S1065" s="199">
        <f t="shared" si="104"/>
        <v>231321</v>
      </c>
      <c r="T1065" s="199">
        <f t="shared" si="104"/>
        <v>232804</v>
      </c>
      <c r="U1065" s="64"/>
    </row>
    <row r="1066" spans="1:21" s="183" customFormat="1" ht="24" customHeight="1">
      <c r="K1066" s="183" t="s">
        <v>580</v>
      </c>
      <c r="L1066" s="213">
        <f t="shared" ref="L1066:T1066" si="105">L853</f>
        <v>445875</v>
      </c>
      <c r="M1066" s="213">
        <f t="shared" si="105"/>
        <v>473852</v>
      </c>
      <c r="N1066" s="214">
        <f t="shared" si="105"/>
        <v>312946</v>
      </c>
      <c r="O1066" s="214">
        <f t="shared" si="105"/>
        <v>415872</v>
      </c>
      <c r="P1066" s="199">
        <f t="shared" si="105"/>
        <v>317455</v>
      </c>
      <c r="Q1066" s="199">
        <f t="shared" si="105"/>
        <v>324135</v>
      </c>
      <c r="R1066" s="199">
        <f t="shared" si="105"/>
        <v>333531</v>
      </c>
      <c r="S1066" s="199">
        <f t="shared" si="105"/>
        <v>345095</v>
      </c>
      <c r="T1066" s="199">
        <f t="shared" si="105"/>
        <v>355483</v>
      </c>
      <c r="U1066" s="64"/>
    </row>
    <row r="1067" spans="1:21" s="183" customFormat="1" ht="24" customHeight="1">
      <c r="L1067" s="213"/>
      <c r="M1067" s="213"/>
      <c r="N1067" s="200"/>
      <c r="O1067" s="200"/>
      <c r="P1067" s="199"/>
      <c r="Q1067" s="199"/>
      <c r="R1067" s="199"/>
      <c r="S1067" s="199"/>
      <c r="T1067" s="199"/>
      <c r="U1067" s="64"/>
    </row>
    <row r="1068" spans="1:21" s="183" customFormat="1" ht="24" customHeight="1">
      <c r="L1068" s="218">
        <f>SUM(L1065:L1067)</f>
        <v>716282</v>
      </c>
      <c r="M1068" s="218">
        <f t="shared" ref="M1068:T1068" si="106">SUM(M1065:M1067)</f>
        <v>793168</v>
      </c>
      <c r="N1068" s="202">
        <f t="shared" si="106"/>
        <v>570312</v>
      </c>
      <c r="O1068" s="202">
        <f t="shared" si="106"/>
        <v>694258</v>
      </c>
      <c r="P1068" s="201">
        <f t="shared" si="106"/>
        <v>544325</v>
      </c>
      <c r="Q1068" s="201">
        <f t="shared" si="106"/>
        <v>552489</v>
      </c>
      <c r="R1068" s="201">
        <f t="shared" si="106"/>
        <v>563368</v>
      </c>
      <c r="S1068" s="201">
        <f t="shared" si="106"/>
        <v>576416</v>
      </c>
      <c r="T1068" s="201">
        <f t="shared" si="106"/>
        <v>588287</v>
      </c>
      <c r="U1068" s="64"/>
    </row>
    <row r="1069" spans="1:21" s="183" customFormat="1" ht="24" customHeight="1">
      <c r="L1069" s="199"/>
      <c r="M1069" s="199"/>
      <c r="N1069" s="200"/>
      <c r="O1069" s="200"/>
      <c r="P1069" s="199"/>
      <c r="Q1069" s="199"/>
      <c r="R1069" s="199"/>
      <c r="S1069" s="199"/>
      <c r="T1069" s="199"/>
      <c r="U1069" s="64"/>
    </row>
    <row r="1070" spans="1:21" s="275" customFormat="1" ht="24" customHeight="1">
      <c r="A1070" s="478" t="s">
        <v>581</v>
      </c>
      <c r="B1070" s="478"/>
      <c r="C1070" s="478"/>
      <c r="D1070" s="478"/>
      <c r="E1070" s="478"/>
      <c r="F1070" s="478"/>
      <c r="G1070" s="478"/>
      <c r="H1070" s="478"/>
      <c r="I1070" s="478"/>
      <c r="J1070" s="478"/>
      <c r="K1070" s="478"/>
      <c r="L1070" s="276"/>
      <c r="M1070" s="276"/>
      <c r="N1070" s="276"/>
      <c r="O1070" s="276"/>
      <c r="P1070" s="276"/>
      <c r="Q1070" s="276"/>
      <c r="R1070" s="276"/>
      <c r="S1070" s="276"/>
      <c r="T1070" s="276"/>
      <c r="U1070" s="385"/>
    </row>
    <row r="1071" spans="1:21" s="183" customFormat="1" ht="24" customHeight="1">
      <c r="L1071" s="199"/>
      <c r="M1071" s="199"/>
      <c r="N1071" s="200"/>
      <c r="O1071" s="200"/>
      <c r="P1071" s="199"/>
      <c r="Q1071" s="199"/>
      <c r="R1071" s="199"/>
      <c r="S1071" s="199"/>
      <c r="T1071" s="199"/>
      <c r="U1071" s="64"/>
    </row>
    <row r="1072" spans="1:21" s="291" customFormat="1" ht="24" customHeight="1">
      <c r="K1072" s="292" t="s">
        <v>519</v>
      </c>
      <c r="L1072" s="293"/>
      <c r="M1072" s="293"/>
      <c r="N1072" s="294"/>
      <c r="O1072" s="294"/>
      <c r="P1072" s="293"/>
      <c r="Q1072" s="293"/>
      <c r="R1072" s="293"/>
      <c r="S1072" s="293"/>
      <c r="T1072" s="293"/>
      <c r="U1072" s="390"/>
    </row>
    <row r="1073" spans="1:21" s="183" customFormat="1" ht="24" customHeight="1">
      <c r="K1073" s="183" t="s">
        <v>582</v>
      </c>
      <c r="L1073" s="213">
        <f t="shared" ref="L1073:T1073" si="107">L918</f>
        <v>-10301</v>
      </c>
      <c r="M1073" s="213">
        <f t="shared" si="107"/>
        <v>21297</v>
      </c>
      <c r="N1073" s="214">
        <f t="shared" si="107"/>
        <v>-11354</v>
      </c>
      <c r="O1073" s="214">
        <f t="shared" si="107"/>
        <v>4364</v>
      </c>
      <c r="P1073" s="199">
        <f t="shared" si="107"/>
        <v>-43594</v>
      </c>
      <c r="Q1073" s="199">
        <f t="shared" si="107"/>
        <v>-51923</v>
      </c>
      <c r="R1073" s="199">
        <f t="shared" si="107"/>
        <v>-65742</v>
      </c>
      <c r="S1073" s="199">
        <f t="shared" si="107"/>
        <v>-77946</v>
      </c>
      <c r="T1073" s="199">
        <f t="shared" si="107"/>
        <v>-93687</v>
      </c>
      <c r="U1073" s="64"/>
    </row>
    <row r="1074" spans="1:21" s="183" customFormat="1" ht="24" customHeight="1">
      <c r="K1074" s="183" t="s">
        <v>707</v>
      </c>
      <c r="L1074" s="230">
        <f t="shared" ref="L1074:T1074" si="108">L945</f>
        <v>5097</v>
      </c>
      <c r="M1074" s="230">
        <f t="shared" si="108"/>
        <v>38538</v>
      </c>
      <c r="N1074" s="231">
        <f t="shared" si="108"/>
        <v>-8890</v>
      </c>
      <c r="O1074" s="231">
        <f t="shared" si="108"/>
        <v>35150</v>
      </c>
      <c r="P1074" s="234">
        <f t="shared" si="108"/>
        <v>-25400</v>
      </c>
      <c r="Q1074" s="234">
        <f t="shared" si="108"/>
        <v>-25400</v>
      </c>
      <c r="R1074" s="234">
        <f t="shared" si="108"/>
        <v>-25400</v>
      </c>
      <c r="S1074" s="234">
        <f t="shared" si="108"/>
        <v>-15500</v>
      </c>
      <c r="T1074" s="234">
        <f t="shared" si="108"/>
        <v>-1643</v>
      </c>
      <c r="U1074" s="64"/>
    </row>
    <row r="1075" spans="1:21" s="183" customFormat="1" ht="24" customHeight="1">
      <c r="L1075" s="213"/>
      <c r="M1075" s="213"/>
      <c r="N1075" s="200"/>
      <c r="O1075" s="200"/>
      <c r="P1075" s="199"/>
      <c r="Q1075" s="199"/>
      <c r="R1075" s="199"/>
      <c r="S1075" s="199"/>
      <c r="T1075" s="199"/>
      <c r="U1075" s="64"/>
    </row>
    <row r="1076" spans="1:21" s="183" customFormat="1" ht="24" customHeight="1">
      <c r="K1076" s="251"/>
      <c r="L1076" s="218">
        <f t="shared" ref="L1076:T1076" si="109">SUM(L1073:L1075)</f>
        <v>-5204</v>
      </c>
      <c r="M1076" s="218">
        <f t="shared" si="109"/>
        <v>59835</v>
      </c>
      <c r="N1076" s="202">
        <f t="shared" si="109"/>
        <v>-20244</v>
      </c>
      <c r="O1076" s="202">
        <f t="shared" si="109"/>
        <v>39514</v>
      </c>
      <c r="P1076" s="201">
        <f t="shared" si="109"/>
        <v>-68994</v>
      </c>
      <c r="Q1076" s="201">
        <f t="shared" si="109"/>
        <v>-77323</v>
      </c>
      <c r="R1076" s="201">
        <f t="shared" si="109"/>
        <v>-91142</v>
      </c>
      <c r="S1076" s="201">
        <f t="shared" si="109"/>
        <v>-93446</v>
      </c>
      <c r="T1076" s="201">
        <f t="shared" si="109"/>
        <v>-95330</v>
      </c>
      <c r="U1076" s="64"/>
    </row>
    <row r="1077" spans="1:21" s="183" customFormat="1" ht="24" customHeight="1">
      <c r="L1077" s="199"/>
      <c r="M1077" s="199"/>
      <c r="N1077" s="200"/>
      <c r="O1077" s="200"/>
      <c r="P1077" s="199"/>
      <c r="Q1077" s="199"/>
      <c r="R1077" s="199"/>
      <c r="S1077" s="199"/>
      <c r="T1077" s="199"/>
      <c r="U1077" s="64"/>
    </row>
    <row r="1078" spans="1:21" s="295" customFormat="1" ht="24" customHeight="1">
      <c r="K1078" s="296" t="s">
        <v>762</v>
      </c>
      <c r="L1078" s="297"/>
      <c r="M1078" s="297"/>
      <c r="N1078" s="298"/>
      <c r="O1078" s="298"/>
      <c r="P1078" s="297"/>
      <c r="Q1078" s="297"/>
      <c r="R1078" s="297"/>
      <c r="S1078" s="297"/>
      <c r="T1078" s="297"/>
      <c r="U1078" s="391"/>
    </row>
    <row r="1079" spans="1:21" s="183" customFormat="1" ht="24" customHeight="1">
      <c r="K1079" s="183" t="s">
        <v>582</v>
      </c>
      <c r="L1079" s="213">
        <f t="shared" ref="L1079:T1079" si="110">L920</f>
        <v>489057</v>
      </c>
      <c r="M1079" s="213">
        <f t="shared" si="110"/>
        <v>510355</v>
      </c>
      <c r="N1079" s="214">
        <f t="shared" si="110"/>
        <v>474039</v>
      </c>
      <c r="O1079" s="214">
        <f t="shared" si="110"/>
        <v>514719</v>
      </c>
      <c r="P1079" s="199">
        <f t="shared" si="110"/>
        <v>471125</v>
      </c>
      <c r="Q1079" s="199">
        <f t="shared" si="110"/>
        <v>419202</v>
      </c>
      <c r="R1079" s="199">
        <f t="shared" si="110"/>
        <v>353460</v>
      </c>
      <c r="S1079" s="199">
        <f t="shared" si="110"/>
        <v>275514</v>
      </c>
      <c r="T1079" s="199">
        <f t="shared" si="110"/>
        <v>181827</v>
      </c>
      <c r="U1079" s="64"/>
    </row>
    <row r="1080" spans="1:21" s="183" customFormat="1" ht="24" customHeight="1">
      <c r="K1080" s="183" t="s">
        <v>707</v>
      </c>
      <c r="L1080" s="230">
        <f t="shared" ref="L1080:T1080" si="111">L947</f>
        <v>19904</v>
      </c>
      <c r="M1080" s="230">
        <f t="shared" si="111"/>
        <v>58443</v>
      </c>
      <c r="N1080" s="231">
        <f t="shared" si="111"/>
        <v>31274</v>
      </c>
      <c r="O1080" s="231">
        <f t="shared" si="111"/>
        <v>93593</v>
      </c>
      <c r="P1080" s="234">
        <f t="shared" si="111"/>
        <v>68193</v>
      </c>
      <c r="Q1080" s="234">
        <f t="shared" si="111"/>
        <v>42793</v>
      </c>
      <c r="R1080" s="234">
        <f t="shared" si="111"/>
        <v>17393</v>
      </c>
      <c r="S1080" s="234">
        <f t="shared" si="111"/>
        <v>1893</v>
      </c>
      <c r="T1080" s="234">
        <f t="shared" si="111"/>
        <v>250</v>
      </c>
      <c r="U1080" s="64"/>
    </row>
    <row r="1081" spans="1:21" s="183" customFormat="1" ht="24" customHeight="1">
      <c r="L1081" s="213"/>
      <c r="M1081" s="213"/>
      <c r="N1081" s="200"/>
      <c r="O1081" s="200"/>
      <c r="P1081" s="199"/>
      <c r="Q1081" s="199"/>
      <c r="R1081" s="199"/>
      <c r="S1081" s="199"/>
      <c r="T1081" s="199"/>
      <c r="U1081" s="64"/>
    </row>
    <row r="1082" spans="1:21" s="183" customFormat="1" ht="24" customHeight="1">
      <c r="L1082" s="218">
        <f t="shared" ref="L1082:T1082" si="112">SUM(L1079:L1081)</f>
        <v>508961</v>
      </c>
      <c r="M1082" s="218">
        <f t="shared" si="112"/>
        <v>568798</v>
      </c>
      <c r="N1082" s="202">
        <f t="shared" si="112"/>
        <v>505313</v>
      </c>
      <c r="O1082" s="202">
        <f t="shared" si="112"/>
        <v>608312</v>
      </c>
      <c r="P1082" s="201">
        <f t="shared" si="112"/>
        <v>539318</v>
      </c>
      <c r="Q1082" s="201">
        <f t="shared" si="112"/>
        <v>461995</v>
      </c>
      <c r="R1082" s="201">
        <f t="shared" si="112"/>
        <v>370853</v>
      </c>
      <c r="S1082" s="201">
        <f t="shared" si="112"/>
        <v>277407</v>
      </c>
      <c r="T1082" s="201">
        <f t="shared" si="112"/>
        <v>182077</v>
      </c>
      <c r="U1082" s="64"/>
    </row>
    <row r="1083" spans="1:21" s="183" customFormat="1" ht="24" customHeight="1">
      <c r="L1083" s="199"/>
      <c r="M1083" s="199"/>
      <c r="N1083" s="200"/>
      <c r="O1083" s="200"/>
      <c r="P1083" s="199"/>
      <c r="Q1083" s="199"/>
      <c r="R1083" s="199"/>
      <c r="S1083" s="199"/>
      <c r="T1083" s="199"/>
      <c r="U1083" s="64"/>
    </row>
    <row r="1084" spans="1:21" s="183" customFormat="1" ht="24" customHeight="1">
      <c r="L1084" s="199"/>
      <c r="M1084" s="199"/>
      <c r="N1084" s="200"/>
      <c r="O1084" s="200"/>
      <c r="P1084" s="199"/>
      <c r="Q1084" s="199"/>
      <c r="R1084" s="199"/>
      <c r="S1084" s="199"/>
      <c r="T1084" s="199"/>
      <c r="U1084" s="64"/>
    </row>
    <row r="1085" spans="1:21" s="275" customFormat="1" ht="24" customHeight="1">
      <c r="A1085" s="478" t="s">
        <v>994</v>
      </c>
      <c r="B1085" s="478"/>
      <c r="C1085" s="478"/>
      <c r="D1085" s="478"/>
      <c r="E1085" s="478"/>
      <c r="F1085" s="478"/>
      <c r="G1085" s="478"/>
      <c r="H1085" s="478"/>
      <c r="I1085" s="478"/>
      <c r="J1085" s="478"/>
      <c r="K1085" s="478"/>
      <c r="L1085" s="276"/>
      <c r="M1085" s="276"/>
      <c r="N1085" s="276"/>
      <c r="O1085" s="276"/>
      <c r="P1085" s="276"/>
      <c r="Q1085" s="276"/>
      <c r="R1085" s="276"/>
      <c r="S1085" s="276"/>
      <c r="T1085" s="276"/>
      <c r="U1085" s="385"/>
    </row>
    <row r="1086" spans="1:21" s="183" customFormat="1" ht="24" customHeight="1">
      <c r="K1086" s="183" t="s">
        <v>587</v>
      </c>
      <c r="L1086" s="213">
        <f t="shared" ref="L1086:T1086" si="113">L229+L552+L659+L887</f>
        <v>349012</v>
      </c>
      <c r="M1086" s="213">
        <f t="shared" si="113"/>
        <v>357790</v>
      </c>
      <c r="N1086" s="214">
        <f t="shared" si="113"/>
        <v>380745</v>
      </c>
      <c r="O1086" s="214">
        <f t="shared" si="113"/>
        <v>359518</v>
      </c>
      <c r="P1086" s="213">
        <f t="shared" si="113"/>
        <v>384269</v>
      </c>
      <c r="Q1086" s="213">
        <f t="shared" si="113"/>
        <v>407324</v>
      </c>
      <c r="R1086" s="213">
        <f t="shared" si="113"/>
        <v>431763</v>
      </c>
      <c r="S1086" s="213">
        <f t="shared" si="113"/>
        <v>457669</v>
      </c>
      <c r="T1086" s="213">
        <f t="shared" si="113"/>
        <v>485129</v>
      </c>
      <c r="U1086" s="64"/>
    </row>
    <row r="1087" spans="1:21" s="183" customFormat="1" ht="24" customHeight="1">
      <c r="L1087" s="199"/>
      <c r="M1087" s="199"/>
      <c r="N1087" s="200"/>
      <c r="O1087" s="200"/>
      <c r="P1087" s="199"/>
      <c r="Q1087" s="199"/>
      <c r="R1087" s="199"/>
      <c r="S1087" s="199"/>
      <c r="T1087" s="199"/>
      <c r="U1087" s="64"/>
    </row>
    <row r="1088" spans="1:21" s="183" customFormat="1" ht="24" customHeight="1">
      <c r="K1088" s="183" t="s">
        <v>588</v>
      </c>
      <c r="L1088" s="213">
        <f t="shared" ref="L1088:T1088" si="114">L228+L551+L658+L886</f>
        <v>13398</v>
      </c>
      <c r="M1088" s="213">
        <f t="shared" si="114"/>
        <v>8173</v>
      </c>
      <c r="N1088" s="214">
        <f t="shared" si="114"/>
        <v>23750</v>
      </c>
      <c r="O1088" s="214">
        <f t="shared" si="114"/>
        <v>12105</v>
      </c>
      <c r="P1088" s="199">
        <f t="shared" si="114"/>
        <v>18500</v>
      </c>
      <c r="Q1088" s="199">
        <f t="shared" si="114"/>
        <v>18500</v>
      </c>
      <c r="R1088" s="199">
        <f t="shared" si="114"/>
        <v>18500</v>
      </c>
      <c r="S1088" s="199">
        <f t="shared" si="114"/>
        <v>18500</v>
      </c>
      <c r="T1088" s="199">
        <f t="shared" si="114"/>
        <v>18500</v>
      </c>
      <c r="U1088" s="64"/>
    </row>
    <row r="1089" spans="1:21" s="183" customFormat="1" ht="24" customHeight="1">
      <c r="L1089" s="213"/>
      <c r="M1089" s="213"/>
      <c r="N1089" s="214"/>
      <c r="O1089" s="214"/>
      <c r="P1089" s="199"/>
      <c r="Q1089" s="199"/>
      <c r="R1089" s="199"/>
      <c r="S1089" s="199"/>
      <c r="T1089" s="199"/>
      <c r="U1089" s="64"/>
    </row>
    <row r="1090" spans="1:21" s="183" customFormat="1" ht="24" customHeight="1">
      <c r="E1090" s="189"/>
      <c r="F1090" s="189"/>
      <c r="G1090" s="189"/>
      <c r="H1090" s="189"/>
      <c r="I1090" s="480" t="s">
        <v>627</v>
      </c>
      <c r="J1090" s="480"/>
      <c r="K1090" s="463" t="s">
        <v>589</v>
      </c>
      <c r="L1090" s="199">
        <f t="shared" ref="L1090:T1090" si="115">L67+L93+L121+L158+L185+L547+L654+L790+L820+L230</f>
        <v>1348553</v>
      </c>
      <c r="M1090" s="199">
        <f t="shared" si="115"/>
        <v>1449504</v>
      </c>
      <c r="N1090" s="200">
        <f t="shared" si="115"/>
        <v>1556961</v>
      </c>
      <c r="O1090" s="200">
        <f t="shared" si="115"/>
        <v>1412978</v>
      </c>
      <c r="P1090" s="199">
        <f t="shared" si="115"/>
        <v>1669411</v>
      </c>
      <c r="Q1090" s="199">
        <f t="shared" si="115"/>
        <v>1859390</v>
      </c>
      <c r="R1090" s="199">
        <f t="shared" si="115"/>
        <v>2001851</v>
      </c>
      <c r="S1090" s="199">
        <f t="shared" si="115"/>
        <v>2195543</v>
      </c>
      <c r="T1090" s="199">
        <f t="shared" si="115"/>
        <v>2405744</v>
      </c>
      <c r="U1090" s="64"/>
    </row>
    <row r="1091" spans="1:21" s="183" customFormat="1" ht="24" customHeight="1">
      <c r="J1091" s="270"/>
      <c r="L1091" s="213"/>
      <c r="M1091" s="213"/>
      <c r="N1091" s="200"/>
      <c r="O1091" s="200"/>
      <c r="P1091" s="199"/>
      <c r="Q1091" s="199"/>
      <c r="R1091" s="199"/>
      <c r="S1091" s="199"/>
      <c r="T1091" s="199"/>
      <c r="U1091" s="64"/>
    </row>
    <row r="1092" spans="1:21" s="183" customFormat="1" ht="24" customHeight="1">
      <c r="E1092" s="189"/>
      <c r="F1092" s="189"/>
      <c r="G1092" s="189"/>
      <c r="H1092" s="189"/>
      <c r="I1092" s="480" t="s">
        <v>627</v>
      </c>
      <c r="J1092" s="480"/>
      <c r="K1092" s="463" t="s">
        <v>590</v>
      </c>
      <c r="L1092" s="199">
        <f t="shared" ref="L1092:T1092" si="116">L69+L95+L123+L160+L187+L549+L656+L792+L822+L231</f>
        <v>102393</v>
      </c>
      <c r="M1092" s="199">
        <f t="shared" si="116"/>
        <v>104207</v>
      </c>
      <c r="N1092" s="200">
        <f t="shared" si="116"/>
        <v>104404</v>
      </c>
      <c r="O1092" s="200">
        <f t="shared" si="116"/>
        <v>99938</v>
      </c>
      <c r="P1092" s="199">
        <f t="shared" si="116"/>
        <v>111422</v>
      </c>
      <c r="Q1092" s="199">
        <f t="shared" si="116"/>
        <v>120718</v>
      </c>
      <c r="R1092" s="199">
        <f t="shared" si="116"/>
        <v>128388</v>
      </c>
      <c r="S1092" s="199">
        <f t="shared" si="116"/>
        <v>136782</v>
      </c>
      <c r="T1092" s="199">
        <f t="shared" si="116"/>
        <v>145831</v>
      </c>
      <c r="U1092" s="64"/>
    </row>
    <row r="1093" spans="1:21" s="183" customFormat="1" ht="24" customHeight="1">
      <c r="I1093" s="463"/>
      <c r="J1093" s="270"/>
      <c r="K1093" s="463"/>
      <c r="L1093" s="213"/>
      <c r="M1093" s="213"/>
      <c r="N1093" s="200"/>
      <c r="O1093" s="200"/>
      <c r="P1093" s="199"/>
      <c r="Q1093" s="199"/>
      <c r="R1093" s="199"/>
      <c r="S1093" s="199"/>
      <c r="T1093" s="199"/>
      <c r="U1093" s="64"/>
    </row>
    <row r="1094" spans="1:21" s="183" customFormat="1" ht="24" customHeight="1">
      <c r="E1094" s="189"/>
      <c r="F1094" s="189"/>
      <c r="G1094" s="189"/>
      <c r="H1094" s="189"/>
      <c r="I1094" s="480" t="s">
        <v>627</v>
      </c>
      <c r="J1094" s="480"/>
      <c r="K1094" s="463" t="s">
        <v>591</v>
      </c>
      <c r="L1094" s="199">
        <f t="shared" ref="L1094:T1094" si="117">L70+L96+L124+L161+L188+L550+L657+L793+L823+L232</f>
        <v>12559</v>
      </c>
      <c r="M1094" s="199">
        <f t="shared" si="117"/>
        <v>14325</v>
      </c>
      <c r="N1094" s="200">
        <f t="shared" si="117"/>
        <v>14846</v>
      </c>
      <c r="O1094" s="200">
        <f t="shared" si="117"/>
        <v>14209</v>
      </c>
      <c r="P1094" s="199">
        <f t="shared" si="117"/>
        <v>15779</v>
      </c>
      <c r="Q1094" s="199">
        <f t="shared" si="117"/>
        <v>16251</v>
      </c>
      <c r="R1094" s="199">
        <f t="shared" si="117"/>
        <v>16919</v>
      </c>
      <c r="S1094" s="199">
        <f t="shared" si="117"/>
        <v>17656</v>
      </c>
      <c r="T1094" s="199">
        <f t="shared" si="117"/>
        <v>18445</v>
      </c>
      <c r="U1094" s="64"/>
    </row>
    <row r="1095" spans="1:21" s="183" customFormat="1" ht="24" customHeight="1">
      <c r="I1095" s="270"/>
      <c r="J1095" s="270"/>
      <c r="L1095" s="229"/>
      <c r="M1095" s="229"/>
      <c r="N1095" s="228"/>
      <c r="O1095" s="228"/>
      <c r="P1095" s="229"/>
      <c r="Q1095" s="229"/>
      <c r="R1095" s="229"/>
      <c r="S1095" s="229"/>
      <c r="T1095" s="229"/>
      <c r="U1095" s="64"/>
    </row>
    <row r="1096" spans="1:21" s="183" customFormat="1" ht="24" customHeight="1">
      <c r="I1096" s="271"/>
      <c r="J1096" s="271"/>
      <c r="K1096" s="271"/>
      <c r="L1096" s="213"/>
      <c r="M1096" s="213"/>
      <c r="N1096" s="214"/>
      <c r="O1096" s="214"/>
      <c r="P1096" s="199"/>
      <c r="Q1096" s="199"/>
      <c r="R1096" s="199"/>
      <c r="S1096" s="199"/>
      <c r="T1096" s="199"/>
      <c r="U1096" s="64"/>
    </row>
    <row r="1097" spans="1:21" s="183" customFormat="1" ht="24" customHeight="1">
      <c r="I1097" s="481" t="s">
        <v>581</v>
      </c>
      <c r="J1097" s="481"/>
      <c r="K1097" s="271" t="s">
        <v>589</v>
      </c>
      <c r="L1097" s="213">
        <f t="shared" ref="L1097:T1097" si="118">L882</f>
        <v>74462</v>
      </c>
      <c r="M1097" s="213">
        <f t="shared" si="118"/>
        <v>65658</v>
      </c>
      <c r="N1097" s="200">
        <f t="shared" si="118"/>
        <v>79318</v>
      </c>
      <c r="O1097" s="200">
        <f t="shared" si="118"/>
        <v>73931</v>
      </c>
      <c r="P1097" s="199">
        <f t="shared" si="118"/>
        <v>81184</v>
      </c>
      <c r="Q1097" s="199">
        <f t="shared" si="118"/>
        <v>87679</v>
      </c>
      <c r="R1097" s="199">
        <f t="shared" si="118"/>
        <v>94693</v>
      </c>
      <c r="S1097" s="199">
        <f t="shared" si="118"/>
        <v>102268</v>
      </c>
      <c r="T1097" s="199">
        <f t="shared" si="118"/>
        <v>110449</v>
      </c>
      <c r="U1097" s="64"/>
    </row>
    <row r="1098" spans="1:21" s="251" customFormat="1" ht="24" customHeight="1">
      <c r="I1098" s="252"/>
      <c r="J1098" s="252"/>
      <c r="K1098" s="463"/>
      <c r="L1098" s="201"/>
      <c r="M1098" s="201"/>
      <c r="N1098" s="202"/>
      <c r="O1098" s="202"/>
      <c r="P1098" s="201"/>
      <c r="Q1098" s="201"/>
      <c r="R1098" s="201"/>
      <c r="S1098" s="201"/>
      <c r="T1098" s="201"/>
      <c r="U1098" s="344"/>
    </row>
    <row r="1099" spans="1:21" s="251" customFormat="1" ht="24" customHeight="1">
      <c r="I1099" s="481" t="s">
        <v>581</v>
      </c>
      <c r="J1099" s="481"/>
      <c r="K1099" s="463" t="s">
        <v>590</v>
      </c>
      <c r="L1099" s="199">
        <f t="shared" ref="L1099:T1099" si="119">L884</f>
        <v>5286</v>
      </c>
      <c r="M1099" s="199">
        <f t="shared" si="119"/>
        <v>4672</v>
      </c>
      <c r="N1099" s="200">
        <f t="shared" si="119"/>
        <v>4652</v>
      </c>
      <c r="O1099" s="200">
        <f t="shared" si="119"/>
        <v>6699</v>
      </c>
      <c r="P1099" s="199">
        <f t="shared" si="119"/>
        <v>6987</v>
      </c>
      <c r="Q1099" s="199">
        <f t="shared" si="119"/>
        <v>7336</v>
      </c>
      <c r="R1099" s="199">
        <f t="shared" si="119"/>
        <v>7703</v>
      </c>
      <c r="S1099" s="199">
        <f t="shared" si="119"/>
        <v>8088</v>
      </c>
      <c r="T1099" s="199">
        <f t="shared" si="119"/>
        <v>8492</v>
      </c>
      <c r="U1099" s="388"/>
    </row>
    <row r="1100" spans="1:21" s="251" customFormat="1" ht="24" customHeight="1">
      <c r="I1100" s="252"/>
      <c r="J1100" s="252"/>
      <c r="K1100" s="463"/>
      <c r="L1100" s="199"/>
      <c r="M1100" s="199"/>
      <c r="N1100" s="200"/>
      <c r="O1100" s="200"/>
      <c r="P1100" s="199"/>
      <c r="Q1100" s="199"/>
      <c r="R1100" s="199"/>
      <c r="S1100" s="199"/>
      <c r="T1100" s="199"/>
      <c r="U1100" s="344"/>
    </row>
    <row r="1101" spans="1:21" s="251" customFormat="1" ht="24" customHeight="1">
      <c r="I1101" s="481" t="s">
        <v>581</v>
      </c>
      <c r="J1101" s="481"/>
      <c r="K1101" s="463" t="s">
        <v>591</v>
      </c>
      <c r="L1101" s="199">
        <f t="shared" ref="L1101:T1101" si="120">L885</f>
        <v>651</v>
      </c>
      <c r="M1101" s="199">
        <f t="shared" si="120"/>
        <v>637</v>
      </c>
      <c r="N1101" s="200">
        <f t="shared" si="120"/>
        <v>701</v>
      </c>
      <c r="O1101" s="200">
        <f t="shared" si="120"/>
        <v>973</v>
      </c>
      <c r="P1101" s="199">
        <f t="shared" si="120"/>
        <v>1012</v>
      </c>
      <c r="Q1101" s="199">
        <f t="shared" si="120"/>
        <v>1012</v>
      </c>
      <c r="R1101" s="199">
        <f t="shared" si="120"/>
        <v>1042</v>
      </c>
      <c r="S1101" s="199">
        <f t="shared" si="120"/>
        <v>1073</v>
      </c>
      <c r="T1101" s="199">
        <f t="shared" si="120"/>
        <v>1105</v>
      </c>
      <c r="U1101" s="344"/>
    </row>
    <row r="1102" spans="1:21" s="251" customFormat="1" ht="24" customHeight="1">
      <c r="I1102" s="252"/>
      <c r="J1102" s="252"/>
      <c r="L1102" s="201"/>
      <c r="M1102" s="201"/>
      <c r="N1102" s="202"/>
      <c r="O1102" s="202"/>
      <c r="P1102" s="201"/>
      <c r="Q1102" s="201"/>
      <c r="R1102" s="201"/>
      <c r="S1102" s="201"/>
      <c r="T1102" s="201"/>
      <c r="U1102" s="344"/>
    </row>
    <row r="1103" spans="1:21" s="183" customFormat="1" ht="24" customHeight="1">
      <c r="I1103" s="270"/>
      <c r="J1103" s="270"/>
      <c r="L1103" s="213"/>
      <c r="M1103" s="213"/>
      <c r="N1103" s="200"/>
      <c r="O1103" s="200"/>
      <c r="P1103" s="199"/>
      <c r="Q1103" s="199"/>
      <c r="R1103" s="199"/>
      <c r="S1103" s="199"/>
      <c r="T1103" s="199"/>
      <c r="U1103" s="64"/>
    </row>
    <row r="1104" spans="1:21" s="275" customFormat="1" ht="24" customHeight="1">
      <c r="A1104" s="478" t="s">
        <v>903</v>
      </c>
      <c r="B1104" s="478"/>
      <c r="C1104" s="478"/>
      <c r="D1104" s="478"/>
      <c r="E1104" s="478"/>
      <c r="F1104" s="478"/>
      <c r="G1104" s="478"/>
      <c r="H1104" s="478"/>
      <c r="I1104" s="478"/>
      <c r="J1104" s="478"/>
      <c r="K1104" s="478"/>
      <c r="L1104" s="277"/>
      <c r="M1104" s="277"/>
      <c r="N1104" s="277"/>
      <c r="O1104" s="277"/>
      <c r="P1104" s="277"/>
      <c r="Q1104" s="277"/>
      <c r="R1104" s="276"/>
      <c r="S1104" s="276"/>
      <c r="T1104" s="276"/>
      <c r="U1104" s="385"/>
    </row>
    <row r="1105" spans="6:21" s="183" customFormat="1" ht="24" customHeight="1">
      <c r="I1105" s="270"/>
      <c r="J1105" s="270"/>
      <c r="K1105" s="183" t="s">
        <v>904</v>
      </c>
      <c r="L1105" s="213">
        <f t="shared" ref="L1105:T1105" si="121">L9</f>
        <v>2206925</v>
      </c>
      <c r="M1105" s="213">
        <f t="shared" si="121"/>
        <v>2129984</v>
      </c>
      <c r="N1105" s="214">
        <f t="shared" si="121"/>
        <v>2191279</v>
      </c>
      <c r="O1105" s="214">
        <f t="shared" si="121"/>
        <v>2191159</v>
      </c>
      <c r="P1105" s="213">
        <f t="shared" si="121"/>
        <v>2119323</v>
      </c>
      <c r="Q1105" s="213">
        <f t="shared" si="121"/>
        <v>2161709</v>
      </c>
      <c r="R1105" s="213">
        <f t="shared" si="121"/>
        <v>2204943</v>
      </c>
      <c r="S1105" s="213">
        <f t="shared" si="121"/>
        <v>2249042</v>
      </c>
      <c r="T1105" s="213">
        <f t="shared" si="121"/>
        <v>2294023</v>
      </c>
      <c r="U1105" s="64"/>
    </row>
    <row r="1106" spans="6:21" s="183" customFormat="1" ht="24" customHeight="1">
      <c r="I1106" s="270"/>
      <c r="J1106" s="270"/>
      <c r="K1106" s="183" t="s">
        <v>905</v>
      </c>
      <c r="L1106" s="230">
        <f t="shared" ref="L1106:T1106" si="122">L10</f>
        <v>817490</v>
      </c>
      <c r="M1106" s="230">
        <f t="shared" si="122"/>
        <v>963908</v>
      </c>
      <c r="N1106" s="231">
        <f t="shared" si="122"/>
        <v>958544</v>
      </c>
      <c r="O1106" s="231">
        <f t="shared" si="122"/>
        <v>958476</v>
      </c>
      <c r="P1106" s="230">
        <f t="shared" si="122"/>
        <v>1105927</v>
      </c>
      <c r="Q1106" s="230">
        <f t="shared" si="122"/>
        <v>1155927</v>
      </c>
      <c r="R1106" s="230">
        <f t="shared" si="122"/>
        <v>1205927</v>
      </c>
      <c r="S1106" s="230">
        <f t="shared" si="122"/>
        <v>1255927</v>
      </c>
      <c r="T1106" s="230">
        <f t="shared" si="122"/>
        <v>1305927</v>
      </c>
      <c r="U1106" s="288"/>
    </row>
    <row r="1107" spans="6:21" s="183" customFormat="1" ht="24" customHeight="1">
      <c r="I1107" s="270"/>
      <c r="J1107" s="270"/>
      <c r="L1107" s="213"/>
      <c r="M1107" s="213"/>
      <c r="N1107" s="214"/>
      <c r="O1107" s="214"/>
      <c r="P1107" s="213"/>
      <c r="Q1107" s="213"/>
      <c r="R1107" s="213"/>
      <c r="S1107" s="213"/>
      <c r="T1107" s="213"/>
      <c r="U1107" s="288"/>
    </row>
    <row r="1108" spans="6:21" s="267" customFormat="1" ht="24" customHeight="1">
      <c r="I1108" s="269"/>
      <c r="J1108" s="269"/>
      <c r="K1108" s="267" t="s">
        <v>907</v>
      </c>
      <c r="L1108" s="213">
        <f t="shared" ref="L1108:T1108" si="123">SUM(L1105:L1107)</f>
        <v>3024415</v>
      </c>
      <c r="M1108" s="213">
        <f t="shared" si="123"/>
        <v>3093892</v>
      </c>
      <c r="N1108" s="214">
        <f t="shared" si="123"/>
        <v>3149823</v>
      </c>
      <c r="O1108" s="214">
        <f t="shared" si="123"/>
        <v>3149635</v>
      </c>
      <c r="P1108" s="213">
        <f>SUM(P1105:P1107)</f>
        <v>3225250</v>
      </c>
      <c r="Q1108" s="213">
        <f t="shared" si="123"/>
        <v>3317636</v>
      </c>
      <c r="R1108" s="213">
        <f t="shared" si="123"/>
        <v>3410870</v>
      </c>
      <c r="S1108" s="213">
        <f t="shared" si="123"/>
        <v>3504969</v>
      </c>
      <c r="T1108" s="213">
        <f t="shared" si="123"/>
        <v>3599950</v>
      </c>
      <c r="U1108" s="394"/>
    </row>
    <row r="1109" spans="6:21" s="267" customFormat="1" ht="24" customHeight="1">
      <c r="I1109" s="269"/>
      <c r="J1109" s="269"/>
      <c r="L1109" s="220">
        <f>(L1108-2901255)/2901255</f>
        <v>4.2450594656450395E-2</v>
      </c>
      <c r="M1109" s="220">
        <f>(M1108-L1108)/L1108</f>
        <v>2.2972045833657088E-2</v>
      </c>
      <c r="N1109" s="221">
        <f>(N1108-M1108)/M1108</f>
        <v>1.8077877314398822E-2</v>
      </c>
      <c r="O1109" s="221">
        <f>(O1108-M1108)/M1108</f>
        <v>1.8017112426678111E-2</v>
      </c>
      <c r="P1109" s="220">
        <f>(P1108-O1108)/O1108</f>
        <v>2.4007543731257748E-2</v>
      </c>
      <c r="Q1109" s="220">
        <f>(Q1108-P1108)/P1108</f>
        <v>2.8644601193705915E-2</v>
      </c>
      <c r="R1109" s="220">
        <f>(R1108-Q1108)/Q1108</f>
        <v>2.8102540483645584E-2</v>
      </c>
      <c r="S1109" s="220">
        <f>(S1108-R1108)/R1108</f>
        <v>2.7587976088212098E-2</v>
      </c>
      <c r="T1109" s="220">
        <f>(T1108-S1108)/S1108</f>
        <v>2.7098955796755978E-2</v>
      </c>
      <c r="U1109" s="394"/>
    </row>
    <row r="1110" spans="6:21" s="267" customFormat="1" ht="24" customHeight="1">
      <c r="I1110" s="269"/>
      <c r="J1110" s="269"/>
      <c r="L1110" s="239"/>
      <c r="M1110" s="239"/>
      <c r="N1110" s="240"/>
      <c r="O1110" s="240"/>
      <c r="P1110" s="239"/>
      <c r="Q1110" s="239"/>
      <c r="R1110" s="239"/>
      <c r="S1110" s="239"/>
      <c r="T1110" s="239"/>
      <c r="U1110" s="394"/>
    </row>
    <row r="1111" spans="6:21" s="183" customFormat="1" ht="24" customHeight="1">
      <c r="F1111" s="485" t="s">
        <v>603</v>
      </c>
      <c r="G1111" s="485"/>
      <c r="H1111" s="485"/>
      <c r="I1111" s="485"/>
      <c r="J1111" s="485"/>
      <c r="K1111" s="485"/>
      <c r="L1111" s="234">
        <f t="shared" ref="L1111:T1111" si="124">L500</f>
        <v>47070</v>
      </c>
      <c r="M1111" s="234">
        <f t="shared" si="124"/>
        <v>0</v>
      </c>
      <c r="N1111" s="233">
        <f t="shared" si="124"/>
        <v>0</v>
      </c>
      <c r="O1111" s="233">
        <f t="shared" si="124"/>
        <v>0</v>
      </c>
      <c r="P1111" s="234">
        <f t="shared" si="124"/>
        <v>0</v>
      </c>
      <c r="Q1111" s="234">
        <f t="shared" si="124"/>
        <v>0</v>
      </c>
      <c r="R1111" s="234">
        <f t="shared" si="124"/>
        <v>0</v>
      </c>
      <c r="S1111" s="234">
        <f t="shared" si="124"/>
        <v>0</v>
      </c>
      <c r="T1111" s="234">
        <f t="shared" si="124"/>
        <v>0</v>
      </c>
      <c r="U1111" s="64"/>
    </row>
    <row r="1112" spans="6:21" s="183" customFormat="1" ht="24" customHeight="1">
      <c r="F1112" s="354"/>
      <c r="G1112" s="354"/>
      <c r="H1112" s="354"/>
      <c r="I1112" s="354"/>
      <c r="J1112" s="354"/>
      <c r="K1112" s="354"/>
      <c r="L1112" s="260">
        <f>(L1111-333194)/333194</f>
        <v>-0.85873094953690643</v>
      </c>
      <c r="M1112" s="260">
        <f>(M1111-L1111)/L1111</f>
        <v>-1</v>
      </c>
      <c r="N1112" s="366"/>
      <c r="O1112" s="366"/>
      <c r="P1112" s="367"/>
      <c r="Q1112" s="367"/>
      <c r="R1112" s="367"/>
      <c r="S1112" s="367"/>
      <c r="T1112" s="367"/>
      <c r="U1112" s="64"/>
    </row>
    <row r="1113" spans="6:21" s="183" customFormat="1" ht="24" customHeight="1">
      <c r="F1113" s="354"/>
      <c r="G1113" s="354"/>
      <c r="H1113" s="354"/>
      <c r="I1113" s="354"/>
      <c r="J1113" s="354"/>
      <c r="K1113" s="354"/>
      <c r="L1113" s="260"/>
      <c r="M1113" s="260"/>
      <c r="N1113" s="366"/>
      <c r="O1113" s="366"/>
      <c r="P1113" s="260"/>
      <c r="Q1113" s="260"/>
      <c r="R1113" s="260"/>
      <c r="S1113" s="367"/>
      <c r="T1113" s="367"/>
      <c r="U1113" s="64"/>
    </row>
    <row r="1114" spans="6:21" s="183" customFormat="1" ht="24" customHeight="1">
      <c r="F1114" s="354"/>
      <c r="G1114" s="354"/>
      <c r="H1114" s="354"/>
      <c r="I1114" s="354"/>
      <c r="J1114" s="354"/>
      <c r="K1114" s="355" t="s">
        <v>906</v>
      </c>
      <c r="L1114" s="256">
        <f>L1108+L1111</f>
        <v>3071485</v>
      </c>
      <c r="M1114" s="256">
        <f t="shared" ref="M1114:T1114" si="125">M1108+M1111</f>
        <v>3093892</v>
      </c>
      <c r="N1114" s="365">
        <f t="shared" si="125"/>
        <v>3149823</v>
      </c>
      <c r="O1114" s="365">
        <f t="shared" si="125"/>
        <v>3149635</v>
      </c>
      <c r="P1114" s="256">
        <f t="shared" si="125"/>
        <v>3225250</v>
      </c>
      <c r="Q1114" s="256">
        <f t="shared" si="125"/>
        <v>3317636</v>
      </c>
      <c r="R1114" s="256">
        <f t="shared" si="125"/>
        <v>3410870</v>
      </c>
      <c r="S1114" s="256">
        <f t="shared" si="125"/>
        <v>3504969</v>
      </c>
      <c r="T1114" s="256">
        <f t="shared" si="125"/>
        <v>3599950</v>
      </c>
      <c r="U1114" s="64"/>
    </row>
    <row r="1115" spans="6:21" s="183" customFormat="1" ht="24" customHeight="1">
      <c r="F1115" s="354"/>
      <c r="G1115" s="354"/>
      <c r="H1115" s="354"/>
      <c r="I1115" s="354"/>
      <c r="J1115" s="354"/>
      <c r="K1115" s="355"/>
      <c r="L1115" s="371">
        <f>(L1114-3234449)/3234449</f>
        <v>-5.038385208732616E-2</v>
      </c>
      <c r="M1115" s="371">
        <f>(M1114-L1114)/L1114</f>
        <v>7.2951682980708027E-3</v>
      </c>
      <c r="N1115" s="372">
        <f>(N1114-M1114)/M1114</f>
        <v>1.8077877314398822E-2</v>
      </c>
      <c r="O1115" s="372">
        <f>(O1114-M1114)/M1114</f>
        <v>1.8017112426678111E-2</v>
      </c>
      <c r="P1115" s="371">
        <f>(P1114-O1114)/O1114</f>
        <v>2.4007543731257748E-2</v>
      </c>
      <c r="Q1115" s="371">
        <f>(Q1114-P1114)/P1114</f>
        <v>2.8644601193705915E-2</v>
      </c>
      <c r="R1115" s="371">
        <f>(R1114-Q1114)/Q1114</f>
        <v>2.8102540483645584E-2</v>
      </c>
      <c r="S1115" s="371">
        <f>(S1114-R1114)/R1114</f>
        <v>2.7587976088212098E-2</v>
      </c>
      <c r="T1115" s="371">
        <f>(T1114-S1114)/S1114</f>
        <v>2.7098955796755978E-2</v>
      </c>
      <c r="U1115" s="64"/>
    </row>
    <row r="1116" spans="6:21" s="183" customFormat="1" ht="24" customHeight="1">
      <c r="F1116" s="354"/>
      <c r="G1116" s="354"/>
      <c r="H1116" s="354"/>
      <c r="I1116" s="354"/>
      <c r="J1116" s="354"/>
      <c r="K1116" s="354"/>
      <c r="L1116" s="220"/>
      <c r="M1116" s="220"/>
      <c r="N1116" s="221"/>
      <c r="O1116" s="221"/>
      <c r="P1116" s="220"/>
      <c r="Q1116" s="220"/>
      <c r="R1116" s="220"/>
      <c r="S1116" s="328"/>
      <c r="T1116" s="328"/>
      <c r="U1116" s="64"/>
    </row>
    <row r="1117" spans="6:21" s="183" customFormat="1" ht="24" customHeight="1">
      <c r="F1117" s="354"/>
      <c r="G1117" s="354"/>
      <c r="H1117" s="354"/>
      <c r="I1117" s="354"/>
      <c r="J1117" s="354"/>
      <c r="K1117" s="354" t="s">
        <v>517</v>
      </c>
      <c r="L1117" s="273">
        <f t="shared" ref="L1117:T1117" si="126">L860</f>
        <v>626183</v>
      </c>
      <c r="M1117" s="273">
        <f t="shared" si="126"/>
        <v>644025</v>
      </c>
      <c r="N1117" s="364">
        <f t="shared" si="126"/>
        <v>672505</v>
      </c>
      <c r="O1117" s="364">
        <f t="shared" si="126"/>
        <v>669065</v>
      </c>
      <c r="P1117" s="273">
        <f t="shared" si="126"/>
        <v>699220</v>
      </c>
      <c r="Q1117" s="273">
        <f t="shared" si="126"/>
        <v>713204</v>
      </c>
      <c r="R1117" s="273">
        <f t="shared" si="126"/>
        <v>727468</v>
      </c>
      <c r="S1117" s="273">
        <f t="shared" si="126"/>
        <v>742017</v>
      </c>
      <c r="T1117" s="273">
        <f t="shared" si="126"/>
        <v>756857</v>
      </c>
      <c r="U1117" s="64"/>
    </row>
    <row r="1118" spans="6:21" s="183" customFormat="1" ht="24" customHeight="1">
      <c r="F1118" s="354"/>
      <c r="G1118" s="354"/>
      <c r="H1118" s="354"/>
      <c r="I1118" s="354"/>
      <c r="J1118" s="354"/>
      <c r="K1118" s="354" t="s">
        <v>449</v>
      </c>
      <c r="L1118" s="362">
        <f t="shared" ref="L1118:T1118" si="127">L861</f>
        <v>745908</v>
      </c>
      <c r="M1118" s="362">
        <f t="shared" si="127"/>
        <v>758634</v>
      </c>
      <c r="N1118" s="363">
        <f t="shared" si="127"/>
        <v>792101</v>
      </c>
      <c r="O1118" s="363">
        <f t="shared" si="127"/>
        <v>788022</v>
      </c>
      <c r="P1118" s="362">
        <f t="shared" si="127"/>
        <v>793028</v>
      </c>
      <c r="Q1118" s="362">
        <f t="shared" si="127"/>
        <v>822953</v>
      </c>
      <c r="R1118" s="362">
        <f t="shared" si="127"/>
        <v>836024</v>
      </c>
      <c r="S1118" s="362">
        <f t="shared" si="127"/>
        <v>843076</v>
      </c>
      <c r="T1118" s="362">
        <f t="shared" si="127"/>
        <v>862416</v>
      </c>
      <c r="U1118" s="64"/>
    </row>
    <row r="1119" spans="6:21" s="183" customFormat="1" ht="24" customHeight="1">
      <c r="F1119" s="354"/>
      <c r="G1119" s="354"/>
      <c r="H1119" s="354"/>
      <c r="I1119" s="354"/>
      <c r="J1119" s="354"/>
      <c r="K1119" s="355" t="s">
        <v>1084</v>
      </c>
      <c r="L1119" s="256">
        <f>L1117+L1118</f>
        <v>1372091</v>
      </c>
      <c r="M1119" s="256">
        <f t="shared" ref="M1119:T1119" si="128">M1117+M1118</f>
        <v>1402659</v>
      </c>
      <c r="N1119" s="365">
        <f t="shared" si="128"/>
        <v>1464606</v>
      </c>
      <c r="O1119" s="365">
        <f t="shared" si="128"/>
        <v>1457087</v>
      </c>
      <c r="P1119" s="256">
        <f t="shared" si="128"/>
        <v>1492248</v>
      </c>
      <c r="Q1119" s="256">
        <f t="shared" si="128"/>
        <v>1536157</v>
      </c>
      <c r="R1119" s="256">
        <f t="shared" si="128"/>
        <v>1563492</v>
      </c>
      <c r="S1119" s="256">
        <f t="shared" si="128"/>
        <v>1585093</v>
      </c>
      <c r="T1119" s="256">
        <f t="shared" si="128"/>
        <v>1619273</v>
      </c>
      <c r="U1119" s="64"/>
    </row>
    <row r="1120" spans="6:21" s="183" customFormat="1" ht="24" customHeight="1">
      <c r="F1120" s="354"/>
      <c r="G1120" s="354"/>
      <c r="H1120" s="354"/>
      <c r="I1120" s="354"/>
      <c r="J1120" s="354"/>
      <c r="K1120" s="355"/>
      <c r="L1120" s="356"/>
      <c r="M1120" s="356"/>
      <c r="N1120" s="357"/>
      <c r="O1120" s="357"/>
      <c r="P1120" s="356"/>
      <c r="Q1120" s="356"/>
      <c r="R1120" s="356"/>
      <c r="S1120" s="356"/>
      <c r="T1120" s="356"/>
      <c r="U1120" s="64"/>
    </row>
    <row r="1121" spans="1:21" s="183" customFormat="1" ht="24" customHeight="1">
      <c r="F1121" s="354"/>
      <c r="G1121" s="354"/>
      <c r="H1121" s="354"/>
      <c r="I1121" s="354"/>
      <c r="J1121" s="354"/>
      <c r="K1121" s="355" t="s">
        <v>1099</v>
      </c>
      <c r="L1121" s="362">
        <f t="shared" ref="L1121:T1121" si="129">L275+L293</f>
        <v>27719</v>
      </c>
      <c r="M1121" s="362">
        <f t="shared" si="129"/>
        <v>22846</v>
      </c>
      <c r="N1121" s="363">
        <f t="shared" si="129"/>
        <v>29018</v>
      </c>
      <c r="O1121" s="363">
        <f t="shared" si="129"/>
        <v>29020</v>
      </c>
      <c r="P1121" s="362">
        <f t="shared" si="129"/>
        <v>31521</v>
      </c>
      <c r="Q1121" s="362">
        <f t="shared" si="129"/>
        <v>34685</v>
      </c>
      <c r="R1121" s="362">
        <f t="shared" si="129"/>
        <v>34685</v>
      </c>
      <c r="S1121" s="362">
        <f t="shared" si="129"/>
        <v>34685</v>
      </c>
      <c r="T1121" s="362">
        <f t="shared" si="129"/>
        <v>34685</v>
      </c>
      <c r="U1121" s="64"/>
    </row>
    <row r="1122" spans="1:21" s="183" customFormat="1" ht="24" customHeight="1">
      <c r="F1122" s="354"/>
      <c r="G1122" s="354"/>
      <c r="H1122" s="354"/>
      <c r="I1122" s="354"/>
      <c r="J1122" s="354"/>
      <c r="K1122" s="355"/>
      <c r="L1122" s="257">
        <f>(L1121-25953)/25953</f>
        <v>6.8046083304434943E-2</v>
      </c>
      <c r="M1122" s="257">
        <f>(M1121-L1121)/L1121</f>
        <v>-0.17579999278473249</v>
      </c>
      <c r="N1122" s="368">
        <f>(N1121-M1121)/M1121</f>
        <v>0.27015670139192854</v>
      </c>
      <c r="O1122" s="368">
        <f>(O1121-M1121)/M1121</f>
        <v>0.27024424406898362</v>
      </c>
      <c r="P1122" s="257">
        <f>(P1121-O1121)/O1121</f>
        <v>8.6181943487250168E-2</v>
      </c>
      <c r="Q1122" s="257">
        <f>(Q1121-P1121)/P1121</f>
        <v>0.10037752609371529</v>
      </c>
      <c r="R1122" s="257">
        <v>0</v>
      </c>
      <c r="S1122" s="257">
        <v>0</v>
      </c>
      <c r="T1122" s="257">
        <v>0</v>
      </c>
      <c r="U1122" s="64"/>
    </row>
    <row r="1123" spans="1:21" s="183" customFormat="1" ht="24" customHeight="1">
      <c r="F1123" s="354"/>
      <c r="G1123" s="354"/>
      <c r="H1123" s="354"/>
      <c r="I1123" s="354"/>
      <c r="J1123" s="354"/>
      <c r="K1123" s="355"/>
      <c r="L1123" s="356"/>
      <c r="M1123" s="356"/>
      <c r="N1123" s="357"/>
      <c r="O1123" s="357"/>
      <c r="P1123" s="356"/>
      <c r="Q1123" s="356"/>
      <c r="R1123" s="356"/>
      <c r="S1123" s="356"/>
      <c r="T1123" s="356"/>
      <c r="U1123" s="64"/>
    </row>
    <row r="1124" spans="1:21" s="268" customFormat="1" ht="24" customHeight="1">
      <c r="A1124" s="478" t="s">
        <v>1293</v>
      </c>
      <c r="B1124" s="478"/>
      <c r="C1124" s="478"/>
      <c r="D1124" s="478"/>
      <c r="E1124" s="478"/>
      <c r="F1124" s="478"/>
      <c r="G1124" s="478"/>
      <c r="H1124" s="478"/>
      <c r="I1124" s="478"/>
      <c r="J1124" s="478"/>
      <c r="K1124" s="478"/>
      <c r="L1124" s="277"/>
      <c r="M1124" s="277"/>
      <c r="N1124" s="277"/>
      <c r="O1124" s="277"/>
      <c r="P1124" s="277"/>
      <c r="Q1124" s="276"/>
      <c r="R1124" s="276"/>
      <c r="S1124" s="276"/>
      <c r="T1124" s="276"/>
      <c r="U1124" s="385"/>
    </row>
    <row r="1125" spans="1:21" s="183" customFormat="1" ht="24" customHeight="1">
      <c r="F1125" s="354"/>
      <c r="G1125" s="354"/>
      <c r="H1125" s="354"/>
      <c r="I1125" s="354"/>
      <c r="J1125" s="354"/>
      <c r="K1125" s="399" t="s">
        <v>1100</v>
      </c>
      <c r="L1125" s="362">
        <f t="shared" ref="L1125:T1125" si="130">L951+L974+L1003</f>
        <v>282667</v>
      </c>
      <c r="M1125" s="362">
        <f t="shared" si="130"/>
        <v>274480</v>
      </c>
      <c r="N1125" s="363">
        <f t="shared" si="130"/>
        <v>326261</v>
      </c>
      <c r="O1125" s="363">
        <f t="shared" si="130"/>
        <v>277335</v>
      </c>
      <c r="P1125" s="362">
        <f t="shared" si="130"/>
        <v>312318</v>
      </c>
      <c r="Q1125" s="362">
        <f t="shared" si="130"/>
        <v>340762</v>
      </c>
      <c r="R1125" s="362">
        <f t="shared" si="130"/>
        <v>509192</v>
      </c>
      <c r="S1125" s="362">
        <f t="shared" si="130"/>
        <v>519922</v>
      </c>
      <c r="T1125" s="362">
        <f t="shared" si="130"/>
        <v>530920</v>
      </c>
      <c r="U1125" s="64"/>
    </row>
    <row r="1126" spans="1:21" s="183" customFormat="1" ht="24" customHeight="1">
      <c r="F1126" s="354"/>
      <c r="G1126" s="354"/>
      <c r="H1126" s="354"/>
      <c r="I1126" s="354"/>
      <c r="J1126" s="354"/>
      <c r="K1126" s="355"/>
      <c r="L1126" s="257">
        <f>(L1125-69322)/69322</f>
        <v>3.0775944144715965</v>
      </c>
      <c r="M1126" s="257">
        <f>(M1125-L1125)/L1125</f>
        <v>-2.8963409241262686E-2</v>
      </c>
      <c r="N1126" s="368">
        <f>(N1125-M1125)/M1125</f>
        <v>0.1886512678519382</v>
      </c>
      <c r="O1126" s="368">
        <f>(O1125-M1125)/M1125</f>
        <v>1.0401486447099971E-2</v>
      </c>
      <c r="P1126" s="257">
        <f>(P1125-O1125)/O1125</f>
        <v>0.12613986694791499</v>
      </c>
      <c r="Q1126" s="257">
        <f>(Q1125-P1125)/P1125</f>
        <v>9.1073841405234404E-2</v>
      </c>
      <c r="R1126" s="257">
        <v>0</v>
      </c>
      <c r="S1126" s="257">
        <v>0</v>
      </c>
      <c r="T1126" s="257">
        <v>0</v>
      </c>
      <c r="U1126" s="64"/>
    </row>
    <row r="1127" spans="1:21" s="183" customFormat="1" ht="24" customHeight="1">
      <c r="F1127" s="354"/>
      <c r="G1127" s="354"/>
      <c r="H1127" s="354"/>
      <c r="I1127" s="354"/>
      <c r="J1127" s="354"/>
      <c r="K1127" s="355"/>
      <c r="L1127" s="356"/>
      <c r="M1127" s="356"/>
      <c r="N1127" s="357"/>
      <c r="O1127" s="357"/>
      <c r="P1127" s="356"/>
      <c r="Q1127" s="356"/>
      <c r="R1127" s="356"/>
      <c r="S1127" s="356"/>
      <c r="T1127" s="356"/>
      <c r="U1127" s="64"/>
    </row>
    <row r="1128" spans="1:21" s="183" customFormat="1" ht="24" customHeight="1">
      <c r="F1128" s="354"/>
      <c r="G1128" s="354"/>
      <c r="H1128" s="354"/>
      <c r="I1128" s="354"/>
      <c r="J1128" s="354"/>
      <c r="K1128" s="355" t="s">
        <v>1101</v>
      </c>
      <c r="L1128" s="362">
        <f t="shared" ref="L1128:T1128" si="131">L28</f>
        <v>145522</v>
      </c>
      <c r="M1128" s="362">
        <f t="shared" si="131"/>
        <v>131612</v>
      </c>
      <c r="N1128" s="363">
        <f t="shared" si="131"/>
        <v>135000</v>
      </c>
      <c r="O1128" s="363">
        <f t="shared" si="131"/>
        <v>128668</v>
      </c>
      <c r="P1128" s="362">
        <f t="shared" si="131"/>
        <v>130000</v>
      </c>
      <c r="Q1128" s="362">
        <f t="shared" si="131"/>
        <v>130000</v>
      </c>
      <c r="R1128" s="362">
        <f t="shared" si="131"/>
        <v>135000</v>
      </c>
      <c r="S1128" s="362">
        <f t="shared" si="131"/>
        <v>135000</v>
      </c>
      <c r="T1128" s="362">
        <f t="shared" si="131"/>
        <v>140000</v>
      </c>
      <c r="U1128" s="64"/>
    </row>
    <row r="1129" spans="1:21" s="183" customFormat="1" ht="24" customHeight="1">
      <c r="F1129" s="354"/>
      <c r="G1129" s="354"/>
      <c r="H1129" s="354"/>
      <c r="I1129" s="354"/>
      <c r="J1129" s="354"/>
      <c r="K1129" s="355"/>
      <c r="L1129" s="257">
        <f>(L1128-171756)/171756</f>
        <v>-0.15273993339388434</v>
      </c>
      <c r="M1129" s="257">
        <f>(M1128-L1128)/L1128</f>
        <v>-9.5586921565124175E-2</v>
      </c>
      <c r="N1129" s="368">
        <f>(N1128-M1128)/M1128</f>
        <v>2.5742333525818315E-2</v>
      </c>
      <c r="O1129" s="368">
        <f>(O1128-M1128)/M1128</f>
        <v>-2.2368780962222289E-2</v>
      </c>
      <c r="P1129" s="257">
        <f>(P1128-O1128)/O1128</f>
        <v>1.0352224329281562E-2</v>
      </c>
      <c r="Q1129" s="257">
        <f>(Q1128-P1128)/P1128</f>
        <v>0</v>
      </c>
      <c r="R1129" s="257">
        <v>0</v>
      </c>
      <c r="S1129" s="257">
        <v>0</v>
      </c>
      <c r="T1129" s="257">
        <v>0</v>
      </c>
      <c r="U1129" s="64"/>
    </row>
    <row r="1130" spans="1:21" s="183" customFormat="1" ht="24" customHeight="1">
      <c r="F1130" s="252"/>
      <c r="G1130" s="252"/>
      <c r="H1130" s="252"/>
      <c r="I1130" s="252"/>
      <c r="J1130" s="252"/>
      <c r="K1130" s="252"/>
      <c r="L1130" s="201"/>
      <c r="M1130" s="201"/>
      <c r="N1130" s="202"/>
      <c r="O1130" s="202"/>
      <c r="P1130" s="201"/>
      <c r="Q1130" s="201"/>
      <c r="R1130" s="201"/>
      <c r="S1130" s="201"/>
      <c r="T1130" s="201"/>
      <c r="U1130" s="64"/>
    </row>
    <row r="1131" spans="1:21" s="183" customFormat="1" ht="24" customHeight="1">
      <c r="A1131" s="220"/>
      <c r="F1131" s="252"/>
      <c r="G1131" s="252"/>
      <c r="H1131" s="252"/>
      <c r="I1131" s="252"/>
      <c r="J1131" s="252"/>
      <c r="K1131" s="252" t="s">
        <v>1085</v>
      </c>
      <c r="L1131" s="235">
        <f>L1108+L1111+L1119+L1121+L1125+L1128</f>
        <v>4899484</v>
      </c>
      <c r="M1131" s="235">
        <f t="shared" ref="M1131:T1131" si="132">M1108+M1111+M1119+M1121+M1125+M1128</f>
        <v>4925489</v>
      </c>
      <c r="N1131" s="236">
        <f t="shared" si="132"/>
        <v>5104708</v>
      </c>
      <c r="O1131" s="236">
        <f t="shared" si="132"/>
        <v>5041745</v>
      </c>
      <c r="P1131" s="235">
        <f t="shared" si="132"/>
        <v>5191337</v>
      </c>
      <c r="Q1131" s="235">
        <f t="shared" si="132"/>
        <v>5359240</v>
      </c>
      <c r="R1131" s="235">
        <f t="shared" si="132"/>
        <v>5653239</v>
      </c>
      <c r="S1131" s="235">
        <f t="shared" si="132"/>
        <v>5779669</v>
      </c>
      <c r="T1131" s="235">
        <f t="shared" si="132"/>
        <v>5924828</v>
      </c>
      <c r="U1131" s="64"/>
    </row>
    <row r="1132" spans="1:21" s="183" customFormat="1" ht="24" customHeight="1">
      <c r="F1132" s="252"/>
      <c r="G1132" s="252"/>
      <c r="H1132" s="252"/>
      <c r="I1132" s="252"/>
      <c r="J1132" s="252"/>
      <c r="K1132" s="252"/>
      <c r="L1132" s="220">
        <f>(L1131-4856192)/4856192</f>
        <v>8.9148040275178579E-3</v>
      </c>
      <c r="M1132" s="220">
        <f>(M1131-L1131)/L1131</f>
        <v>5.3077017906375448E-3</v>
      </c>
      <c r="N1132" s="221">
        <f>(N1131-M1131)/M1131</f>
        <v>3.6386031924952017E-2</v>
      </c>
      <c r="O1132" s="221">
        <f>(O1131-M1131)/M1131</f>
        <v>2.3602935667910333E-2</v>
      </c>
      <c r="P1132" s="220">
        <f>(P1131-O1131)/O1131</f>
        <v>2.9670679496880546E-2</v>
      </c>
      <c r="Q1132" s="220">
        <f>(Q1131-P1131)/P1131</f>
        <v>3.2342920523171587E-2</v>
      </c>
      <c r="R1132" s="220">
        <f>(R1131-Q1131)/Q1131</f>
        <v>5.4858338122569621E-2</v>
      </c>
      <c r="S1132" s="220">
        <f>(S1131-R1131)/R1131</f>
        <v>2.236417034553112E-2</v>
      </c>
      <c r="T1132" s="220">
        <f>(T1131-S1131)/S1131</f>
        <v>2.5115452113261157E-2</v>
      </c>
      <c r="U1132" s="395"/>
    </row>
    <row r="1133" spans="1:21" s="183" customFormat="1" ht="24" customHeight="1">
      <c r="F1133" s="252"/>
      <c r="G1133" s="252"/>
      <c r="H1133" s="252"/>
      <c r="I1133" s="252"/>
      <c r="J1133" s="252"/>
      <c r="K1133" s="252"/>
      <c r="L1133" s="220"/>
      <c r="M1133" s="220"/>
      <c r="N1133" s="221"/>
      <c r="O1133" s="228"/>
      <c r="P1133" s="220"/>
      <c r="Q1133" s="220"/>
      <c r="R1133" s="220"/>
      <c r="S1133" s="220"/>
      <c r="T1133" s="220"/>
      <c r="U1133" s="395"/>
    </row>
    <row r="1134" spans="1:21" s="183" customFormat="1" ht="24" customHeight="1">
      <c r="F1134" s="487" t="s">
        <v>1370</v>
      </c>
      <c r="G1134" s="487"/>
      <c r="H1134" s="487"/>
      <c r="I1134" s="487"/>
      <c r="J1134" s="487"/>
      <c r="K1134" s="487"/>
      <c r="L1134" s="329">
        <f>L1135+L1136</f>
        <v>4272015</v>
      </c>
      <c r="M1134" s="329">
        <f t="shared" ref="M1134:T1134" si="133">M1135+M1136</f>
        <v>4166401</v>
      </c>
      <c r="N1134" s="330">
        <f t="shared" si="133"/>
        <v>4593107</v>
      </c>
      <c r="O1134" s="330">
        <f t="shared" si="133"/>
        <v>4595131</v>
      </c>
      <c r="P1134" s="329">
        <f>P1135+P1136</f>
        <v>4865530</v>
      </c>
      <c r="Q1134" s="329">
        <f t="shared" si="133"/>
        <v>4749221</v>
      </c>
      <c r="R1134" s="329">
        <f t="shared" si="133"/>
        <v>4254138</v>
      </c>
      <c r="S1134" s="329">
        <f t="shared" si="133"/>
        <v>3888747</v>
      </c>
      <c r="T1134" s="329">
        <f t="shared" si="133"/>
        <v>2449329</v>
      </c>
      <c r="U1134" s="395"/>
    </row>
    <row r="1135" spans="1:21" s="183" customFormat="1" ht="24" customHeight="1">
      <c r="F1135" s="486" t="s">
        <v>959</v>
      </c>
      <c r="G1135" s="486"/>
      <c r="H1135" s="486"/>
      <c r="I1135" s="486"/>
      <c r="J1135" s="486"/>
      <c r="K1135" s="486"/>
      <c r="L1135" s="196">
        <f t="shared" ref="L1135:T1135" si="134">L406+L409+L468+L479+L617+L602+L608+L611+L614+L696+L699+L702+L705+L963+L599+L510+L992+L960+L605</f>
        <v>2833004</v>
      </c>
      <c r="M1135" s="196">
        <f t="shared" si="134"/>
        <v>2924973</v>
      </c>
      <c r="N1135" s="331">
        <f t="shared" si="134"/>
        <v>3464875</v>
      </c>
      <c r="O1135" s="331">
        <f t="shared" si="134"/>
        <v>3465452</v>
      </c>
      <c r="P1135" s="196">
        <f t="shared" si="134"/>
        <v>3858076</v>
      </c>
      <c r="Q1135" s="196">
        <f t="shared" si="134"/>
        <v>3885614</v>
      </c>
      <c r="R1135" s="196">
        <f t="shared" si="134"/>
        <v>3541216</v>
      </c>
      <c r="S1135" s="196">
        <f t="shared" si="134"/>
        <v>3302058</v>
      </c>
      <c r="T1135" s="196">
        <f t="shared" si="134"/>
        <v>1983155</v>
      </c>
      <c r="U1135" s="395"/>
    </row>
    <row r="1136" spans="1:21" s="183" customFormat="1" ht="24" customHeight="1">
      <c r="F1136" s="486" t="s">
        <v>960</v>
      </c>
      <c r="G1136" s="486"/>
      <c r="H1136" s="486"/>
      <c r="I1136" s="486"/>
      <c r="J1136" s="486"/>
      <c r="K1136" s="486"/>
      <c r="L1136" s="196">
        <f t="shared" ref="L1136:T1136" si="135">L407+L469+L480+L618+L603+L609+L612+L615+L697+L700+L703+L706+L964+L600+L511+L993+L961+L606</f>
        <v>1439011</v>
      </c>
      <c r="M1136" s="196">
        <f t="shared" si="135"/>
        <v>1241428</v>
      </c>
      <c r="N1136" s="331">
        <f t="shared" si="135"/>
        <v>1128232</v>
      </c>
      <c r="O1136" s="331">
        <f t="shared" si="135"/>
        <v>1129679</v>
      </c>
      <c r="P1136" s="196">
        <f t="shared" si="135"/>
        <v>1007454</v>
      </c>
      <c r="Q1136" s="196">
        <f t="shared" si="135"/>
        <v>863607</v>
      </c>
      <c r="R1136" s="196">
        <f t="shared" si="135"/>
        <v>712922</v>
      </c>
      <c r="S1136" s="196">
        <f t="shared" si="135"/>
        <v>586689</v>
      </c>
      <c r="T1136" s="196">
        <f t="shared" si="135"/>
        <v>466174</v>
      </c>
      <c r="U1136" s="395"/>
    </row>
    <row r="1137" spans="1:21" s="183" customFormat="1" ht="24" customHeight="1">
      <c r="F1137" s="344"/>
      <c r="G1137" s="344"/>
      <c r="H1137" s="344"/>
      <c r="I1137" s="344"/>
      <c r="J1137" s="344"/>
      <c r="K1137" s="344"/>
      <c r="L1137" s="196"/>
      <c r="M1137" s="196"/>
      <c r="N1137" s="331"/>
      <c r="O1137" s="331"/>
      <c r="P1137" s="196"/>
      <c r="Q1137" s="196"/>
      <c r="R1137" s="196"/>
      <c r="S1137" s="196"/>
      <c r="T1137" s="196"/>
      <c r="U1137" s="395"/>
    </row>
    <row r="1138" spans="1:21" s="183" customFormat="1" ht="24" customHeight="1">
      <c r="L1138" s="199"/>
      <c r="M1138" s="199"/>
      <c r="N1138" s="200"/>
      <c r="O1138" s="200"/>
      <c r="P1138" s="199"/>
      <c r="Q1138" s="199"/>
      <c r="R1138" s="199"/>
      <c r="S1138" s="199"/>
      <c r="T1138" s="199"/>
      <c r="U1138" s="64"/>
    </row>
    <row r="1139" spans="1:21" s="247" customFormat="1" ht="24" customHeight="1">
      <c r="G1139" s="253" t="s">
        <v>908</v>
      </c>
      <c r="H1139" s="316"/>
      <c r="I1139" s="316"/>
      <c r="J1139" s="316"/>
      <c r="L1139" s="272">
        <f t="shared" ref="L1139:T1139" si="136">L36+L340</f>
        <v>291580</v>
      </c>
      <c r="M1139" s="272">
        <f t="shared" si="136"/>
        <v>438320</v>
      </c>
      <c r="N1139" s="204">
        <f t="shared" si="136"/>
        <v>275000</v>
      </c>
      <c r="O1139" s="204">
        <f t="shared" si="136"/>
        <v>501000</v>
      </c>
      <c r="P1139" s="272">
        <f t="shared" si="136"/>
        <v>350000</v>
      </c>
      <c r="Q1139" s="272">
        <f t="shared" si="136"/>
        <v>325000</v>
      </c>
      <c r="R1139" s="272">
        <f t="shared" si="136"/>
        <v>325000</v>
      </c>
      <c r="S1139" s="272">
        <f t="shared" si="136"/>
        <v>325000</v>
      </c>
      <c r="T1139" s="272">
        <f t="shared" si="136"/>
        <v>325000</v>
      </c>
      <c r="U1139" s="317"/>
    </row>
    <row r="1140" spans="1:21" s="247" customFormat="1" ht="24" customHeight="1">
      <c r="G1140" s="253"/>
      <c r="H1140" s="316"/>
      <c r="I1140" s="316"/>
      <c r="J1140" s="316"/>
      <c r="L1140" s="272"/>
      <c r="M1140" s="272"/>
      <c r="N1140" s="204"/>
      <c r="O1140" s="204"/>
      <c r="P1140" s="272"/>
      <c r="Q1140" s="272"/>
      <c r="R1140" s="272"/>
      <c r="S1140" s="272"/>
      <c r="T1140" s="272"/>
      <c r="U1140" s="317"/>
    </row>
    <row r="1141" spans="1:21" s="279" customFormat="1" ht="24" customHeight="1">
      <c r="G1141" s="280"/>
      <c r="H1141" s="281"/>
      <c r="I1141" s="281"/>
      <c r="J1141" s="281"/>
      <c r="L1141" s="282"/>
      <c r="M1141" s="282"/>
      <c r="N1141" s="320"/>
      <c r="O1141" s="320"/>
      <c r="P1141" s="282"/>
      <c r="Q1141" s="282"/>
      <c r="R1141" s="282"/>
      <c r="S1141" s="282"/>
      <c r="T1141" s="282"/>
      <c r="U1141" s="317"/>
    </row>
    <row r="1142" spans="1:21" s="275" customFormat="1" ht="24" customHeight="1">
      <c r="A1142" s="478" t="s">
        <v>995</v>
      </c>
      <c r="B1142" s="478"/>
      <c r="C1142" s="478"/>
      <c r="D1142" s="478"/>
      <c r="E1142" s="478"/>
      <c r="F1142" s="478"/>
      <c r="G1142" s="478"/>
      <c r="H1142" s="478"/>
      <c r="I1142" s="478"/>
      <c r="J1142" s="478"/>
      <c r="K1142" s="478"/>
      <c r="L1142" s="278"/>
      <c r="M1142" s="278"/>
      <c r="N1142" s="278"/>
      <c r="O1142" s="278"/>
      <c r="P1142" s="278"/>
      <c r="Q1142" s="276"/>
      <c r="R1142" s="276"/>
      <c r="S1142" s="276"/>
      <c r="T1142" s="276"/>
      <c r="U1142" s="385"/>
    </row>
    <row r="1143" spans="1:21" s="183" customFormat="1" ht="24" customHeight="1">
      <c r="I1143" s="482" t="s">
        <v>627</v>
      </c>
      <c r="J1143" s="482"/>
      <c r="K1143" s="251" t="s">
        <v>649</v>
      </c>
      <c r="L1143" s="199"/>
      <c r="M1143" s="199"/>
      <c r="N1143" s="200"/>
      <c r="O1143" s="200"/>
      <c r="P1143" s="199"/>
      <c r="Q1143" s="199"/>
      <c r="R1143" s="199"/>
      <c r="S1143" s="199"/>
      <c r="T1143" s="199"/>
      <c r="U1143" s="64"/>
    </row>
    <row r="1144" spans="1:21" s="183" customFormat="1" ht="24" customHeight="1">
      <c r="K1144" s="183" t="s">
        <v>753</v>
      </c>
      <c r="L1144" s="199">
        <f t="shared" ref="L1144:T1144" si="137">L64+L90+L111+L112+L113+L114+L154+L180+L542+L649+L785+L813</f>
        <v>5204975</v>
      </c>
      <c r="M1144" s="199">
        <f t="shared" si="137"/>
        <v>5588388</v>
      </c>
      <c r="N1144" s="200">
        <f t="shared" si="137"/>
        <v>6012995</v>
      </c>
      <c r="O1144" s="200">
        <f t="shared" si="137"/>
        <v>5904370</v>
      </c>
      <c r="P1144" s="199">
        <f t="shared" si="137"/>
        <v>6558497</v>
      </c>
      <c r="Q1144" s="199">
        <f t="shared" si="137"/>
        <v>6891975</v>
      </c>
      <c r="R1144" s="199">
        <f t="shared" si="137"/>
        <v>7162543</v>
      </c>
      <c r="S1144" s="199">
        <f t="shared" si="137"/>
        <v>7443144</v>
      </c>
      <c r="T1144" s="199">
        <f t="shared" si="137"/>
        <v>7734137</v>
      </c>
      <c r="U1144" s="64"/>
    </row>
    <row r="1145" spans="1:21" s="183" customFormat="1" ht="24" customHeight="1">
      <c r="K1145" s="183" t="s">
        <v>754</v>
      </c>
      <c r="L1145" s="199">
        <f t="shared" ref="L1145:T1145" si="138">L117+L182+L544+L651+L787+L226</f>
        <v>126342</v>
      </c>
      <c r="M1145" s="199">
        <f t="shared" si="138"/>
        <v>134470</v>
      </c>
      <c r="N1145" s="200">
        <f t="shared" si="138"/>
        <v>142500</v>
      </c>
      <c r="O1145" s="200">
        <f t="shared" si="138"/>
        <v>143000</v>
      </c>
      <c r="P1145" s="199">
        <f t="shared" si="138"/>
        <v>149000</v>
      </c>
      <c r="Q1145" s="199">
        <f t="shared" si="138"/>
        <v>149000</v>
      </c>
      <c r="R1145" s="199">
        <f t="shared" si="138"/>
        <v>149000</v>
      </c>
      <c r="S1145" s="199">
        <f t="shared" si="138"/>
        <v>149000</v>
      </c>
      <c r="T1145" s="199">
        <f t="shared" si="138"/>
        <v>149000</v>
      </c>
      <c r="U1145" s="64"/>
    </row>
    <row r="1146" spans="1:21" s="183" customFormat="1" ht="24" customHeight="1">
      <c r="K1146" s="183" t="s">
        <v>755</v>
      </c>
      <c r="L1146" s="234">
        <f t="shared" ref="L1146:T1146" si="139">L59+L60+L61+L62+L63+L115+L116+L155+L786+L815+L816+L817+L543+L814+L181+L225+L650</f>
        <v>290006</v>
      </c>
      <c r="M1146" s="234">
        <f t="shared" si="139"/>
        <v>304483</v>
      </c>
      <c r="N1146" s="233">
        <f t="shared" si="139"/>
        <v>411600</v>
      </c>
      <c r="O1146" s="233">
        <f t="shared" si="139"/>
        <v>323485</v>
      </c>
      <c r="P1146" s="234">
        <f t="shared" si="139"/>
        <v>394000</v>
      </c>
      <c r="Q1146" s="234">
        <f t="shared" si="139"/>
        <v>396000</v>
      </c>
      <c r="R1146" s="234">
        <f t="shared" si="139"/>
        <v>398000</v>
      </c>
      <c r="S1146" s="234">
        <f t="shared" si="139"/>
        <v>400000</v>
      </c>
      <c r="T1146" s="234">
        <f t="shared" si="139"/>
        <v>402000</v>
      </c>
      <c r="U1146" s="64"/>
    </row>
    <row r="1147" spans="1:21" s="251" customFormat="1" ht="24" customHeight="1">
      <c r="K1147" s="251" t="s">
        <v>731</v>
      </c>
      <c r="L1147" s="201">
        <f t="shared" ref="L1147:T1147" si="140">SUM(L1144:L1146)</f>
        <v>5621323</v>
      </c>
      <c r="M1147" s="201">
        <f t="shared" si="140"/>
        <v>6027341</v>
      </c>
      <c r="N1147" s="202">
        <f t="shared" si="140"/>
        <v>6567095</v>
      </c>
      <c r="O1147" s="202">
        <f t="shared" si="140"/>
        <v>6370855</v>
      </c>
      <c r="P1147" s="201">
        <f t="shared" si="140"/>
        <v>7101497</v>
      </c>
      <c r="Q1147" s="201">
        <f t="shared" si="140"/>
        <v>7436975</v>
      </c>
      <c r="R1147" s="201">
        <f t="shared" si="140"/>
        <v>7709543</v>
      </c>
      <c r="S1147" s="201">
        <f t="shared" si="140"/>
        <v>7992144</v>
      </c>
      <c r="T1147" s="201">
        <f t="shared" si="140"/>
        <v>8285137</v>
      </c>
      <c r="U1147" s="344"/>
    </row>
    <row r="1148" spans="1:21" s="183" customFormat="1" ht="24" customHeight="1">
      <c r="L1148" s="199"/>
      <c r="M1148" s="199"/>
      <c r="N1148" s="200"/>
      <c r="O1148" s="200"/>
      <c r="P1148" s="199"/>
      <c r="Q1148" s="199"/>
      <c r="R1148" s="199"/>
      <c r="S1148" s="199"/>
      <c r="T1148" s="199"/>
      <c r="U1148" s="64"/>
    </row>
    <row r="1149" spans="1:21" s="183" customFormat="1" ht="24" customHeight="1">
      <c r="I1149" s="483" t="s">
        <v>628</v>
      </c>
      <c r="J1149" s="483"/>
      <c r="K1149" s="251" t="s">
        <v>649</v>
      </c>
      <c r="L1149" s="199"/>
      <c r="M1149" s="199"/>
      <c r="N1149" s="200"/>
      <c r="O1149" s="200"/>
      <c r="P1149" s="199"/>
      <c r="Q1149" s="199"/>
      <c r="R1149" s="199"/>
      <c r="S1149" s="199"/>
      <c r="T1149" s="199"/>
      <c r="U1149" s="64"/>
    </row>
    <row r="1150" spans="1:21" s="183" customFormat="1" ht="24" customHeight="1">
      <c r="K1150" s="183" t="s">
        <v>753</v>
      </c>
      <c r="L1150" s="199">
        <f t="shared" ref="L1150:T1150" si="141">L878</f>
        <v>211185</v>
      </c>
      <c r="M1150" s="199">
        <f t="shared" si="141"/>
        <v>213880</v>
      </c>
      <c r="N1150" s="200">
        <f t="shared" si="141"/>
        <v>226998</v>
      </c>
      <c r="O1150" s="200">
        <f t="shared" si="141"/>
        <v>261500</v>
      </c>
      <c r="P1150" s="199">
        <f t="shared" si="141"/>
        <v>278394</v>
      </c>
      <c r="Q1150" s="199">
        <f t="shared" si="141"/>
        <v>286746</v>
      </c>
      <c r="R1150" s="199">
        <f t="shared" si="141"/>
        <v>295348</v>
      </c>
      <c r="S1150" s="199">
        <f t="shared" si="141"/>
        <v>304208</v>
      </c>
      <c r="T1150" s="199">
        <f t="shared" si="141"/>
        <v>313334</v>
      </c>
      <c r="U1150" s="64"/>
    </row>
    <row r="1151" spans="1:21" s="183" customFormat="1" ht="24" customHeight="1">
      <c r="K1151" s="183" t="s">
        <v>755</v>
      </c>
      <c r="L1151" s="234">
        <f t="shared" ref="L1151:T1151" si="142">L879</f>
        <v>200317</v>
      </c>
      <c r="M1151" s="234">
        <f t="shared" si="142"/>
        <v>189152</v>
      </c>
      <c r="N1151" s="242">
        <f t="shared" si="142"/>
        <v>195700</v>
      </c>
      <c r="O1151" s="242">
        <f t="shared" si="142"/>
        <v>170000</v>
      </c>
      <c r="P1151" s="241">
        <f t="shared" si="142"/>
        <v>196000</v>
      </c>
      <c r="Q1151" s="241">
        <f t="shared" si="142"/>
        <v>201880</v>
      </c>
      <c r="R1151" s="241">
        <f t="shared" si="142"/>
        <v>207936</v>
      </c>
      <c r="S1151" s="241">
        <f t="shared" si="142"/>
        <v>214174</v>
      </c>
      <c r="T1151" s="241">
        <f t="shared" si="142"/>
        <v>220599</v>
      </c>
      <c r="U1151" s="64"/>
    </row>
    <row r="1152" spans="1:21" s="251" customFormat="1" ht="24" customHeight="1">
      <c r="K1152" s="251" t="s">
        <v>731</v>
      </c>
      <c r="L1152" s="201">
        <f t="shared" ref="L1152:T1152" si="143">SUM(L1150:L1151)</f>
        <v>411502</v>
      </c>
      <c r="M1152" s="201">
        <f t="shared" si="143"/>
        <v>403032</v>
      </c>
      <c r="N1152" s="202">
        <f t="shared" si="143"/>
        <v>422698</v>
      </c>
      <c r="O1152" s="202">
        <f t="shared" si="143"/>
        <v>431500</v>
      </c>
      <c r="P1152" s="201">
        <f t="shared" si="143"/>
        <v>474394</v>
      </c>
      <c r="Q1152" s="201">
        <f t="shared" si="143"/>
        <v>488626</v>
      </c>
      <c r="R1152" s="201">
        <f t="shared" si="143"/>
        <v>503284</v>
      </c>
      <c r="S1152" s="201">
        <f t="shared" si="143"/>
        <v>518382</v>
      </c>
      <c r="T1152" s="201">
        <f t="shared" si="143"/>
        <v>533933</v>
      </c>
      <c r="U1152" s="344"/>
    </row>
    <row r="1153" spans="1:21" s="183" customFormat="1" ht="24" customHeight="1">
      <c r="L1153" s="199"/>
      <c r="M1153" s="199"/>
      <c r="N1153" s="200"/>
      <c r="O1153" s="200"/>
      <c r="P1153" s="199"/>
      <c r="Q1153" s="199"/>
      <c r="R1153" s="199"/>
      <c r="S1153" s="199"/>
      <c r="T1153" s="199"/>
      <c r="U1153" s="64"/>
    </row>
    <row r="1154" spans="1:21" s="183" customFormat="1" ht="24" customHeight="1">
      <c r="I1154" s="483" t="s">
        <v>731</v>
      </c>
      <c r="J1154" s="483"/>
      <c r="K1154" s="251" t="s">
        <v>649</v>
      </c>
      <c r="L1154" s="199"/>
      <c r="M1154" s="199"/>
      <c r="N1154" s="200"/>
      <c r="O1154" s="200"/>
      <c r="P1154" s="199"/>
      <c r="Q1154" s="199"/>
      <c r="R1154" s="199"/>
      <c r="S1154" s="199"/>
      <c r="T1154" s="199"/>
      <c r="U1154" s="64"/>
    </row>
    <row r="1155" spans="1:21" s="183" customFormat="1" ht="24" customHeight="1">
      <c r="K1155" s="183" t="s">
        <v>753</v>
      </c>
      <c r="L1155" s="199">
        <f t="shared" ref="L1155:T1155" si="144">L1144+L1150</f>
        <v>5416160</v>
      </c>
      <c r="M1155" s="199">
        <f t="shared" si="144"/>
        <v>5802268</v>
      </c>
      <c r="N1155" s="200">
        <f t="shared" si="144"/>
        <v>6239993</v>
      </c>
      <c r="O1155" s="200">
        <f t="shared" si="144"/>
        <v>6165870</v>
      </c>
      <c r="P1155" s="199">
        <f t="shared" si="144"/>
        <v>6836891</v>
      </c>
      <c r="Q1155" s="199">
        <f t="shared" si="144"/>
        <v>7178721</v>
      </c>
      <c r="R1155" s="199">
        <f t="shared" si="144"/>
        <v>7457891</v>
      </c>
      <c r="S1155" s="199">
        <f t="shared" si="144"/>
        <v>7747352</v>
      </c>
      <c r="T1155" s="199">
        <f t="shared" si="144"/>
        <v>8047471</v>
      </c>
      <c r="U1155" s="64"/>
    </row>
    <row r="1156" spans="1:21" s="183" customFormat="1" ht="24" customHeight="1">
      <c r="K1156" s="183" t="s">
        <v>754</v>
      </c>
      <c r="L1156" s="199">
        <f t="shared" ref="L1156:T1156" si="145">L1145</f>
        <v>126342</v>
      </c>
      <c r="M1156" s="199">
        <f t="shared" si="145"/>
        <v>134470</v>
      </c>
      <c r="N1156" s="200">
        <f t="shared" si="145"/>
        <v>142500</v>
      </c>
      <c r="O1156" s="200">
        <f t="shared" si="145"/>
        <v>143000</v>
      </c>
      <c r="P1156" s="199">
        <f t="shared" si="145"/>
        <v>149000</v>
      </c>
      <c r="Q1156" s="199">
        <f t="shared" si="145"/>
        <v>149000</v>
      </c>
      <c r="R1156" s="199">
        <f t="shared" si="145"/>
        <v>149000</v>
      </c>
      <c r="S1156" s="199">
        <f t="shared" si="145"/>
        <v>149000</v>
      </c>
      <c r="T1156" s="199">
        <f t="shared" si="145"/>
        <v>149000</v>
      </c>
      <c r="U1156" s="64"/>
    </row>
    <row r="1157" spans="1:21" s="183" customFormat="1" ht="24" customHeight="1">
      <c r="K1157" s="183" t="s">
        <v>755</v>
      </c>
      <c r="L1157" s="234">
        <f t="shared" ref="L1157:T1157" si="146">L1146+L1151</f>
        <v>490323</v>
      </c>
      <c r="M1157" s="234">
        <f t="shared" si="146"/>
        <v>493635</v>
      </c>
      <c r="N1157" s="233">
        <f t="shared" si="146"/>
        <v>607300</v>
      </c>
      <c r="O1157" s="233">
        <f t="shared" si="146"/>
        <v>493485</v>
      </c>
      <c r="P1157" s="234">
        <f t="shared" si="146"/>
        <v>590000</v>
      </c>
      <c r="Q1157" s="234">
        <f t="shared" si="146"/>
        <v>597880</v>
      </c>
      <c r="R1157" s="234">
        <f t="shared" si="146"/>
        <v>605936</v>
      </c>
      <c r="S1157" s="234">
        <f t="shared" si="146"/>
        <v>614174</v>
      </c>
      <c r="T1157" s="234">
        <f t="shared" si="146"/>
        <v>622599</v>
      </c>
      <c r="U1157" s="64"/>
    </row>
    <row r="1158" spans="1:21" s="251" customFormat="1" ht="24" customHeight="1">
      <c r="K1158" s="251" t="s">
        <v>731</v>
      </c>
      <c r="L1158" s="201">
        <f t="shared" ref="L1158:T1158" si="147">SUM(L1155:L1157)</f>
        <v>6032825</v>
      </c>
      <c r="M1158" s="201">
        <f t="shared" si="147"/>
        <v>6430373</v>
      </c>
      <c r="N1158" s="202">
        <f t="shared" si="147"/>
        <v>6989793</v>
      </c>
      <c r="O1158" s="202">
        <f t="shared" si="147"/>
        <v>6802355</v>
      </c>
      <c r="P1158" s="201">
        <f t="shared" si="147"/>
        <v>7575891</v>
      </c>
      <c r="Q1158" s="201">
        <f t="shared" si="147"/>
        <v>7925601</v>
      </c>
      <c r="R1158" s="201">
        <f t="shared" si="147"/>
        <v>8212827</v>
      </c>
      <c r="S1158" s="201">
        <f t="shared" si="147"/>
        <v>8510526</v>
      </c>
      <c r="T1158" s="201">
        <f t="shared" si="147"/>
        <v>8819070</v>
      </c>
      <c r="U1158" s="344"/>
    </row>
    <row r="1159" spans="1:21" s="279" customFormat="1" ht="24" customHeight="1">
      <c r="L1159" s="345"/>
      <c r="M1159" s="345"/>
      <c r="N1159" s="359"/>
      <c r="O1159" s="359"/>
      <c r="P1159" s="345"/>
      <c r="Q1159" s="345"/>
      <c r="R1159" s="345"/>
      <c r="S1159" s="345"/>
      <c r="T1159" s="345"/>
      <c r="U1159" s="64"/>
    </row>
    <row r="1160" spans="1:21" s="275" customFormat="1" ht="24" customHeight="1">
      <c r="A1160" s="478" t="s">
        <v>1062</v>
      </c>
      <c r="B1160" s="478"/>
      <c r="C1160" s="478"/>
      <c r="D1160" s="478"/>
      <c r="E1160" s="478"/>
      <c r="F1160" s="478"/>
      <c r="G1160" s="478"/>
      <c r="H1160" s="478"/>
      <c r="I1160" s="478"/>
      <c r="J1160" s="478"/>
      <c r="K1160" s="478"/>
      <c r="L1160" s="278"/>
      <c r="M1160" s="278"/>
      <c r="N1160" s="278"/>
      <c r="O1160" s="278"/>
      <c r="P1160" s="278"/>
      <c r="Q1160" s="276"/>
      <c r="R1160" s="276"/>
      <c r="S1160" s="276"/>
      <c r="T1160" s="276"/>
      <c r="U1160" s="385"/>
    </row>
    <row r="1161" spans="1:21" s="279" customFormat="1" ht="24" customHeight="1">
      <c r="I1161" s="482" t="s">
        <v>627</v>
      </c>
      <c r="J1161" s="482"/>
      <c r="K1161" s="251" t="s">
        <v>650</v>
      </c>
      <c r="L1161" s="345"/>
      <c r="M1161" s="345"/>
      <c r="N1161" s="359"/>
      <c r="O1161" s="359"/>
      <c r="P1161" s="345"/>
      <c r="Q1161" s="345"/>
      <c r="R1161" s="345"/>
      <c r="S1161" s="345"/>
      <c r="T1161" s="345"/>
      <c r="U1161" s="64"/>
    </row>
    <row r="1162" spans="1:21" s="279" customFormat="1" ht="24" customHeight="1">
      <c r="I1162" s="183"/>
      <c r="J1162" s="183"/>
      <c r="K1162" s="183" t="s">
        <v>1063</v>
      </c>
      <c r="L1162" s="196">
        <f t="shared" ref="L1162:T1162" si="148">L65+L91+L118+L156+L183+L545+L652+L788+L818</f>
        <v>295804</v>
      </c>
      <c r="M1162" s="196">
        <f t="shared" si="148"/>
        <v>325586</v>
      </c>
      <c r="N1162" s="331">
        <f t="shared" si="148"/>
        <v>356029</v>
      </c>
      <c r="O1162" s="331">
        <f t="shared" si="148"/>
        <v>341374</v>
      </c>
      <c r="P1162" s="196">
        <f t="shared" si="148"/>
        <v>339225</v>
      </c>
      <c r="Q1162" s="196">
        <f t="shared" si="148"/>
        <v>352801</v>
      </c>
      <c r="R1162" s="196">
        <f t="shared" si="148"/>
        <v>374082</v>
      </c>
      <c r="S1162" s="196">
        <f t="shared" si="148"/>
        <v>396716</v>
      </c>
      <c r="T1162" s="196">
        <f t="shared" si="148"/>
        <v>420778</v>
      </c>
      <c r="U1162" s="64"/>
    </row>
    <row r="1163" spans="1:21" s="279" customFormat="1" ht="24" customHeight="1">
      <c r="I1163" s="183"/>
      <c r="J1163" s="183"/>
      <c r="K1163" s="183" t="s">
        <v>905</v>
      </c>
      <c r="L1163" s="196">
        <f t="shared" ref="L1163:T1163" si="149">L119</f>
        <v>825413</v>
      </c>
      <c r="M1163" s="196">
        <f t="shared" si="149"/>
        <v>966211</v>
      </c>
      <c r="N1163" s="331">
        <f t="shared" si="149"/>
        <v>963361</v>
      </c>
      <c r="O1163" s="331">
        <f t="shared" si="149"/>
        <v>963361</v>
      </c>
      <c r="P1163" s="196">
        <f t="shared" si="149"/>
        <v>1111484</v>
      </c>
      <c r="Q1163" s="196">
        <f t="shared" si="149"/>
        <v>1161484</v>
      </c>
      <c r="R1163" s="196">
        <f t="shared" si="149"/>
        <v>1211484</v>
      </c>
      <c r="S1163" s="196">
        <f t="shared" si="149"/>
        <v>1261484</v>
      </c>
      <c r="T1163" s="196">
        <f t="shared" si="149"/>
        <v>1311484</v>
      </c>
      <c r="U1163" s="64"/>
    </row>
    <row r="1164" spans="1:21" s="279" customFormat="1" ht="24" customHeight="1">
      <c r="I1164" s="183"/>
      <c r="J1164" s="183"/>
      <c r="K1164" s="183" t="s">
        <v>1064</v>
      </c>
      <c r="L1164" s="342">
        <f t="shared" ref="L1164:T1164" si="150">L66+L92+L120+L157+L184+L546+L653+L789+L819</f>
        <v>410468</v>
      </c>
      <c r="M1164" s="342">
        <f t="shared" si="150"/>
        <v>442140</v>
      </c>
      <c r="N1164" s="360">
        <f t="shared" si="150"/>
        <v>484247</v>
      </c>
      <c r="O1164" s="360">
        <f t="shared" si="150"/>
        <v>467713</v>
      </c>
      <c r="P1164" s="342">
        <f t="shared" si="150"/>
        <v>517639</v>
      </c>
      <c r="Q1164" s="342">
        <f t="shared" si="150"/>
        <v>543042</v>
      </c>
      <c r="R1164" s="342">
        <f t="shared" si="150"/>
        <v>564215</v>
      </c>
      <c r="S1164" s="342">
        <f t="shared" si="150"/>
        <v>586170</v>
      </c>
      <c r="T1164" s="342">
        <f t="shared" si="150"/>
        <v>608935</v>
      </c>
      <c r="U1164" s="64"/>
    </row>
    <row r="1165" spans="1:21" s="279" customFormat="1" ht="24" customHeight="1">
      <c r="I1165" s="251"/>
      <c r="J1165" s="251"/>
      <c r="K1165" s="251" t="s">
        <v>731</v>
      </c>
      <c r="L1165" s="272">
        <f>SUM(L1162:L1164)</f>
        <v>1531685</v>
      </c>
      <c r="M1165" s="272">
        <f t="shared" ref="M1165:T1165" si="151">SUM(M1162:M1164)</f>
        <v>1733937</v>
      </c>
      <c r="N1165" s="204">
        <f t="shared" si="151"/>
        <v>1803637</v>
      </c>
      <c r="O1165" s="204">
        <f t="shared" si="151"/>
        <v>1772448</v>
      </c>
      <c r="P1165" s="272">
        <f t="shared" si="151"/>
        <v>1968348</v>
      </c>
      <c r="Q1165" s="272">
        <f t="shared" si="151"/>
        <v>2057327</v>
      </c>
      <c r="R1165" s="272">
        <f t="shared" si="151"/>
        <v>2149781</v>
      </c>
      <c r="S1165" s="272">
        <f t="shared" si="151"/>
        <v>2244370</v>
      </c>
      <c r="T1165" s="272">
        <f t="shared" si="151"/>
        <v>2341197</v>
      </c>
      <c r="U1165" s="64"/>
    </row>
    <row r="1166" spans="1:21" s="279" customFormat="1" ht="24" customHeight="1">
      <c r="I1166" s="183"/>
      <c r="J1166" s="183"/>
      <c r="K1166" s="183"/>
      <c r="L1166" s="196"/>
      <c r="M1166" s="196"/>
      <c r="N1166" s="331"/>
      <c r="O1166" s="331"/>
      <c r="P1166" s="196"/>
      <c r="Q1166" s="196"/>
      <c r="R1166" s="196"/>
      <c r="S1166" s="196"/>
      <c r="T1166" s="196"/>
      <c r="U1166" s="64"/>
    </row>
    <row r="1167" spans="1:21" s="279" customFormat="1" ht="24" customHeight="1">
      <c r="I1167" s="482" t="s">
        <v>628</v>
      </c>
      <c r="J1167" s="482"/>
      <c r="K1167" s="251" t="s">
        <v>650</v>
      </c>
      <c r="L1167" s="196"/>
      <c r="M1167" s="196"/>
      <c r="N1167" s="331"/>
      <c r="O1167" s="331"/>
      <c r="P1167" s="196"/>
      <c r="Q1167" s="196"/>
      <c r="R1167" s="196"/>
      <c r="S1167" s="196"/>
      <c r="T1167" s="196"/>
      <c r="U1167" s="64"/>
    </row>
    <row r="1168" spans="1:21" s="279" customFormat="1" ht="24" customHeight="1">
      <c r="I1168" s="183"/>
      <c r="J1168" s="183"/>
      <c r="K1168" s="183" t="s">
        <v>1063</v>
      </c>
      <c r="L1168" s="196">
        <f t="shared" ref="L1168:T1168" si="152">L880</f>
        <v>22558</v>
      </c>
      <c r="M1168" s="196">
        <f t="shared" si="152"/>
        <v>22885</v>
      </c>
      <c r="N1168" s="331">
        <f t="shared" si="152"/>
        <v>24252</v>
      </c>
      <c r="O1168" s="331">
        <f t="shared" si="152"/>
        <v>27500</v>
      </c>
      <c r="P1168" s="196">
        <f t="shared" si="152"/>
        <v>25541</v>
      </c>
      <c r="Q1168" s="196">
        <f t="shared" si="152"/>
        <v>27040</v>
      </c>
      <c r="R1168" s="196">
        <f t="shared" si="152"/>
        <v>28678</v>
      </c>
      <c r="S1168" s="196">
        <f t="shared" si="152"/>
        <v>30421</v>
      </c>
      <c r="T1168" s="196">
        <f t="shared" si="152"/>
        <v>32273</v>
      </c>
      <c r="U1168" s="64"/>
    </row>
    <row r="1169" spans="1:21" s="279" customFormat="1" ht="24" customHeight="1">
      <c r="I1169" s="183"/>
      <c r="J1169" s="183"/>
      <c r="K1169" s="183" t="s">
        <v>1064</v>
      </c>
      <c r="L1169" s="342">
        <f t="shared" ref="L1169:T1169" si="153">L881</f>
        <v>30778</v>
      </c>
      <c r="M1169" s="342">
        <f t="shared" si="153"/>
        <v>30169</v>
      </c>
      <c r="N1169" s="360">
        <f t="shared" si="153"/>
        <v>31720</v>
      </c>
      <c r="O1169" s="360">
        <f t="shared" si="153"/>
        <v>31720</v>
      </c>
      <c r="P1169" s="342">
        <f t="shared" si="153"/>
        <v>35544</v>
      </c>
      <c r="Q1169" s="342">
        <f t="shared" si="153"/>
        <v>36610</v>
      </c>
      <c r="R1169" s="342">
        <f t="shared" si="153"/>
        <v>37708</v>
      </c>
      <c r="S1169" s="342">
        <f t="shared" si="153"/>
        <v>38839</v>
      </c>
      <c r="T1169" s="342">
        <f t="shared" si="153"/>
        <v>40004</v>
      </c>
      <c r="U1169" s="64"/>
    </row>
    <row r="1170" spans="1:21" s="279" customFormat="1" ht="24" customHeight="1">
      <c r="I1170" s="251"/>
      <c r="J1170" s="251"/>
      <c r="K1170" s="251" t="s">
        <v>731</v>
      </c>
      <c r="L1170" s="272">
        <f>SUM(L1168:L1169)</f>
        <v>53336</v>
      </c>
      <c r="M1170" s="272">
        <f t="shared" ref="M1170:T1170" si="154">SUM(M1168:M1169)</f>
        <v>53054</v>
      </c>
      <c r="N1170" s="204">
        <f t="shared" si="154"/>
        <v>55972</v>
      </c>
      <c r="O1170" s="204">
        <f t="shared" si="154"/>
        <v>59220</v>
      </c>
      <c r="P1170" s="272">
        <f t="shared" si="154"/>
        <v>61085</v>
      </c>
      <c r="Q1170" s="272">
        <f t="shared" si="154"/>
        <v>63650</v>
      </c>
      <c r="R1170" s="272">
        <f t="shared" si="154"/>
        <v>66386</v>
      </c>
      <c r="S1170" s="272">
        <f t="shared" si="154"/>
        <v>69260</v>
      </c>
      <c r="T1170" s="272">
        <f t="shared" si="154"/>
        <v>72277</v>
      </c>
      <c r="U1170" s="64"/>
    </row>
    <row r="1171" spans="1:21" s="279" customFormat="1" ht="24" customHeight="1">
      <c r="I1171" s="183"/>
      <c r="J1171" s="183"/>
      <c r="K1171" s="183"/>
      <c r="L1171" s="196"/>
      <c r="M1171" s="196"/>
      <c r="N1171" s="331"/>
      <c r="O1171" s="331"/>
      <c r="P1171" s="196"/>
      <c r="Q1171" s="196"/>
      <c r="R1171" s="196"/>
      <c r="S1171" s="196"/>
      <c r="T1171" s="196"/>
      <c r="U1171" s="64"/>
    </row>
    <row r="1172" spans="1:21" s="279" customFormat="1" ht="24" customHeight="1">
      <c r="I1172" s="482" t="s">
        <v>731</v>
      </c>
      <c r="J1172" s="482"/>
      <c r="K1172" s="251" t="s">
        <v>650</v>
      </c>
      <c r="L1172" s="196"/>
      <c r="M1172" s="196"/>
      <c r="N1172" s="331"/>
      <c r="O1172" s="331"/>
      <c r="P1172" s="196"/>
      <c r="Q1172" s="196"/>
      <c r="R1172" s="196"/>
      <c r="S1172" s="196"/>
      <c r="T1172" s="196"/>
      <c r="U1172" s="64"/>
    </row>
    <row r="1173" spans="1:21" s="279" customFormat="1" ht="24" customHeight="1">
      <c r="I1173" s="183"/>
      <c r="J1173" s="183"/>
      <c r="K1173" s="183" t="s">
        <v>1063</v>
      </c>
      <c r="L1173" s="196">
        <f t="shared" ref="L1173:T1173" si="155">L1162+L1168</f>
        <v>318362</v>
      </c>
      <c r="M1173" s="196">
        <f t="shared" si="155"/>
        <v>348471</v>
      </c>
      <c r="N1173" s="331">
        <f t="shared" si="155"/>
        <v>380281</v>
      </c>
      <c r="O1173" s="331">
        <f t="shared" si="155"/>
        <v>368874</v>
      </c>
      <c r="P1173" s="196">
        <f t="shared" si="155"/>
        <v>364766</v>
      </c>
      <c r="Q1173" s="196">
        <f t="shared" si="155"/>
        <v>379841</v>
      </c>
      <c r="R1173" s="196">
        <f t="shared" si="155"/>
        <v>402760</v>
      </c>
      <c r="S1173" s="196">
        <f t="shared" si="155"/>
        <v>427137</v>
      </c>
      <c r="T1173" s="196">
        <f t="shared" si="155"/>
        <v>453051</v>
      </c>
      <c r="U1173" s="64"/>
    </row>
    <row r="1174" spans="1:21" s="279" customFormat="1" ht="24" customHeight="1">
      <c r="I1174" s="183"/>
      <c r="J1174" s="183"/>
      <c r="K1174" s="183" t="s">
        <v>905</v>
      </c>
      <c r="L1174" s="196">
        <f t="shared" ref="L1174:T1174" si="156">L1163</f>
        <v>825413</v>
      </c>
      <c r="M1174" s="196">
        <f t="shared" si="156"/>
        <v>966211</v>
      </c>
      <c r="N1174" s="331">
        <f t="shared" si="156"/>
        <v>963361</v>
      </c>
      <c r="O1174" s="331">
        <f t="shared" si="156"/>
        <v>963361</v>
      </c>
      <c r="P1174" s="196">
        <f t="shared" si="156"/>
        <v>1111484</v>
      </c>
      <c r="Q1174" s="196">
        <f t="shared" si="156"/>
        <v>1161484</v>
      </c>
      <c r="R1174" s="196">
        <f t="shared" si="156"/>
        <v>1211484</v>
      </c>
      <c r="S1174" s="196">
        <f t="shared" si="156"/>
        <v>1261484</v>
      </c>
      <c r="T1174" s="196">
        <f t="shared" si="156"/>
        <v>1311484</v>
      </c>
      <c r="U1174" s="64"/>
    </row>
    <row r="1175" spans="1:21" s="279" customFormat="1" ht="24" customHeight="1">
      <c r="I1175" s="183"/>
      <c r="J1175" s="183"/>
      <c r="K1175" s="183" t="s">
        <v>1064</v>
      </c>
      <c r="L1175" s="342">
        <f t="shared" ref="L1175:T1175" si="157">L1164+L1169</f>
        <v>441246</v>
      </c>
      <c r="M1175" s="342">
        <f t="shared" si="157"/>
        <v>472309</v>
      </c>
      <c r="N1175" s="360">
        <f t="shared" si="157"/>
        <v>515967</v>
      </c>
      <c r="O1175" s="360">
        <f t="shared" si="157"/>
        <v>499433</v>
      </c>
      <c r="P1175" s="342">
        <f t="shared" si="157"/>
        <v>553183</v>
      </c>
      <c r="Q1175" s="342">
        <f t="shared" si="157"/>
        <v>579652</v>
      </c>
      <c r="R1175" s="342">
        <f t="shared" si="157"/>
        <v>601923</v>
      </c>
      <c r="S1175" s="342">
        <f t="shared" si="157"/>
        <v>625009</v>
      </c>
      <c r="T1175" s="342">
        <f t="shared" si="157"/>
        <v>648939</v>
      </c>
      <c r="U1175" s="64"/>
    </row>
    <row r="1176" spans="1:21" s="279" customFormat="1" ht="24" customHeight="1">
      <c r="I1176" s="251"/>
      <c r="J1176" s="251"/>
      <c r="K1176" s="251" t="s">
        <v>731</v>
      </c>
      <c r="L1176" s="272">
        <f>SUM(L1173:L1175)</f>
        <v>1585021</v>
      </c>
      <c r="M1176" s="272">
        <f t="shared" ref="M1176:T1176" si="158">SUM(M1173:M1175)</f>
        <v>1786991</v>
      </c>
      <c r="N1176" s="204">
        <f t="shared" si="158"/>
        <v>1859609</v>
      </c>
      <c r="O1176" s="204">
        <f t="shared" si="158"/>
        <v>1831668</v>
      </c>
      <c r="P1176" s="272">
        <f t="shared" si="158"/>
        <v>2029433</v>
      </c>
      <c r="Q1176" s="272">
        <f t="shared" si="158"/>
        <v>2120977</v>
      </c>
      <c r="R1176" s="272">
        <f t="shared" si="158"/>
        <v>2216167</v>
      </c>
      <c r="S1176" s="272">
        <f t="shared" si="158"/>
        <v>2313630</v>
      </c>
      <c r="T1176" s="272">
        <f t="shared" si="158"/>
        <v>2413474</v>
      </c>
      <c r="U1176" s="64"/>
    </row>
    <row r="1177" spans="1:21" s="183" customFormat="1" ht="24" customHeight="1">
      <c r="L1177" s="199"/>
      <c r="M1177" s="199"/>
      <c r="N1177" s="200"/>
      <c r="O1177" s="200"/>
      <c r="P1177" s="199"/>
      <c r="Q1177" s="199"/>
      <c r="R1177" s="199"/>
      <c r="S1177" s="199"/>
      <c r="T1177" s="199"/>
      <c r="U1177" s="64"/>
    </row>
    <row r="1178" spans="1:21" s="275" customFormat="1" ht="24" customHeight="1">
      <c r="A1178" s="478" t="s">
        <v>1077</v>
      </c>
      <c r="B1178" s="478"/>
      <c r="C1178" s="478"/>
      <c r="D1178" s="478"/>
      <c r="E1178" s="478"/>
      <c r="F1178" s="478"/>
      <c r="G1178" s="478"/>
      <c r="H1178" s="478"/>
      <c r="I1178" s="478"/>
      <c r="J1178" s="478"/>
      <c r="K1178" s="478"/>
      <c r="L1178" s="276"/>
      <c r="M1178" s="276"/>
      <c r="N1178" s="276"/>
      <c r="O1178" s="276"/>
      <c r="P1178" s="276"/>
      <c r="Q1178" s="276"/>
      <c r="R1178" s="276"/>
      <c r="S1178" s="276"/>
      <c r="T1178" s="276"/>
      <c r="U1178" s="385"/>
    </row>
    <row r="1179" spans="1:21" s="251" customFormat="1" ht="24" customHeight="1">
      <c r="G1179" s="480" t="s">
        <v>772</v>
      </c>
      <c r="H1179" s="480"/>
      <c r="I1179" s="480"/>
      <c r="J1179" s="480"/>
      <c r="K1179" s="480"/>
      <c r="L1179" s="243">
        <f t="shared" ref="L1179:T1179" si="159">SUM(L1180:L1183)</f>
        <v>337766</v>
      </c>
      <c r="M1179" s="243">
        <f t="shared" si="159"/>
        <v>337766</v>
      </c>
      <c r="N1179" s="244">
        <f t="shared" si="159"/>
        <v>337766</v>
      </c>
      <c r="O1179" s="244">
        <f t="shared" si="159"/>
        <v>164855</v>
      </c>
      <c r="P1179" s="243">
        <f t="shared" si="159"/>
        <v>149136</v>
      </c>
      <c r="Q1179" s="243">
        <f t="shared" si="159"/>
        <v>149136</v>
      </c>
      <c r="R1179" s="243">
        <f t="shared" si="159"/>
        <v>149136</v>
      </c>
      <c r="S1179" s="243">
        <f t="shared" si="159"/>
        <v>62140</v>
      </c>
      <c r="T1179" s="243">
        <f t="shared" si="159"/>
        <v>0</v>
      </c>
      <c r="U1179" s="64"/>
    </row>
    <row r="1180" spans="1:21" s="183" customFormat="1" ht="24" customHeight="1">
      <c r="K1180" s="183" t="s">
        <v>788</v>
      </c>
      <c r="L1180" s="213">
        <f t="shared" ref="L1180:T1180" si="160">L325</f>
        <v>73787</v>
      </c>
      <c r="M1180" s="213">
        <f t="shared" si="160"/>
        <v>73787</v>
      </c>
      <c r="N1180" s="214">
        <f t="shared" si="160"/>
        <v>73787</v>
      </c>
      <c r="O1180" s="214">
        <f t="shared" si="160"/>
        <v>73788</v>
      </c>
      <c r="P1180" s="213">
        <f t="shared" si="160"/>
        <v>73788</v>
      </c>
      <c r="Q1180" s="213">
        <f t="shared" si="160"/>
        <v>73788</v>
      </c>
      <c r="R1180" s="213">
        <f t="shared" si="160"/>
        <v>73788</v>
      </c>
      <c r="S1180" s="213">
        <f t="shared" si="160"/>
        <v>30745</v>
      </c>
      <c r="T1180" s="213">
        <f t="shared" si="160"/>
        <v>0</v>
      </c>
      <c r="U1180" s="64"/>
    </row>
    <row r="1181" spans="1:21" s="183" customFormat="1" ht="24" customHeight="1">
      <c r="K1181" s="183" t="s">
        <v>523</v>
      </c>
      <c r="L1181" s="213">
        <f t="shared" ref="L1181:T1181" si="161">L595</f>
        <v>197544</v>
      </c>
      <c r="M1181" s="213">
        <f t="shared" si="161"/>
        <v>197544</v>
      </c>
      <c r="N1181" s="214">
        <f t="shared" si="161"/>
        <v>197544</v>
      </c>
      <c r="O1181" s="214">
        <f t="shared" si="161"/>
        <v>58053</v>
      </c>
      <c r="P1181" s="213">
        <f t="shared" si="161"/>
        <v>45372</v>
      </c>
      <c r="Q1181" s="213">
        <f t="shared" si="161"/>
        <v>45372</v>
      </c>
      <c r="R1181" s="213">
        <f t="shared" si="161"/>
        <v>45372</v>
      </c>
      <c r="S1181" s="213">
        <f t="shared" si="161"/>
        <v>18905</v>
      </c>
      <c r="T1181" s="213">
        <f t="shared" si="161"/>
        <v>0</v>
      </c>
      <c r="U1181" s="64"/>
    </row>
    <row r="1182" spans="1:21" s="183" customFormat="1" ht="24" customHeight="1">
      <c r="K1182" s="183" t="s">
        <v>524</v>
      </c>
      <c r="L1182" s="213">
        <f t="shared" ref="L1182:T1182" si="162">L693</f>
        <v>59015</v>
      </c>
      <c r="M1182" s="213">
        <f t="shared" si="162"/>
        <v>59015</v>
      </c>
      <c r="N1182" s="214">
        <f t="shared" si="162"/>
        <v>59015</v>
      </c>
      <c r="O1182" s="214">
        <f t="shared" si="162"/>
        <v>25532</v>
      </c>
      <c r="P1182" s="213">
        <f t="shared" si="162"/>
        <v>22488</v>
      </c>
      <c r="Q1182" s="213">
        <f t="shared" si="162"/>
        <v>22488</v>
      </c>
      <c r="R1182" s="213">
        <f t="shared" si="162"/>
        <v>22488</v>
      </c>
      <c r="S1182" s="213">
        <f t="shared" si="162"/>
        <v>9370</v>
      </c>
      <c r="T1182" s="213">
        <f t="shared" si="162"/>
        <v>0</v>
      </c>
      <c r="U1182" s="64"/>
    </row>
    <row r="1183" spans="1:21" s="183" customFormat="1" ht="24" customHeight="1">
      <c r="K1183" s="183" t="s">
        <v>452</v>
      </c>
      <c r="L1183" s="213">
        <f t="shared" ref="L1183:T1183" si="163">L990</f>
        <v>7420</v>
      </c>
      <c r="M1183" s="213">
        <f t="shared" si="163"/>
        <v>7420</v>
      </c>
      <c r="N1183" s="214">
        <f t="shared" si="163"/>
        <v>7420</v>
      </c>
      <c r="O1183" s="214">
        <f t="shared" si="163"/>
        <v>7482</v>
      </c>
      <c r="P1183" s="213">
        <f t="shared" si="163"/>
        <v>7488</v>
      </c>
      <c r="Q1183" s="213">
        <f t="shared" si="163"/>
        <v>7488</v>
      </c>
      <c r="R1183" s="213">
        <f t="shared" si="163"/>
        <v>7488</v>
      </c>
      <c r="S1183" s="213">
        <f t="shared" si="163"/>
        <v>3120</v>
      </c>
      <c r="T1183" s="213">
        <f t="shared" si="163"/>
        <v>0</v>
      </c>
      <c r="U1183" s="64"/>
    </row>
    <row r="1184" spans="1:21" s="183" customFormat="1" ht="24" customHeight="1">
      <c r="L1184" s="213"/>
      <c r="M1184" s="213"/>
      <c r="N1184" s="214"/>
      <c r="O1184" s="214"/>
      <c r="P1184" s="213"/>
      <c r="Q1184" s="213"/>
      <c r="R1184" s="213"/>
      <c r="S1184" s="213"/>
      <c r="T1184" s="213"/>
      <c r="U1184" s="64"/>
    </row>
    <row r="1185" spans="1:21" s="183" customFormat="1" ht="24" customHeight="1">
      <c r="G1185" s="480" t="s">
        <v>981</v>
      </c>
      <c r="H1185" s="480"/>
      <c r="I1185" s="480"/>
      <c r="J1185" s="480"/>
      <c r="K1185" s="480"/>
      <c r="L1185" s="243">
        <f t="shared" ref="L1185:T1185" si="164">SUM(L1186:L1189)</f>
        <v>1475105</v>
      </c>
      <c r="M1185" s="243">
        <f t="shared" si="164"/>
        <v>1494401</v>
      </c>
      <c r="N1185" s="244">
        <f t="shared" si="164"/>
        <v>956000</v>
      </c>
      <c r="O1185" s="244">
        <f t="shared" si="164"/>
        <v>605000</v>
      </c>
      <c r="P1185" s="243">
        <f t="shared" si="164"/>
        <v>1406000</v>
      </c>
      <c r="Q1185" s="243">
        <f t="shared" si="164"/>
        <v>1389000</v>
      </c>
      <c r="R1185" s="243">
        <f t="shared" si="164"/>
        <v>1095000</v>
      </c>
      <c r="S1185" s="243">
        <f t="shared" si="164"/>
        <v>1482000</v>
      </c>
      <c r="T1185" s="243">
        <f t="shared" si="164"/>
        <v>1151184</v>
      </c>
      <c r="U1185" s="64"/>
    </row>
    <row r="1186" spans="1:21" s="183" customFormat="1" ht="24" customHeight="1">
      <c r="K1186" s="183" t="s">
        <v>788</v>
      </c>
      <c r="L1186" s="213">
        <f t="shared" ref="L1186:T1186" si="165">L324</f>
        <v>300000</v>
      </c>
      <c r="M1186" s="213">
        <f t="shared" si="165"/>
        <v>300000</v>
      </c>
      <c r="N1186" s="214">
        <f t="shared" si="165"/>
        <v>406000</v>
      </c>
      <c r="O1186" s="214">
        <f t="shared" si="165"/>
        <v>360000</v>
      </c>
      <c r="P1186" s="213">
        <f t="shared" si="165"/>
        <v>620000</v>
      </c>
      <c r="Q1186" s="213">
        <f t="shared" si="165"/>
        <v>620000</v>
      </c>
      <c r="R1186" s="213">
        <f t="shared" si="165"/>
        <v>620000</v>
      </c>
      <c r="S1186" s="213">
        <f t="shared" si="165"/>
        <v>620000</v>
      </c>
      <c r="T1186" s="213">
        <f t="shared" si="165"/>
        <v>591184</v>
      </c>
      <c r="U1186" s="64"/>
    </row>
    <row r="1187" spans="1:21" s="183" customFormat="1" ht="24" customHeight="1">
      <c r="K1187" s="183" t="s">
        <v>704</v>
      </c>
      <c r="L1187" s="213">
        <f t="shared" ref="L1187:T1187" si="166">L394</f>
        <v>695767</v>
      </c>
      <c r="M1187" s="213">
        <f t="shared" si="166"/>
        <v>761759</v>
      </c>
      <c r="N1187" s="214">
        <f t="shared" si="166"/>
        <v>100000</v>
      </c>
      <c r="O1187" s="214">
        <f t="shared" si="166"/>
        <v>100000</v>
      </c>
      <c r="P1187" s="213">
        <f t="shared" si="166"/>
        <v>80000</v>
      </c>
      <c r="Q1187" s="213">
        <f t="shared" si="166"/>
        <v>80000</v>
      </c>
      <c r="R1187" s="213">
        <f t="shared" si="166"/>
        <v>80000</v>
      </c>
      <c r="S1187" s="213">
        <f t="shared" si="166"/>
        <v>80000</v>
      </c>
      <c r="T1187" s="213">
        <f t="shared" si="166"/>
        <v>80000</v>
      </c>
      <c r="U1187" s="64"/>
    </row>
    <row r="1188" spans="1:21" s="183" customFormat="1" ht="24" customHeight="1">
      <c r="K1188" s="183" t="s">
        <v>523</v>
      </c>
      <c r="L1188" s="213">
        <f t="shared" ref="L1188:T1188" si="167">L589</f>
        <v>316911</v>
      </c>
      <c r="M1188" s="213">
        <f t="shared" si="167"/>
        <v>272423</v>
      </c>
      <c r="N1188" s="214">
        <f t="shared" si="167"/>
        <v>250000</v>
      </c>
      <c r="O1188" s="214">
        <f t="shared" si="167"/>
        <v>20000</v>
      </c>
      <c r="P1188" s="213">
        <f t="shared" si="167"/>
        <v>569000</v>
      </c>
      <c r="Q1188" s="213">
        <f t="shared" si="167"/>
        <v>489000</v>
      </c>
      <c r="R1188" s="213">
        <f t="shared" si="167"/>
        <v>179000</v>
      </c>
      <c r="S1188" s="213">
        <f t="shared" si="167"/>
        <v>362000</v>
      </c>
      <c r="T1188" s="213">
        <f t="shared" si="167"/>
        <v>280000</v>
      </c>
      <c r="U1188" s="64"/>
    </row>
    <row r="1189" spans="1:21" s="183" customFormat="1" ht="24" customHeight="1">
      <c r="K1189" s="183" t="s">
        <v>524</v>
      </c>
      <c r="L1189" s="213">
        <f t="shared" ref="L1189:T1189" si="168">L687</f>
        <v>162427</v>
      </c>
      <c r="M1189" s="213">
        <f t="shared" si="168"/>
        <v>160219</v>
      </c>
      <c r="N1189" s="214">
        <f t="shared" si="168"/>
        <v>200000</v>
      </c>
      <c r="O1189" s="214">
        <f t="shared" si="168"/>
        <v>125000</v>
      </c>
      <c r="P1189" s="213">
        <f t="shared" si="168"/>
        <v>137000</v>
      </c>
      <c r="Q1189" s="213">
        <f t="shared" si="168"/>
        <v>200000</v>
      </c>
      <c r="R1189" s="213">
        <f t="shared" si="168"/>
        <v>216000</v>
      </c>
      <c r="S1189" s="213">
        <f t="shared" si="168"/>
        <v>420000</v>
      </c>
      <c r="T1189" s="213">
        <f t="shared" si="168"/>
        <v>200000</v>
      </c>
      <c r="U1189" s="64"/>
    </row>
    <row r="1190" spans="1:21" s="183" customFormat="1" ht="24" customHeight="1">
      <c r="L1190" s="213"/>
      <c r="M1190" s="213"/>
      <c r="N1190" s="214"/>
      <c r="O1190" s="214"/>
      <c r="P1190" s="213"/>
      <c r="Q1190" s="213"/>
      <c r="R1190" s="213"/>
      <c r="S1190" s="213"/>
      <c r="T1190" s="213"/>
      <c r="U1190" s="64"/>
    </row>
    <row r="1191" spans="1:21" s="183" customFormat="1" ht="24" customHeight="1">
      <c r="G1191" s="480" t="s">
        <v>1368</v>
      </c>
      <c r="H1191" s="480"/>
      <c r="I1191" s="480"/>
      <c r="J1191" s="480"/>
      <c r="K1191" s="480"/>
      <c r="L1191" s="243">
        <f t="shared" ref="L1191:T1191" si="169">SUM(L1192:L1192)</f>
        <v>0</v>
      </c>
      <c r="M1191" s="243">
        <f t="shared" si="169"/>
        <v>0</v>
      </c>
      <c r="N1191" s="244">
        <f t="shared" si="169"/>
        <v>0</v>
      </c>
      <c r="O1191" s="244">
        <f t="shared" si="169"/>
        <v>215000</v>
      </c>
      <c r="P1191" s="243">
        <f t="shared" si="169"/>
        <v>3105000</v>
      </c>
      <c r="Q1191" s="243">
        <f t="shared" si="169"/>
        <v>0</v>
      </c>
      <c r="R1191" s="243">
        <f t="shared" si="169"/>
        <v>0</v>
      </c>
      <c r="S1191" s="243">
        <f t="shared" si="169"/>
        <v>0</v>
      </c>
      <c r="T1191" s="243">
        <f t="shared" si="169"/>
        <v>0</v>
      </c>
      <c r="U1191" s="64"/>
    </row>
    <row r="1192" spans="1:21" s="183" customFormat="1" ht="24" customHeight="1">
      <c r="K1192" s="183" t="s">
        <v>980</v>
      </c>
      <c r="L1192" s="213">
        <f t="shared" ref="L1192:T1192" si="170">L387</f>
        <v>0</v>
      </c>
      <c r="M1192" s="213">
        <f t="shared" si="170"/>
        <v>0</v>
      </c>
      <c r="N1192" s="214">
        <f t="shared" si="170"/>
        <v>0</v>
      </c>
      <c r="O1192" s="214">
        <f t="shared" si="170"/>
        <v>215000</v>
      </c>
      <c r="P1192" s="213">
        <f t="shared" si="170"/>
        <v>3105000</v>
      </c>
      <c r="Q1192" s="213">
        <f t="shared" si="170"/>
        <v>0</v>
      </c>
      <c r="R1192" s="213">
        <f t="shared" si="170"/>
        <v>0</v>
      </c>
      <c r="S1192" s="213">
        <f t="shared" si="170"/>
        <v>0</v>
      </c>
      <c r="T1192" s="213">
        <f t="shared" si="170"/>
        <v>0</v>
      </c>
      <c r="U1192" s="64"/>
    </row>
    <row r="1193" spans="1:21" s="183" customFormat="1" ht="24" customHeight="1">
      <c r="K1193" s="313"/>
      <c r="L1193" s="314"/>
      <c r="M1193" s="314"/>
      <c r="N1193" s="319"/>
      <c r="O1193" s="319"/>
      <c r="P1193" s="314"/>
      <c r="Q1193" s="314"/>
      <c r="R1193" s="314"/>
      <c r="S1193" s="314"/>
      <c r="T1193" s="314"/>
      <c r="U1193" s="64"/>
    </row>
    <row r="1194" spans="1:21" s="268" customFormat="1" ht="24" customHeight="1">
      <c r="A1194" s="274" t="s">
        <v>1087</v>
      </c>
      <c r="B1194" s="274"/>
      <c r="C1194" s="274"/>
      <c r="D1194" s="274"/>
      <c r="E1194" s="274"/>
      <c r="F1194" s="274"/>
      <c r="G1194" s="274"/>
      <c r="H1194" s="274"/>
      <c r="I1194" s="274"/>
      <c r="J1194" s="274"/>
      <c r="K1194" s="274"/>
      <c r="L1194" s="276"/>
      <c r="M1194" s="276"/>
      <c r="N1194" s="276"/>
      <c r="O1194" s="276"/>
      <c r="P1194" s="276"/>
      <c r="Q1194" s="276"/>
      <c r="R1194" s="276"/>
      <c r="S1194" s="276"/>
      <c r="T1194" s="276"/>
      <c r="U1194" s="393"/>
    </row>
    <row r="1195" spans="1:21" s="183" customFormat="1" ht="24" customHeight="1">
      <c r="G1195" s="480" t="s">
        <v>1073</v>
      </c>
      <c r="H1195" s="480"/>
      <c r="I1195" s="480"/>
      <c r="J1195" s="480"/>
      <c r="K1195" s="480"/>
      <c r="L1195" s="243">
        <f>SUM(L1196:L1197)</f>
        <v>3929736</v>
      </c>
      <c r="M1195" s="243">
        <f t="shared" ref="M1195:T1195" si="171">SUM(M1196:M1197)</f>
        <v>635762</v>
      </c>
      <c r="N1195" s="244">
        <f t="shared" si="171"/>
        <v>0</v>
      </c>
      <c r="O1195" s="244">
        <f t="shared" si="171"/>
        <v>0</v>
      </c>
      <c r="P1195" s="243">
        <f t="shared" si="171"/>
        <v>0</v>
      </c>
      <c r="Q1195" s="243">
        <f t="shared" si="171"/>
        <v>0</v>
      </c>
      <c r="R1195" s="243">
        <f t="shared" si="171"/>
        <v>0</v>
      </c>
      <c r="S1195" s="243">
        <f t="shared" si="171"/>
        <v>0</v>
      </c>
      <c r="T1195" s="243">
        <f t="shared" si="171"/>
        <v>0</v>
      </c>
      <c r="U1195" s="64"/>
    </row>
    <row r="1196" spans="1:21" s="183" customFormat="1" ht="24" customHeight="1">
      <c r="G1196" s="353"/>
      <c r="H1196" s="353"/>
      <c r="I1196" s="353"/>
      <c r="J1196" s="353"/>
      <c r="K1196" s="183" t="s">
        <v>980</v>
      </c>
      <c r="L1196" s="213">
        <f t="shared" ref="L1196:T1196" si="172">L400</f>
        <v>1211639</v>
      </c>
      <c r="M1196" s="213">
        <f t="shared" si="172"/>
        <v>561550</v>
      </c>
      <c r="N1196" s="214">
        <f t="shared" si="172"/>
        <v>0</v>
      </c>
      <c r="O1196" s="214">
        <f t="shared" si="172"/>
        <v>0</v>
      </c>
      <c r="P1196" s="213">
        <f t="shared" si="172"/>
        <v>0</v>
      </c>
      <c r="Q1196" s="213">
        <f t="shared" si="172"/>
        <v>0</v>
      </c>
      <c r="R1196" s="213">
        <f t="shared" si="172"/>
        <v>0</v>
      </c>
      <c r="S1196" s="213">
        <f t="shared" si="172"/>
        <v>0</v>
      </c>
      <c r="T1196" s="213">
        <f t="shared" si="172"/>
        <v>0</v>
      </c>
      <c r="U1196" s="64"/>
    </row>
    <row r="1197" spans="1:21" s="183" customFormat="1" ht="24" customHeight="1">
      <c r="G1197" s="353"/>
      <c r="H1197" s="353"/>
      <c r="I1197" s="353"/>
      <c r="J1197" s="353"/>
      <c r="K1197" s="183" t="s">
        <v>523</v>
      </c>
      <c r="L1197" s="213">
        <f t="shared" ref="L1197:T1197" si="173">L597</f>
        <v>2718097</v>
      </c>
      <c r="M1197" s="213">
        <f t="shared" si="173"/>
        <v>74212</v>
      </c>
      <c r="N1197" s="214">
        <f t="shared" si="173"/>
        <v>0</v>
      </c>
      <c r="O1197" s="214">
        <f t="shared" si="173"/>
        <v>0</v>
      </c>
      <c r="P1197" s="213">
        <f t="shared" si="173"/>
        <v>0</v>
      </c>
      <c r="Q1197" s="213">
        <f t="shared" si="173"/>
        <v>0</v>
      </c>
      <c r="R1197" s="213">
        <f t="shared" si="173"/>
        <v>0</v>
      </c>
      <c r="S1197" s="213">
        <f t="shared" si="173"/>
        <v>0</v>
      </c>
      <c r="T1197" s="213">
        <f t="shared" si="173"/>
        <v>0</v>
      </c>
      <c r="U1197" s="64"/>
    </row>
    <row r="1198" spans="1:21" s="183" customFormat="1" ht="24" customHeight="1">
      <c r="G1198" s="353"/>
      <c r="H1198" s="353"/>
      <c r="I1198" s="353"/>
      <c r="J1198" s="353"/>
      <c r="L1198" s="213"/>
      <c r="M1198" s="213"/>
      <c r="N1198" s="214"/>
      <c r="O1198" s="214"/>
      <c r="P1198" s="213"/>
      <c r="Q1198" s="213"/>
      <c r="R1198" s="213"/>
      <c r="S1198" s="213"/>
      <c r="T1198" s="213"/>
      <c r="U1198" s="64"/>
    </row>
    <row r="1199" spans="1:21" s="183" customFormat="1" ht="24" customHeight="1">
      <c r="G1199" s="480" t="s">
        <v>1076</v>
      </c>
      <c r="H1199" s="480"/>
      <c r="I1199" s="480"/>
      <c r="J1199" s="480"/>
      <c r="K1199" s="480"/>
      <c r="L1199" s="243">
        <f t="shared" ref="L1199:T1199" si="174">SUM(L1200:L1200)</f>
        <v>174197</v>
      </c>
      <c r="M1199" s="243">
        <f t="shared" si="174"/>
        <v>264985</v>
      </c>
      <c r="N1199" s="244">
        <f t="shared" si="174"/>
        <v>257500</v>
      </c>
      <c r="O1199" s="244">
        <f t="shared" si="174"/>
        <v>132538</v>
      </c>
      <c r="P1199" s="243">
        <f t="shared" si="174"/>
        <v>165000</v>
      </c>
      <c r="Q1199" s="243">
        <f t="shared" si="174"/>
        <v>175000</v>
      </c>
      <c r="R1199" s="243">
        <f t="shared" si="174"/>
        <v>0</v>
      </c>
      <c r="S1199" s="243">
        <f t="shared" si="174"/>
        <v>0</v>
      </c>
      <c r="T1199" s="243">
        <f t="shared" si="174"/>
        <v>0</v>
      </c>
      <c r="U1199" s="64"/>
    </row>
    <row r="1200" spans="1:21" s="183" customFormat="1" ht="24" customHeight="1">
      <c r="G1200" s="353"/>
      <c r="H1200" s="353"/>
      <c r="I1200" s="353"/>
      <c r="J1200" s="353"/>
      <c r="K1200" s="183" t="s">
        <v>523</v>
      </c>
      <c r="L1200" s="213">
        <f t="shared" ref="L1200:T1200" si="175">L588</f>
        <v>174197</v>
      </c>
      <c r="M1200" s="213">
        <f t="shared" si="175"/>
        <v>264985</v>
      </c>
      <c r="N1200" s="214">
        <f t="shared" si="175"/>
        <v>257500</v>
      </c>
      <c r="O1200" s="214">
        <f t="shared" si="175"/>
        <v>132538</v>
      </c>
      <c r="P1200" s="213">
        <f t="shared" si="175"/>
        <v>165000</v>
      </c>
      <c r="Q1200" s="213">
        <f t="shared" si="175"/>
        <v>175000</v>
      </c>
      <c r="R1200" s="213">
        <f t="shared" si="175"/>
        <v>0</v>
      </c>
      <c r="S1200" s="213">
        <f t="shared" si="175"/>
        <v>0</v>
      </c>
      <c r="T1200" s="213">
        <f t="shared" si="175"/>
        <v>0</v>
      </c>
      <c r="U1200" s="64"/>
    </row>
    <row r="1201" spans="5:21" s="183" customFormat="1" ht="24" customHeight="1">
      <c r="G1201" s="353"/>
      <c r="H1201" s="353"/>
      <c r="I1201" s="353"/>
      <c r="J1201" s="353"/>
      <c r="L1201" s="213"/>
      <c r="M1201" s="213"/>
      <c r="N1201" s="214"/>
      <c r="O1201" s="214"/>
      <c r="P1201" s="213"/>
      <c r="Q1201" s="213"/>
      <c r="R1201" s="213"/>
      <c r="S1201" s="213"/>
      <c r="T1201" s="213"/>
      <c r="U1201" s="64"/>
    </row>
    <row r="1202" spans="5:21" s="462" customFormat="1" ht="24" customHeight="1">
      <c r="G1202" s="480" t="s">
        <v>1371</v>
      </c>
      <c r="H1202" s="480"/>
      <c r="I1202" s="480"/>
      <c r="J1202" s="480"/>
      <c r="K1202" s="480"/>
      <c r="L1202" s="243">
        <f t="shared" ref="L1202:T1202" si="176">SUM(L1203:L1203)</f>
        <v>0</v>
      </c>
      <c r="M1202" s="243">
        <f t="shared" si="176"/>
        <v>0</v>
      </c>
      <c r="N1202" s="244">
        <f t="shared" si="176"/>
        <v>9000</v>
      </c>
      <c r="O1202" s="244">
        <f t="shared" si="176"/>
        <v>0</v>
      </c>
      <c r="P1202" s="243">
        <f t="shared" si="176"/>
        <v>185000</v>
      </c>
      <c r="Q1202" s="243">
        <f t="shared" si="176"/>
        <v>195000</v>
      </c>
      <c r="R1202" s="243">
        <f t="shared" si="176"/>
        <v>150000</v>
      </c>
      <c r="S1202" s="243">
        <f t="shared" si="176"/>
        <v>0</v>
      </c>
      <c r="T1202" s="243">
        <f t="shared" si="176"/>
        <v>0</v>
      </c>
      <c r="U1202" s="64"/>
    </row>
    <row r="1203" spans="5:21" s="462" customFormat="1" ht="24" customHeight="1">
      <c r="G1203" s="461"/>
      <c r="H1203" s="461"/>
      <c r="I1203" s="461"/>
      <c r="J1203" s="461"/>
      <c r="K1203" s="462" t="s">
        <v>523</v>
      </c>
      <c r="L1203" s="213">
        <f t="shared" ref="L1203:T1203" si="177">L596</f>
        <v>0</v>
      </c>
      <c r="M1203" s="213">
        <f t="shared" si="177"/>
        <v>0</v>
      </c>
      <c r="N1203" s="214">
        <f t="shared" si="177"/>
        <v>9000</v>
      </c>
      <c r="O1203" s="214">
        <f t="shared" si="177"/>
        <v>0</v>
      </c>
      <c r="P1203" s="213">
        <f t="shared" si="177"/>
        <v>185000</v>
      </c>
      <c r="Q1203" s="213">
        <f t="shared" si="177"/>
        <v>195000</v>
      </c>
      <c r="R1203" s="213">
        <f t="shared" si="177"/>
        <v>150000</v>
      </c>
      <c r="S1203" s="213">
        <f t="shared" si="177"/>
        <v>0</v>
      </c>
      <c r="T1203" s="213">
        <f t="shared" si="177"/>
        <v>0</v>
      </c>
      <c r="U1203" s="64"/>
    </row>
    <row r="1204" spans="5:21" s="462" customFormat="1" ht="24" customHeight="1">
      <c r="G1204" s="461"/>
      <c r="H1204" s="461"/>
      <c r="I1204" s="461"/>
      <c r="J1204" s="461"/>
      <c r="L1204" s="213"/>
      <c r="M1204" s="213"/>
      <c r="N1204" s="214"/>
      <c r="O1204" s="214"/>
      <c r="P1204" s="213"/>
      <c r="Q1204" s="213"/>
      <c r="R1204" s="213"/>
      <c r="S1204" s="213"/>
      <c r="T1204" s="213"/>
      <c r="U1204" s="64"/>
    </row>
    <row r="1205" spans="5:21" s="183" customFormat="1" ht="24" customHeight="1">
      <c r="E1205" s="480" t="s">
        <v>1193</v>
      </c>
      <c r="F1205" s="480"/>
      <c r="G1205" s="480"/>
      <c r="H1205" s="480"/>
      <c r="I1205" s="480"/>
      <c r="J1205" s="480"/>
      <c r="K1205" s="480"/>
      <c r="L1205" s="243">
        <f>SUM(L1206:L1207)</f>
        <v>29870</v>
      </c>
      <c r="M1205" s="243">
        <f t="shared" ref="M1205:T1205" si="178">SUM(M1206:M1207)</f>
        <v>49464</v>
      </c>
      <c r="N1205" s="244">
        <f t="shared" si="178"/>
        <v>722500</v>
      </c>
      <c r="O1205" s="244">
        <f t="shared" si="178"/>
        <v>340000</v>
      </c>
      <c r="P1205" s="243">
        <f t="shared" si="178"/>
        <v>105166</v>
      </c>
      <c r="Q1205" s="243">
        <f t="shared" si="178"/>
        <v>105166</v>
      </c>
      <c r="R1205" s="243">
        <f t="shared" si="178"/>
        <v>105166</v>
      </c>
      <c r="S1205" s="243">
        <f t="shared" si="178"/>
        <v>0</v>
      </c>
      <c r="T1205" s="243">
        <f t="shared" si="178"/>
        <v>0</v>
      </c>
      <c r="U1205" s="64"/>
    </row>
    <row r="1206" spans="5:21" s="183" customFormat="1" ht="24" customHeight="1">
      <c r="G1206" s="353"/>
      <c r="H1206" s="353"/>
      <c r="I1206" s="353"/>
      <c r="J1206" s="353"/>
      <c r="K1206" s="183" t="s">
        <v>523</v>
      </c>
      <c r="L1206" s="213">
        <f t="shared" ref="L1206:T1206" si="179">L593</f>
        <v>24195</v>
      </c>
      <c r="M1206" s="213">
        <f t="shared" si="179"/>
        <v>44904</v>
      </c>
      <c r="N1206" s="214">
        <f t="shared" si="179"/>
        <v>533500</v>
      </c>
      <c r="O1206" s="214">
        <f t="shared" si="179"/>
        <v>340000</v>
      </c>
      <c r="P1206" s="213">
        <f t="shared" si="179"/>
        <v>42166</v>
      </c>
      <c r="Q1206" s="213">
        <f t="shared" si="179"/>
        <v>42166</v>
      </c>
      <c r="R1206" s="213">
        <f t="shared" si="179"/>
        <v>42166</v>
      </c>
      <c r="S1206" s="213">
        <f t="shared" si="179"/>
        <v>0</v>
      </c>
      <c r="T1206" s="213">
        <f t="shared" si="179"/>
        <v>0</v>
      </c>
      <c r="U1206" s="64"/>
    </row>
    <row r="1207" spans="5:21" s="183" customFormat="1" ht="24" customHeight="1">
      <c r="G1207" s="353"/>
      <c r="H1207" s="353"/>
      <c r="I1207" s="353"/>
      <c r="J1207" s="353"/>
      <c r="K1207" s="183" t="s">
        <v>524</v>
      </c>
      <c r="L1207" s="213">
        <f t="shared" ref="L1207:T1207" si="180">L691</f>
        <v>5675</v>
      </c>
      <c r="M1207" s="213">
        <f t="shared" si="180"/>
        <v>4560</v>
      </c>
      <c r="N1207" s="214">
        <f t="shared" si="180"/>
        <v>189000</v>
      </c>
      <c r="O1207" s="214">
        <f t="shared" si="180"/>
        <v>0</v>
      </c>
      <c r="P1207" s="213">
        <f t="shared" si="180"/>
        <v>63000</v>
      </c>
      <c r="Q1207" s="213">
        <f t="shared" si="180"/>
        <v>63000</v>
      </c>
      <c r="R1207" s="213">
        <f t="shared" si="180"/>
        <v>63000</v>
      </c>
      <c r="S1207" s="213">
        <f t="shared" si="180"/>
        <v>0</v>
      </c>
      <c r="T1207" s="213">
        <f t="shared" si="180"/>
        <v>0</v>
      </c>
      <c r="U1207" s="190"/>
    </row>
    <row r="1208" spans="5:21" s="183" customFormat="1" ht="24" customHeight="1">
      <c r="G1208" s="353"/>
      <c r="H1208" s="353"/>
      <c r="I1208" s="353"/>
      <c r="J1208" s="353"/>
      <c r="L1208" s="213"/>
      <c r="M1208" s="213"/>
      <c r="N1208" s="214"/>
      <c r="O1208" s="214"/>
      <c r="P1208" s="213"/>
      <c r="Q1208" s="213"/>
      <c r="R1208" s="213"/>
      <c r="S1208" s="213"/>
      <c r="T1208" s="213"/>
      <c r="U1208" s="64"/>
    </row>
    <row r="1209" spans="5:21" s="183" customFormat="1" ht="24" customHeight="1">
      <c r="G1209" s="480" t="s">
        <v>1369</v>
      </c>
      <c r="H1209" s="480"/>
      <c r="I1209" s="480"/>
      <c r="J1209" s="480"/>
      <c r="K1209" s="480"/>
      <c r="L1209" s="243">
        <f t="shared" ref="L1209:T1209" si="181">SUM(L1210:L1210)</f>
        <v>0</v>
      </c>
      <c r="M1209" s="243">
        <f t="shared" si="181"/>
        <v>0</v>
      </c>
      <c r="N1209" s="244">
        <f t="shared" si="181"/>
        <v>0</v>
      </c>
      <c r="O1209" s="244">
        <f t="shared" si="181"/>
        <v>0</v>
      </c>
      <c r="P1209" s="243">
        <f t="shared" si="181"/>
        <v>0</v>
      </c>
      <c r="Q1209" s="243">
        <f t="shared" si="181"/>
        <v>18000</v>
      </c>
      <c r="R1209" s="243">
        <f t="shared" si="181"/>
        <v>495000</v>
      </c>
      <c r="S1209" s="243">
        <f t="shared" si="181"/>
        <v>477000</v>
      </c>
      <c r="T1209" s="243">
        <f t="shared" si="181"/>
        <v>0</v>
      </c>
      <c r="U1209" s="64"/>
    </row>
    <row r="1210" spans="5:21" s="183" customFormat="1" ht="24" customHeight="1">
      <c r="G1210" s="353"/>
      <c r="H1210" s="353"/>
      <c r="I1210" s="353"/>
      <c r="J1210" s="353"/>
      <c r="K1210" s="183" t="s">
        <v>523</v>
      </c>
      <c r="L1210" s="213">
        <f t="shared" ref="L1210:T1210" si="182">L587</f>
        <v>0</v>
      </c>
      <c r="M1210" s="213">
        <f t="shared" si="182"/>
        <v>0</v>
      </c>
      <c r="N1210" s="214">
        <f t="shared" si="182"/>
        <v>0</v>
      </c>
      <c r="O1210" s="214">
        <f t="shared" si="182"/>
        <v>0</v>
      </c>
      <c r="P1210" s="213">
        <f t="shared" si="182"/>
        <v>0</v>
      </c>
      <c r="Q1210" s="213">
        <f t="shared" si="182"/>
        <v>18000</v>
      </c>
      <c r="R1210" s="213">
        <f t="shared" si="182"/>
        <v>495000</v>
      </c>
      <c r="S1210" s="213">
        <f t="shared" si="182"/>
        <v>477000</v>
      </c>
      <c r="T1210" s="213">
        <f t="shared" si="182"/>
        <v>0</v>
      </c>
      <c r="U1210" s="64"/>
    </row>
    <row r="1211" spans="5:21" s="183" customFormat="1" ht="24" customHeight="1">
      <c r="K1211" s="313"/>
      <c r="L1211" s="314"/>
      <c r="M1211" s="314"/>
      <c r="N1211" s="319"/>
      <c r="O1211" s="319"/>
      <c r="P1211" s="314"/>
      <c r="Q1211" s="314"/>
      <c r="R1211" s="314"/>
      <c r="S1211" s="314"/>
      <c r="T1211" s="314"/>
      <c r="U1211" s="64"/>
    </row>
    <row r="1212" spans="5:21" s="183" customFormat="1" ht="24" customHeight="1">
      <c r="G1212" s="484" t="s">
        <v>1367</v>
      </c>
      <c r="H1212" s="484"/>
      <c r="I1212" s="484"/>
      <c r="J1212" s="484"/>
      <c r="K1212" s="484"/>
      <c r="L1212" s="243">
        <f>L1213+L1214+L1215</f>
        <v>0</v>
      </c>
      <c r="M1212" s="243">
        <f t="shared" ref="M1212:T1212" si="183">M1213+M1214+M1215</f>
        <v>3049</v>
      </c>
      <c r="N1212" s="244">
        <f>N1213+N1214+N1215</f>
        <v>1167370</v>
      </c>
      <c r="O1212" s="244">
        <f t="shared" si="183"/>
        <v>1063000</v>
      </c>
      <c r="P1212" s="243">
        <f t="shared" si="183"/>
        <v>22500</v>
      </c>
      <c r="Q1212" s="243">
        <f t="shared" si="183"/>
        <v>0</v>
      </c>
      <c r="R1212" s="243">
        <f t="shared" si="183"/>
        <v>0</v>
      </c>
      <c r="S1212" s="243">
        <f t="shared" si="183"/>
        <v>0</v>
      </c>
      <c r="T1212" s="243">
        <f t="shared" si="183"/>
        <v>0</v>
      </c>
      <c r="U1212" s="64"/>
    </row>
    <row r="1213" spans="5:21" s="183" customFormat="1" ht="24" customHeight="1">
      <c r="K1213" s="183" t="s">
        <v>980</v>
      </c>
      <c r="L1213" s="213">
        <f t="shared" ref="L1213:T1213" si="184">L395</f>
        <v>0</v>
      </c>
      <c r="M1213" s="213">
        <f t="shared" si="184"/>
        <v>2762</v>
      </c>
      <c r="N1213" s="214">
        <f t="shared" si="184"/>
        <v>1070000</v>
      </c>
      <c r="O1213" s="214">
        <f t="shared" si="184"/>
        <v>945000</v>
      </c>
      <c r="P1213" s="213">
        <f t="shared" si="184"/>
        <v>22500</v>
      </c>
      <c r="Q1213" s="213">
        <f t="shared" si="184"/>
        <v>0</v>
      </c>
      <c r="R1213" s="213">
        <f t="shared" si="184"/>
        <v>0</v>
      </c>
      <c r="S1213" s="213">
        <f t="shared" si="184"/>
        <v>0</v>
      </c>
      <c r="T1213" s="213">
        <f t="shared" si="184"/>
        <v>0</v>
      </c>
      <c r="U1213" s="64"/>
    </row>
    <row r="1214" spans="5:21" s="462" customFormat="1" ht="24" customHeight="1">
      <c r="K1214" s="462" t="s">
        <v>523</v>
      </c>
      <c r="L1214" s="213">
        <f t="shared" ref="L1214:T1214" si="185">L590</f>
        <v>0</v>
      </c>
      <c r="M1214" s="213">
        <f t="shared" si="185"/>
        <v>115</v>
      </c>
      <c r="N1214" s="214">
        <f t="shared" si="185"/>
        <v>49220</v>
      </c>
      <c r="O1214" s="214">
        <f t="shared" si="185"/>
        <v>45000</v>
      </c>
      <c r="P1214" s="213">
        <f t="shared" si="185"/>
        <v>0</v>
      </c>
      <c r="Q1214" s="213">
        <f t="shared" si="185"/>
        <v>0</v>
      </c>
      <c r="R1214" s="213">
        <f t="shared" si="185"/>
        <v>0</v>
      </c>
      <c r="S1214" s="213">
        <f t="shared" si="185"/>
        <v>0</v>
      </c>
      <c r="T1214" s="213">
        <f t="shared" si="185"/>
        <v>0</v>
      </c>
      <c r="U1214" s="64"/>
    </row>
    <row r="1215" spans="5:21" s="462" customFormat="1" ht="24" customHeight="1">
      <c r="K1215" s="462" t="s">
        <v>524</v>
      </c>
      <c r="L1215" s="213">
        <f t="shared" ref="L1215:T1215" si="186">L688</f>
        <v>0</v>
      </c>
      <c r="M1215" s="213">
        <f t="shared" si="186"/>
        <v>172</v>
      </c>
      <c r="N1215" s="214">
        <f t="shared" si="186"/>
        <v>48150</v>
      </c>
      <c r="O1215" s="214">
        <f t="shared" si="186"/>
        <v>73000</v>
      </c>
      <c r="P1215" s="213">
        <f t="shared" si="186"/>
        <v>0</v>
      </c>
      <c r="Q1215" s="213">
        <f t="shared" si="186"/>
        <v>0</v>
      </c>
      <c r="R1215" s="213">
        <f t="shared" si="186"/>
        <v>0</v>
      </c>
      <c r="S1215" s="213">
        <f t="shared" si="186"/>
        <v>0</v>
      </c>
      <c r="T1215" s="213">
        <f t="shared" si="186"/>
        <v>0</v>
      </c>
      <c r="U1215" s="64"/>
    </row>
    <row r="1216" spans="5:21" s="183" customFormat="1" ht="24" customHeight="1">
      <c r="K1216" s="313"/>
      <c r="L1216" s="314"/>
      <c r="M1216" s="314"/>
      <c r="N1216" s="319"/>
      <c r="O1216" s="319"/>
      <c r="P1216" s="314"/>
      <c r="Q1216" s="314"/>
      <c r="R1216" s="314"/>
      <c r="S1216" s="314"/>
      <c r="T1216" s="314"/>
      <c r="U1216" s="64"/>
    </row>
    <row r="1217" spans="1:21" s="279" customFormat="1" ht="24" customHeight="1">
      <c r="L1217" s="346"/>
      <c r="M1217" s="346"/>
      <c r="N1217" s="347"/>
      <c r="O1217" s="347"/>
      <c r="P1217" s="346"/>
      <c r="Q1217" s="346"/>
      <c r="R1217" s="346"/>
      <c r="S1217" s="346"/>
      <c r="T1217" s="346"/>
      <c r="U1217" s="64"/>
    </row>
    <row r="1218" spans="1:21" s="183" customFormat="1" ht="24" customHeight="1">
      <c r="L1218" s="245"/>
      <c r="M1218" s="245"/>
      <c r="N1218" s="200"/>
      <c r="O1218" s="200"/>
      <c r="P1218" s="245"/>
      <c r="Q1218" s="245"/>
      <c r="R1218" s="245"/>
      <c r="S1218" s="245"/>
      <c r="T1218" s="245"/>
      <c r="U1218" s="64"/>
    </row>
    <row r="1219" spans="1:21" ht="24" customHeight="1">
      <c r="J1219" s="183"/>
      <c r="K1219" s="183"/>
      <c r="L1219" s="273"/>
      <c r="M1219" s="273"/>
    </row>
    <row r="1220" spans="1:21" s="312" customFormat="1" ht="35.1" customHeight="1">
      <c r="A1220" s="479" t="s">
        <v>989</v>
      </c>
      <c r="B1220" s="479"/>
      <c r="C1220" s="479"/>
      <c r="D1220" s="479"/>
      <c r="E1220" s="479"/>
      <c r="F1220" s="479"/>
      <c r="G1220" s="479"/>
      <c r="H1220" s="479"/>
      <c r="I1220" s="479"/>
      <c r="J1220" s="479"/>
      <c r="K1220" s="479"/>
      <c r="L1220" s="479"/>
      <c r="M1220" s="479"/>
      <c r="N1220" s="479"/>
      <c r="O1220" s="479"/>
      <c r="P1220" s="479"/>
      <c r="Q1220" s="479"/>
      <c r="R1220" s="479"/>
      <c r="S1220" s="479"/>
      <c r="T1220" s="479"/>
      <c r="U1220" s="387"/>
    </row>
    <row r="1221" spans="1:21" ht="24" customHeight="1"/>
    <row r="1222" spans="1:21" ht="24" customHeight="1"/>
    <row r="1223" spans="1:21" ht="24" customHeight="1">
      <c r="U1223" s="299"/>
    </row>
    <row r="1224" spans="1:21" ht="24" customHeight="1">
      <c r="U1224" s="299"/>
    </row>
    <row r="1225" spans="1:21" ht="24" customHeight="1">
      <c r="U1225" s="299"/>
    </row>
    <row r="1226" spans="1:21" ht="24" customHeight="1">
      <c r="U1226" s="299"/>
    </row>
    <row r="1227" spans="1:21" ht="24" customHeight="1">
      <c r="U1227" s="299"/>
    </row>
    <row r="1228" spans="1:21" ht="24" customHeight="1">
      <c r="U1228" s="299"/>
    </row>
    <row r="1229" spans="1:21" ht="24" customHeight="1">
      <c r="U1229" s="299"/>
    </row>
    <row r="1230" spans="1:21" ht="24" customHeight="1">
      <c r="U1230" s="299"/>
    </row>
    <row r="1231" spans="1:21" ht="24" customHeight="1">
      <c r="U1231" s="299"/>
    </row>
    <row r="1232" spans="1:21" ht="24" customHeight="1">
      <c r="U1232" s="299"/>
    </row>
    <row r="1233" spans="21:21" ht="24" customHeight="1">
      <c r="U1233" s="299"/>
    </row>
    <row r="1234" spans="21:21" ht="24" customHeight="1">
      <c r="U1234" s="299"/>
    </row>
    <row r="1235" spans="21:21" ht="24" customHeight="1">
      <c r="U1235" s="299"/>
    </row>
    <row r="1236" spans="21:21" ht="24" customHeight="1">
      <c r="U1236" s="299"/>
    </row>
    <row r="1237" spans="21:21" ht="24" customHeight="1">
      <c r="U1237" s="299"/>
    </row>
    <row r="1238" spans="21:21" ht="24" customHeight="1">
      <c r="U1238" s="299"/>
    </row>
    <row r="1239" spans="21:21" ht="24" customHeight="1">
      <c r="U1239" s="299"/>
    </row>
    <row r="1240" spans="21:21" ht="24" customHeight="1">
      <c r="U1240" s="299"/>
    </row>
    <row r="1241" spans="21:21" ht="24" customHeight="1">
      <c r="U1241" s="299"/>
    </row>
    <row r="1242" spans="21:21" ht="24" customHeight="1">
      <c r="U1242" s="299"/>
    </row>
    <row r="1243" spans="21:21" ht="24" customHeight="1">
      <c r="U1243" s="299"/>
    </row>
    <row r="1244" spans="21:21" ht="24" customHeight="1">
      <c r="U1244" s="299"/>
    </row>
    <row r="1245" spans="21:21" ht="24" customHeight="1">
      <c r="U1245" s="299"/>
    </row>
    <row r="1246" spans="21:21" ht="24" customHeight="1">
      <c r="U1246" s="299"/>
    </row>
    <row r="1247" spans="21:21" ht="24" customHeight="1">
      <c r="U1247" s="299"/>
    </row>
    <row r="1248" spans="21:21" ht="24" customHeight="1">
      <c r="U1248" s="299"/>
    </row>
    <row r="1249" spans="21:21" ht="24" customHeight="1">
      <c r="U1249" s="299"/>
    </row>
    <row r="1250" spans="21:21" ht="24" customHeight="1">
      <c r="U1250" s="299"/>
    </row>
    <row r="1251" spans="21:21" ht="24" customHeight="1">
      <c r="U1251" s="299"/>
    </row>
    <row r="1252" spans="21:21" ht="24" customHeight="1">
      <c r="U1252" s="299"/>
    </row>
    <row r="1253" spans="21:21" ht="24" customHeight="1">
      <c r="U1253" s="299"/>
    </row>
    <row r="1254" spans="21:21" ht="24" customHeight="1">
      <c r="U1254" s="299"/>
    </row>
    <row r="1255" spans="21:21" ht="24" customHeight="1">
      <c r="U1255" s="299"/>
    </row>
    <row r="1256" spans="21:21" ht="24" customHeight="1">
      <c r="U1256" s="299"/>
    </row>
    <row r="1257" spans="21:21" ht="24" customHeight="1">
      <c r="U1257" s="299"/>
    </row>
    <row r="1258" spans="21:21" ht="24" customHeight="1">
      <c r="U1258" s="299"/>
    </row>
    <row r="1259" spans="21:21" ht="24" customHeight="1">
      <c r="U1259" s="299"/>
    </row>
    <row r="1260" spans="21:21" ht="24" customHeight="1">
      <c r="U1260" s="299"/>
    </row>
    <row r="1261" spans="21:21" ht="24" customHeight="1">
      <c r="U1261" s="299"/>
    </row>
    <row r="1262" spans="21:21" ht="24" customHeight="1">
      <c r="U1262" s="299"/>
    </row>
    <row r="1263" spans="21:21" ht="24" customHeight="1">
      <c r="U1263" s="299"/>
    </row>
    <row r="1264" spans="21:21" ht="24" customHeight="1">
      <c r="U1264" s="299"/>
    </row>
    <row r="1265" spans="21:21" ht="24" customHeight="1">
      <c r="U1265" s="299"/>
    </row>
    <row r="1266" spans="21:21" ht="24" customHeight="1">
      <c r="U1266" s="299"/>
    </row>
    <row r="1267" spans="21:21" ht="24" customHeight="1">
      <c r="U1267" s="299"/>
    </row>
    <row r="1268" spans="21:21" ht="24" customHeight="1">
      <c r="U1268" s="299"/>
    </row>
    <row r="1269" spans="21:21" ht="24" customHeight="1">
      <c r="U1269" s="299"/>
    </row>
    <row r="1270" spans="21:21" ht="24" customHeight="1">
      <c r="U1270" s="299"/>
    </row>
    <row r="1271" spans="21:21" ht="24" customHeight="1">
      <c r="U1271" s="299"/>
    </row>
    <row r="1272" spans="21:21" ht="24" customHeight="1">
      <c r="U1272" s="299"/>
    </row>
    <row r="1273" spans="21:21" ht="24" customHeight="1">
      <c r="U1273" s="299"/>
    </row>
    <row r="1274" spans="21:21" ht="24" customHeight="1">
      <c r="U1274" s="299"/>
    </row>
    <row r="1275" spans="21:21" ht="24" customHeight="1">
      <c r="U1275" s="299"/>
    </row>
    <row r="1276" spans="21:21" ht="24" customHeight="1">
      <c r="U1276" s="299"/>
    </row>
    <row r="1277" spans="21:21" ht="24" customHeight="1">
      <c r="U1277" s="299"/>
    </row>
    <row r="1278" spans="21:21" ht="24" customHeight="1">
      <c r="U1278" s="299"/>
    </row>
    <row r="1279" spans="21:21" ht="24" customHeight="1">
      <c r="U1279" s="299"/>
    </row>
    <row r="1280" spans="21:21" ht="24" customHeight="1">
      <c r="U1280" s="299"/>
    </row>
    <row r="1281" spans="21:21" ht="24" customHeight="1">
      <c r="U1281" s="299"/>
    </row>
    <row r="1282" spans="21:21" ht="24" customHeight="1">
      <c r="U1282" s="299"/>
    </row>
    <row r="1283" spans="21:21" ht="24" customHeight="1">
      <c r="U1283" s="299"/>
    </row>
    <row r="1284" spans="21:21" ht="24" customHeight="1">
      <c r="U1284" s="299"/>
    </row>
    <row r="1285" spans="21:21" ht="24" customHeight="1">
      <c r="U1285" s="299"/>
    </row>
    <row r="1286" spans="21:21" ht="24" customHeight="1">
      <c r="U1286" s="299"/>
    </row>
    <row r="1287" spans="21:21" ht="24" customHeight="1">
      <c r="U1287" s="299"/>
    </row>
    <row r="1288" spans="21:21" ht="24" customHeight="1">
      <c r="U1288" s="299"/>
    </row>
    <row r="1289" spans="21:21" ht="24" customHeight="1">
      <c r="U1289" s="299"/>
    </row>
    <row r="1290" spans="21:21" ht="24" customHeight="1">
      <c r="U1290" s="299"/>
    </row>
    <row r="1291" spans="21:21" ht="24" customHeight="1">
      <c r="U1291" s="299"/>
    </row>
    <row r="1292" spans="21:21" ht="24" customHeight="1">
      <c r="U1292" s="299"/>
    </row>
    <row r="1293" spans="21:21" ht="24" customHeight="1">
      <c r="U1293" s="299"/>
    </row>
    <row r="1294" spans="21:21" ht="24" customHeight="1">
      <c r="U1294" s="299"/>
    </row>
    <row r="1295" spans="21:21" ht="24" customHeight="1">
      <c r="U1295" s="299"/>
    </row>
    <row r="1296" spans="21:21" ht="24" customHeight="1">
      <c r="U1296" s="299"/>
    </row>
    <row r="1297" spans="21:21" ht="24" customHeight="1">
      <c r="U1297" s="299"/>
    </row>
    <row r="1298" spans="21:21" ht="24" customHeight="1">
      <c r="U1298" s="299"/>
    </row>
    <row r="1299" spans="21:21" ht="24" customHeight="1">
      <c r="U1299" s="299"/>
    </row>
    <row r="1300" spans="21:21" ht="24" customHeight="1">
      <c r="U1300" s="299"/>
    </row>
    <row r="1301" spans="21:21" ht="24" customHeight="1">
      <c r="U1301" s="299"/>
    </row>
    <row r="1302" spans="21:21" ht="24" customHeight="1">
      <c r="U1302" s="299"/>
    </row>
    <row r="1303" spans="21:21" ht="24" customHeight="1">
      <c r="U1303" s="299"/>
    </row>
    <row r="1304" spans="21:21" ht="24" customHeight="1">
      <c r="U1304" s="299"/>
    </row>
    <row r="1305" spans="21:21" ht="24" customHeight="1">
      <c r="U1305" s="299"/>
    </row>
    <row r="1306" spans="21:21" ht="24" customHeight="1">
      <c r="U1306" s="299"/>
    </row>
    <row r="1307" spans="21:21" ht="24" customHeight="1">
      <c r="U1307" s="299"/>
    </row>
    <row r="1308" spans="21:21" ht="24" customHeight="1">
      <c r="U1308" s="299"/>
    </row>
    <row r="1309" spans="21:21" ht="24" customHeight="1">
      <c r="U1309" s="299"/>
    </row>
    <row r="1310" spans="21:21" ht="24" customHeight="1">
      <c r="U1310" s="299"/>
    </row>
    <row r="1311" spans="21:21" ht="24" customHeight="1">
      <c r="U1311" s="299"/>
    </row>
    <row r="1312" spans="21:21" ht="24" customHeight="1">
      <c r="U1312" s="299"/>
    </row>
    <row r="1313" spans="21:21" ht="24" customHeight="1">
      <c r="U1313" s="299"/>
    </row>
    <row r="1314" spans="21:21" ht="24" customHeight="1">
      <c r="U1314" s="299"/>
    </row>
    <row r="1315" spans="21:21" ht="24" customHeight="1">
      <c r="U1315" s="299"/>
    </row>
    <row r="1316" spans="21:21" ht="24" customHeight="1">
      <c r="U1316" s="299"/>
    </row>
    <row r="1317" spans="21:21" ht="24" customHeight="1">
      <c r="U1317" s="299"/>
    </row>
    <row r="1318" spans="21:21" ht="24" customHeight="1">
      <c r="U1318" s="299"/>
    </row>
    <row r="1319" spans="21:21" ht="24" customHeight="1">
      <c r="U1319" s="299"/>
    </row>
    <row r="1320" spans="21:21" ht="24" customHeight="1">
      <c r="U1320" s="299"/>
    </row>
    <row r="1321" spans="21:21" ht="24" customHeight="1">
      <c r="U1321" s="299"/>
    </row>
    <row r="1322" spans="21:21" ht="24" customHeight="1">
      <c r="U1322" s="299"/>
    </row>
    <row r="1323" spans="21:21" ht="24" customHeight="1">
      <c r="U1323" s="299"/>
    </row>
    <row r="1324" spans="21:21" ht="24" customHeight="1">
      <c r="U1324" s="299"/>
    </row>
    <row r="1325" spans="21:21" ht="24" customHeight="1">
      <c r="U1325" s="299"/>
    </row>
    <row r="1326" spans="21:21" ht="24" customHeight="1">
      <c r="U1326" s="299"/>
    </row>
    <row r="1327" spans="21:21" ht="24" customHeight="1">
      <c r="U1327" s="299"/>
    </row>
    <row r="1328" spans="21:21" ht="24" customHeight="1">
      <c r="U1328" s="299"/>
    </row>
    <row r="1329" spans="21:21" ht="24" customHeight="1">
      <c r="U1329" s="299"/>
    </row>
    <row r="1330" spans="21:21" ht="24" customHeight="1">
      <c r="U1330" s="299"/>
    </row>
    <row r="1331" spans="21:21" ht="24" customHeight="1">
      <c r="U1331" s="299"/>
    </row>
    <row r="1332" spans="21:21" ht="24" customHeight="1">
      <c r="U1332" s="299"/>
    </row>
    <row r="1333" spans="21:21" ht="24" customHeight="1">
      <c r="U1333" s="299"/>
    </row>
    <row r="1334" spans="21:21" ht="24" customHeight="1">
      <c r="U1334" s="299"/>
    </row>
    <row r="1335" spans="21:21" ht="24" customHeight="1">
      <c r="U1335" s="299"/>
    </row>
    <row r="1336" spans="21:21" ht="24" customHeight="1">
      <c r="U1336" s="299"/>
    </row>
    <row r="1337" spans="21:21" ht="24" customHeight="1">
      <c r="U1337" s="299"/>
    </row>
    <row r="1338" spans="21:21" ht="24" customHeight="1">
      <c r="U1338" s="299"/>
    </row>
    <row r="1339" spans="21:21" ht="24" customHeight="1">
      <c r="U1339" s="299"/>
    </row>
    <row r="1340" spans="21:21" ht="24" customHeight="1">
      <c r="U1340" s="299"/>
    </row>
    <row r="1341" spans="21:21" ht="24" customHeight="1">
      <c r="U1341" s="299"/>
    </row>
    <row r="1342" spans="21:21" ht="24" customHeight="1">
      <c r="U1342" s="299"/>
    </row>
    <row r="1343" spans="21:21" ht="24" customHeight="1">
      <c r="U1343" s="299"/>
    </row>
    <row r="1344" spans="21:21" ht="24" customHeight="1">
      <c r="U1344" s="299"/>
    </row>
    <row r="1345" spans="21:21" ht="24" customHeight="1">
      <c r="U1345" s="299"/>
    </row>
    <row r="1346" spans="21:21" ht="24" customHeight="1">
      <c r="U1346" s="299"/>
    </row>
    <row r="1347" spans="21:21" ht="24" customHeight="1">
      <c r="U1347" s="299"/>
    </row>
    <row r="1348" spans="21:21" ht="24" customHeight="1">
      <c r="U1348" s="299"/>
    </row>
    <row r="1349" spans="21:21" ht="24" customHeight="1">
      <c r="U1349" s="299"/>
    </row>
    <row r="1350" spans="21:21" ht="24" customHeight="1">
      <c r="U1350" s="299"/>
    </row>
    <row r="1351" spans="21:21" ht="24" customHeight="1">
      <c r="U1351" s="299"/>
    </row>
    <row r="1352" spans="21:21" ht="24" customHeight="1">
      <c r="U1352" s="299"/>
    </row>
    <row r="1353" spans="21:21" ht="24" customHeight="1">
      <c r="U1353" s="299"/>
    </row>
    <row r="1354" spans="21:21" ht="24" customHeight="1">
      <c r="U1354" s="299"/>
    </row>
    <row r="1355" spans="21:21" ht="24" customHeight="1">
      <c r="U1355" s="299"/>
    </row>
    <row r="1356" spans="21:21" ht="24" customHeight="1">
      <c r="U1356" s="299"/>
    </row>
    <row r="1357" spans="21:21" ht="24" customHeight="1">
      <c r="U1357" s="299"/>
    </row>
    <row r="1358" spans="21:21" ht="24" customHeight="1">
      <c r="U1358" s="299"/>
    </row>
    <row r="1359" spans="21:21" ht="24" customHeight="1">
      <c r="U1359" s="299"/>
    </row>
    <row r="1360" spans="21:21" ht="24" customHeight="1">
      <c r="U1360" s="299"/>
    </row>
    <row r="1361" spans="21:21" ht="24" customHeight="1">
      <c r="U1361" s="299"/>
    </row>
    <row r="1362" spans="21:21" ht="24" customHeight="1">
      <c r="U1362" s="299"/>
    </row>
    <row r="1363" spans="21:21" ht="24" customHeight="1">
      <c r="U1363" s="299"/>
    </row>
    <row r="1364" spans="21:21" ht="24" customHeight="1">
      <c r="U1364" s="299"/>
    </row>
    <row r="1365" spans="21:21" ht="24" customHeight="1">
      <c r="U1365" s="299"/>
    </row>
    <row r="1366" spans="21:21" ht="24" customHeight="1">
      <c r="U1366" s="299"/>
    </row>
    <row r="1367" spans="21:21" ht="24" customHeight="1">
      <c r="U1367" s="299"/>
    </row>
    <row r="1368" spans="21:21" ht="24" customHeight="1">
      <c r="U1368" s="299"/>
    </row>
    <row r="1369" spans="21:21" ht="24" customHeight="1">
      <c r="U1369" s="299"/>
    </row>
    <row r="1370" spans="21:21" ht="24" customHeight="1">
      <c r="U1370" s="299"/>
    </row>
    <row r="1371" spans="21:21" ht="24" customHeight="1">
      <c r="U1371" s="299"/>
    </row>
    <row r="1372" spans="21:21" ht="24" customHeight="1">
      <c r="U1372" s="299"/>
    </row>
    <row r="1373" spans="21:21" ht="24" customHeight="1">
      <c r="U1373" s="299"/>
    </row>
    <row r="1374" spans="21:21" ht="24" customHeight="1">
      <c r="U1374" s="299"/>
    </row>
    <row r="1375" spans="21:21" ht="24" customHeight="1">
      <c r="U1375" s="299"/>
    </row>
    <row r="1376" spans="21:21" ht="24" customHeight="1">
      <c r="U1376" s="299"/>
    </row>
    <row r="1377" spans="21:21" ht="24" customHeight="1">
      <c r="U1377" s="299"/>
    </row>
    <row r="1378" spans="21:21" ht="24" customHeight="1">
      <c r="U1378" s="299"/>
    </row>
    <row r="1379" spans="21:21" ht="24" customHeight="1">
      <c r="U1379" s="299"/>
    </row>
    <row r="1380" spans="21:21" ht="24" customHeight="1">
      <c r="U1380" s="299"/>
    </row>
    <row r="1381" spans="21:21" ht="24" customHeight="1">
      <c r="U1381" s="299"/>
    </row>
    <row r="1382" spans="21:21" ht="24" customHeight="1">
      <c r="U1382" s="299"/>
    </row>
    <row r="1383" spans="21:21" ht="24" customHeight="1">
      <c r="U1383" s="299"/>
    </row>
    <row r="1384" spans="21:21" ht="24" customHeight="1">
      <c r="U1384" s="299"/>
    </row>
    <row r="1385" spans="21:21" ht="24" customHeight="1">
      <c r="U1385" s="299"/>
    </row>
    <row r="1386" spans="21:21" ht="24" customHeight="1">
      <c r="U1386" s="299"/>
    </row>
    <row r="1387" spans="21:21" ht="24" customHeight="1">
      <c r="U1387" s="299"/>
    </row>
    <row r="1388" spans="21:21" ht="24" customHeight="1">
      <c r="U1388" s="299"/>
    </row>
    <row r="1389" spans="21:21" ht="24" customHeight="1">
      <c r="U1389" s="299"/>
    </row>
    <row r="1390" spans="21:21" ht="24" customHeight="1">
      <c r="U1390" s="299"/>
    </row>
    <row r="1391" spans="21:21" ht="24" customHeight="1">
      <c r="U1391" s="299"/>
    </row>
    <row r="1392" spans="21:21" ht="24" customHeight="1">
      <c r="U1392" s="299"/>
    </row>
    <row r="1393" spans="21:21" ht="24" customHeight="1">
      <c r="U1393" s="299"/>
    </row>
    <row r="1394" spans="21:21" ht="24" customHeight="1">
      <c r="U1394" s="299"/>
    </row>
    <row r="1395" spans="21:21" ht="24" customHeight="1">
      <c r="U1395" s="299"/>
    </row>
    <row r="1396" spans="21:21" ht="24" customHeight="1">
      <c r="U1396" s="299"/>
    </row>
    <row r="1397" spans="21:21" ht="24" customHeight="1">
      <c r="U1397" s="299"/>
    </row>
    <row r="1398" spans="21:21" ht="24" customHeight="1">
      <c r="U1398" s="299"/>
    </row>
    <row r="1399" spans="21:21" ht="24" customHeight="1">
      <c r="U1399" s="299"/>
    </row>
    <row r="1400" spans="21:21" ht="24" customHeight="1">
      <c r="U1400" s="299"/>
    </row>
    <row r="1401" spans="21:21" ht="24" customHeight="1">
      <c r="U1401" s="299"/>
    </row>
    <row r="1402" spans="21:21" ht="24" customHeight="1">
      <c r="U1402" s="299"/>
    </row>
    <row r="1403" spans="21:21" ht="24" customHeight="1">
      <c r="U1403" s="299"/>
    </row>
    <row r="1404" spans="21:21" ht="24" customHeight="1">
      <c r="U1404" s="299"/>
    </row>
    <row r="1405" spans="21:21" ht="24" customHeight="1">
      <c r="U1405" s="299"/>
    </row>
    <row r="1406" spans="21:21" ht="24" customHeight="1">
      <c r="U1406" s="299"/>
    </row>
    <row r="1407" spans="21:21" ht="24" customHeight="1">
      <c r="U1407" s="299"/>
    </row>
    <row r="1408" spans="21:21" ht="24" customHeight="1">
      <c r="U1408" s="299"/>
    </row>
    <row r="1409" spans="21:21" ht="24" customHeight="1">
      <c r="U1409" s="299"/>
    </row>
    <row r="1410" spans="21:21" ht="24" customHeight="1">
      <c r="U1410" s="299"/>
    </row>
    <row r="1411" spans="21:21" ht="24" customHeight="1">
      <c r="U1411" s="299"/>
    </row>
    <row r="1412" spans="21:21" ht="24" customHeight="1">
      <c r="U1412" s="299"/>
    </row>
    <row r="1413" spans="21:21" ht="24" customHeight="1">
      <c r="U1413" s="299"/>
    </row>
    <row r="1414" spans="21:21" ht="24" customHeight="1">
      <c r="U1414" s="299"/>
    </row>
    <row r="1415" spans="21:21" ht="24" customHeight="1">
      <c r="U1415" s="299"/>
    </row>
    <row r="1416" spans="21:21" ht="24" customHeight="1">
      <c r="U1416" s="299"/>
    </row>
    <row r="1417" spans="21:21" ht="24" customHeight="1">
      <c r="U1417" s="299"/>
    </row>
    <row r="1418" spans="21:21" ht="24" customHeight="1">
      <c r="U1418" s="299"/>
    </row>
    <row r="1419" spans="21:21" ht="24" customHeight="1">
      <c r="U1419" s="299"/>
    </row>
    <row r="1420" spans="21:21" ht="24" customHeight="1">
      <c r="U1420" s="299"/>
    </row>
    <row r="1421" spans="21:21" ht="24" customHeight="1">
      <c r="U1421" s="299"/>
    </row>
    <row r="1422" spans="21:21" ht="24" customHeight="1">
      <c r="U1422" s="299"/>
    </row>
    <row r="1423" spans="21:21" ht="24" customHeight="1">
      <c r="U1423" s="299"/>
    </row>
    <row r="1424" spans="21:21" ht="24" customHeight="1">
      <c r="U1424" s="299"/>
    </row>
  </sheetData>
  <dataConsolidate/>
  <mergeCells count="63">
    <mergeCell ref="C493:K493"/>
    <mergeCell ref="J1039:J1048"/>
    <mergeCell ref="D773:K773"/>
    <mergeCell ref="A1020:J1020"/>
    <mergeCell ref="J1022:J1031"/>
    <mergeCell ref="D641:K641"/>
    <mergeCell ref="D5:F5"/>
    <mergeCell ref="D46:K46"/>
    <mergeCell ref="D31:K31"/>
    <mergeCell ref="D119:K119"/>
    <mergeCell ref="D458:K458"/>
    <mergeCell ref="D430:K430"/>
    <mergeCell ref="D431:K431"/>
    <mergeCell ref="D429:K429"/>
    <mergeCell ref="D339:K339"/>
    <mergeCell ref="D312:K312"/>
    <mergeCell ref="D346:K346"/>
    <mergeCell ref="D438:K438"/>
    <mergeCell ref="D453:K453"/>
    <mergeCell ref="G1209:K1209"/>
    <mergeCell ref="E1205:K1205"/>
    <mergeCell ref="G1191:K1191"/>
    <mergeCell ref="F222:K222"/>
    <mergeCell ref="A7:K7"/>
    <mergeCell ref="D528:K528"/>
    <mergeCell ref="C489:K489"/>
    <mergeCell ref="C491:K491"/>
    <mergeCell ref="I1099:J1099"/>
    <mergeCell ref="I1101:J1101"/>
    <mergeCell ref="D643:K643"/>
    <mergeCell ref="A1056:K1056"/>
    <mergeCell ref="D868:K868"/>
    <mergeCell ref="D929:K929"/>
    <mergeCell ref="D466:K466"/>
    <mergeCell ref="C487:K487"/>
    <mergeCell ref="G1202:K1202"/>
    <mergeCell ref="F1111:K1111"/>
    <mergeCell ref="A1104:K1104"/>
    <mergeCell ref="F1135:K1135"/>
    <mergeCell ref="G1185:K1185"/>
    <mergeCell ref="I1172:J1172"/>
    <mergeCell ref="F1136:K1136"/>
    <mergeCell ref="A1178:K1178"/>
    <mergeCell ref="I1167:J1167"/>
    <mergeCell ref="G1199:K1199"/>
    <mergeCell ref="F1134:K1134"/>
    <mergeCell ref="A1124:K1124"/>
    <mergeCell ref="A1085:K1085"/>
    <mergeCell ref="A1070:K1070"/>
    <mergeCell ref="A1220:T1220"/>
    <mergeCell ref="I1090:J1090"/>
    <mergeCell ref="I1092:J1092"/>
    <mergeCell ref="I1094:J1094"/>
    <mergeCell ref="I1097:J1097"/>
    <mergeCell ref="A1160:K1160"/>
    <mergeCell ref="G1195:K1195"/>
    <mergeCell ref="G1179:K1179"/>
    <mergeCell ref="A1142:K1142"/>
    <mergeCell ref="I1143:J1143"/>
    <mergeCell ref="I1149:J1149"/>
    <mergeCell ref="I1154:J1154"/>
    <mergeCell ref="I1161:J1161"/>
    <mergeCell ref="G1212:K1212"/>
  </mergeCells>
  <printOptions horizontalCentered="1"/>
  <pageMargins left="0" right="0" top="0.25" bottom="0.25" header="0" footer="0"/>
  <pageSetup scale="57" fitToHeight="20" orientation="landscape" horizontalDpi="4294967293" r:id="rId1"/>
  <headerFooter alignWithMargins="0"/>
  <rowBreaks count="36" manualBreakCount="36">
    <brk id="45" max="19" man="1"/>
    <brk id="57" max="19" man="1"/>
    <brk id="88" max="19" man="1"/>
    <brk id="109" max="19" man="1"/>
    <brk id="148" max="19" man="1"/>
    <brk id="152" max="19" man="1"/>
    <brk id="178" max="19" man="1"/>
    <brk id="215" max="19" man="1"/>
    <brk id="223" max="19" man="1"/>
    <brk id="260" max="19" man="1"/>
    <brk id="272" max="19" man="1"/>
    <brk id="290" max="19" man="1"/>
    <brk id="307" max="19" man="1"/>
    <brk id="333" max="19" man="1"/>
    <brk id="371" max="19" man="1"/>
    <brk id="407" max="19" man="1"/>
    <brk id="420" max="19" man="1"/>
    <brk id="460" max="19" man="1"/>
    <brk id="497" max="19" man="1"/>
    <brk id="518" max="19" man="1"/>
    <brk id="631" max="19" man="1"/>
    <brk id="703" max="19" man="1"/>
    <brk id="717" max="19" man="1"/>
    <brk id="756" max="19" man="1"/>
    <brk id="765" max="19" man="1"/>
    <brk id="844" max="19" man="1"/>
    <brk id="857" max="19" man="1"/>
    <brk id="924" max="19" man="1"/>
    <brk id="948" max="19" man="1"/>
    <brk id="971" max="19" man="1"/>
    <brk id="1000" max="19" man="1"/>
    <brk id="1019" max="19" man="1"/>
    <brk id="1055" max="19" man="1"/>
    <brk id="1084" max="19" man="1"/>
    <brk id="1123" max="19" man="1"/>
    <brk id="119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Gen Fd Cover Sheets</vt:lpstr>
      <vt:lpstr>Fund Cover Sheets</vt:lpstr>
      <vt:lpstr>Budget Detail FY 2017-24</vt:lpstr>
      <vt:lpstr>'Budget Detail FY 2017-24'!Print_Area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2017-24'!Print_Titles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2019-03-07T18:00:30Z</cp:lastPrinted>
  <dcterms:created xsi:type="dcterms:W3CDTF">2010-07-13T03:18:21Z</dcterms:created>
  <dcterms:modified xsi:type="dcterms:W3CDTF">2019-04-17T17:30:35Z</dcterms:modified>
</cp:coreProperties>
</file>