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Override PartName="/xl/worksheets/sheet7.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charts/chart29.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worksheets/sheet1.xml" ContentType="application/vnd.openxmlformats-officedocument.spreadsheetml.worksheet+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32.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docProps/core.xml" ContentType="application/vnd.openxmlformats-package.core-properties+xml"/>
  <Default Extension="bin" ContentType="application/vnd.openxmlformats-officedocument.spreadsheetml.printerSettings"/>
  <Override PartName="/xl/charts/chart7.xml" ContentType="application/vnd.openxmlformats-officedocument.drawingml.chart+xml"/>
  <Override PartName="/xl/charts/chart10.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0" yWindow="300" windowWidth="12120" windowHeight="6075" tabRatio="762" activeTab="6"/>
  </bookViews>
  <sheets>
    <sheet name="Budget Summary" sheetId="42" r:id="rId1"/>
    <sheet name="Budget Summary by Category" sheetId="43" r:id="rId2"/>
    <sheet name="Fund Balance History" sheetId="45" r:id="rId3"/>
    <sheet name="Fund Balance Summary" sheetId="44" r:id="rId4"/>
    <sheet name="Gen Fd Cover Sheets" sheetId="40" r:id="rId5"/>
    <sheet name="Fund Cover Sheets" sheetId="39" r:id="rId6"/>
    <sheet name="Budget Detail FY 2013-18" sheetId="36" r:id="rId7"/>
  </sheets>
  <definedNames>
    <definedName name="_xlnm.Print_Area" localSheetId="6">'Budget Detail FY 2013-18'!$A$1:$V$1282</definedName>
    <definedName name="_xlnm.Print_Area" localSheetId="0">'Budget Summary'!$A$1:$K$78</definedName>
    <definedName name="_xlnm.Print_Area" localSheetId="1">'Budget Summary by Category'!$A$1:$M$78</definedName>
    <definedName name="_xlnm.Print_Area" localSheetId="2">'Fund Balance History'!$A$1:$K$51</definedName>
    <definedName name="_xlnm.Print_Area" localSheetId="3">'Fund Balance Summary'!$A$1:$L$39</definedName>
    <definedName name="_xlnm.Print_Area" localSheetId="5">'Fund Cover Sheets'!$A$1:$K$1128</definedName>
    <definedName name="_xlnm.Print_Area" localSheetId="4">'Gen Fd Cover Sheets'!$A$1:$K$268</definedName>
    <definedName name="_xlnm.Print_Titles" localSheetId="6">'Budget Detail FY 2013-18'!$3:$6</definedName>
  </definedNames>
  <calcPr calcId="125725"/>
</workbook>
</file>

<file path=xl/calcChain.xml><?xml version="1.0" encoding="utf-8"?>
<calcChain xmlns="http://schemas.openxmlformats.org/spreadsheetml/2006/main">
  <c r="D798" i="39"/>
  <c r="E798"/>
  <c r="F798"/>
  <c r="G798"/>
  <c r="H798"/>
  <c r="I798"/>
  <c r="J798"/>
  <c r="K798"/>
  <c r="C798"/>
  <c r="K311"/>
  <c r="J311"/>
  <c r="I311"/>
  <c r="H311"/>
  <c r="G311"/>
  <c r="F311"/>
  <c r="E311"/>
  <c r="D311"/>
  <c r="C311"/>
  <c r="N511" i="36"/>
  <c r="T1038"/>
  <c r="U1038"/>
  <c r="V1038"/>
  <c r="S1038"/>
  <c r="S1054"/>
  <c r="R323" l="1"/>
  <c r="V443" l="1"/>
  <c r="U443"/>
  <c r="V459"/>
  <c r="U459"/>
  <c r="T459" l="1"/>
  <c r="O1279" l="1"/>
  <c r="P1279"/>
  <c r="Q1279"/>
  <c r="R1279"/>
  <c r="S1279"/>
  <c r="T1279"/>
  <c r="U1279"/>
  <c r="V1279"/>
  <c r="N1279"/>
  <c r="D503" i="39"/>
  <c r="E503"/>
  <c r="F503"/>
  <c r="G503"/>
  <c r="H503"/>
  <c r="I503"/>
  <c r="J503"/>
  <c r="K503"/>
  <c r="C503"/>
  <c r="S459" i="36"/>
  <c r="O1278"/>
  <c r="P1278"/>
  <c r="Q1278"/>
  <c r="R1278"/>
  <c r="S1278"/>
  <c r="T1278"/>
  <c r="U1278"/>
  <c r="V1278"/>
  <c r="N1278"/>
  <c r="D450" i="39"/>
  <c r="E450"/>
  <c r="F450"/>
  <c r="G450"/>
  <c r="H450"/>
  <c r="I450"/>
  <c r="J450"/>
  <c r="K450"/>
  <c r="C450"/>
  <c r="U295" i="36"/>
  <c r="V499" l="1"/>
  <c r="V191" s="1"/>
  <c r="S499"/>
  <c r="S191" s="1"/>
  <c r="V561"/>
  <c r="V386"/>
  <c r="Q960"/>
  <c r="Q790"/>
  <c r="Q240"/>
  <c r="R975"/>
  <c r="R315"/>
  <c r="S10"/>
  <c r="V393"/>
  <c r="U561"/>
  <c r="D1114" i="39"/>
  <c r="D1115" s="1"/>
  <c r="E1114"/>
  <c r="E1115" s="1"/>
  <c r="C1114"/>
  <c r="C1115" s="1"/>
  <c r="D1060"/>
  <c r="D1061" s="1"/>
  <c r="E1060"/>
  <c r="E1061" s="1"/>
  <c r="C1060"/>
  <c r="C1061" s="1"/>
  <c r="D1002"/>
  <c r="D1003" s="1"/>
  <c r="E1002"/>
  <c r="E1003" s="1"/>
  <c r="D900"/>
  <c r="D901" s="1"/>
  <c r="E900"/>
  <c r="E901" s="1"/>
  <c r="C900"/>
  <c r="C901" s="1"/>
  <c r="D943"/>
  <c r="D944" s="1"/>
  <c r="E943"/>
  <c r="E944" s="1"/>
  <c r="C943"/>
  <c r="C944" s="1"/>
  <c r="D856"/>
  <c r="D857" s="1"/>
  <c r="E856"/>
  <c r="E857" s="1"/>
  <c r="C856"/>
  <c r="C857" s="1"/>
  <c r="N1254" i="36" l="1"/>
  <c r="O1254"/>
  <c r="P1254"/>
  <c r="N1253"/>
  <c r="N1252"/>
  <c r="P1230"/>
  <c r="Q1230"/>
  <c r="R1230"/>
  <c r="R1228"/>
  <c r="Q1228"/>
  <c r="P1228"/>
  <c r="N1225"/>
  <c r="R1222"/>
  <c r="Q1222"/>
  <c r="P1222"/>
  <c r="N889"/>
  <c r="D810" i="39" l="1"/>
  <c r="D811" s="1"/>
  <c r="E810"/>
  <c r="E811" s="1"/>
  <c r="C810"/>
  <c r="C811" s="1"/>
  <c r="D762"/>
  <c r="D763" s="1"/>
  <c r="E762"/>
  <c r="E763" s="1"/>
  <c r="C762"/>
  <c r="C763" s="1"/>
  <c r="D716"/>
  <c r="D717" s="1"/>
  <c r="E716"/>
  <c r="E717" s="1"/>
  <c r="C716"/>
  <c r="C717" s="1"/>
  <c r="D257"/>
  <c r="E257"/>
  <c r="C257"/>
  <c r="D551"/>
  <c r="E551"/>
  <c r="G551"/>
  <c r="H551"/>
  <c r="I551"/>
  <c r="J551"/>
  <c r="K551"/>
  <c r="C551"/>
  <c r="M1240" i="36"/>
  <c r="N1240"/>
  <c r="O1240"/>
  <c r="P1240"/>
  <c r="Q1240"/>
  <c r="R1240"/>
  <c r="M1239"/>
  <c r="N1239"/>
  <c r="O1239"/>
  <c r="P1239"/>
  <c r="Q1239"/>
  <c r="R1239"/>
  <c r="L1240"/>
  <c r="L1239"/>
  <c r="Q467"/>
  <c r="D660" i="39"/>
  <c r="D661" s="1"/>
  <c r="E660"/>
  <c r="E661" s="1"/>
  <c r="C660"/>
  <c r="C661" s="1"/>
  <c r="D612"/>
  <c r="D613" s="1"/>
  <c r="E612"/>
  <c r="E613" s="1"/>
  <c r="C612"/>
  <c r="C613" s="1"/>
  <c r="L1242" i="36" l="1"/>
  <c r="L1246" s="1"/>
  <c r="R1242"/>
  <c r="N1242"/>
  <c r="P1242"/>
  <c r="Q1242"/>
  <c r="M1242"/>
  <c r="M1246" s="1"/>
  <c r="O1242"/>
  <c r="D561" i="39"/>
  <c r="D562" s="1"/>
  <c r="E561"/>
  <c r="E562" s="1"/>
  <c r="C561"/>
  <c r="C562" s="1"/>
  <c r="D516"/>
  <c r="D517" s="1"/>
  <c r="E516"/>
  <c r="E517" s="1"/>
  <c r="C516"/>
  <c r="C517" s="1"/>
  <c r="D462"/>
  <c r="D463" s="1"/>
  <c r="E462"/>
  <c r="E463" s="1"/>
  <c r="D408"/>
  <c r="D409" s="1"/>
  <c r="E408"/>
  <c r="E409" s="1"/>
  <c r="C408"/>
  <c r="C409" s="1"/>
  <c r="H754"/>
  <c r="O1054" i="36"/>
  <c r="D754" i="39" s="1"/>
  <c r="P1054" i="36"/>
  <c r="E754" i="39" s="1"/>
  <c r="Q1054" i="36"/>
  <c r="F754" i="39" s="1"/>
  <c r="T1054" i="36"/>
  <c r="I754" i="39" s="1"/>
  <c r="U1054" i="36"/>
  <c r="J754" i="39" s="1"/>
  <c r="V1054" i="36"/>
  <c r="K754" i="39" s="1"/>
  <c r="N1054" i="36"/>
  <c r="C754" i="39" s="1"/>
  <c r="D359" l="1"/>
  <c r="E359"/>
  <c r="C359"/>
  <c r="D355"/>
  <c r="E355"/>
  <c r="C355"/>
  <c r="D351"/>
  <c r="E351"/>
  <c r="C351"/>
  <c r="D277"/>
  <c r="D278" s="1"/>
  <c r="E277"/>
  <c r="E278" s="1"/>
  <c r="C277"/>
  <c r="C278" s="1"/>
  <c r="D273"/>
  <c r="E273"/>
  <c r="C273"/>
  <c r="D269"/>
  <c r="E269"/>
  <c r="F269"/>
  <c r="C269"/>
  <c r="D218"/>
  <c r="D219" s="1"/>
  <c r="E218"/>
  <c r="E219" s="1"/>
  <c r="C218"/>
  <c r="C219" s="1"/>
  <c r="D175"/>
  <c r="D176" s="1"/>
  <c r="E175"/>
  <c r="E176" s="1"/>
  <c r="C175"/>
  <c r="C176" s="1"/>
  <c r="D127"/>
  <c r="D128" s="1"/>
  <c r="E127"/>
  <c r="E128" s="1"/>
  <c r="C127"/>
  <c r="C128" s="1"/>
  <c r="D83"/>
  <c r="D84" s="1"/>
  <c r="E83"/>
  <c r="E84" s="1"/>
  <c r="C83"/>
  <c r="C84" s="1"/>
  <c r="D244"/>
  <c r="E244"/>
  <c r="F244"/>
  <c r="C244"/>
  <c r="R1054" i="36"/>
  <c r="G754" i="39" s="1"/>
  <c r="D752"/>
  <c r="E752"/>
  <c r="F752"/>
  <c r="H752"/>
  <c r="I752"/>
  <c r="J752"/>
  <c r="K752"/>
  <c r="C752"/>
  <c r="D40"/>
  <c r="D41" s="1"/>
  <c r="E40"/>
  <c r="E41" s="1"/>
  <c r="C40"/>
  <c r="C41" s="1"/>
  <c r="G752" l="1"/>
  <c r="R344" i="36"/>
  <c r="R361"/>
  <c r="D799" i="39" l="1"/>
  <c r="E799"/>
  <c r="F799"/>
  <c r="G799"/>
  <c r="G76" i="43" s="1"/>
  <c r="H799" i="39"/>
  <c r="I799"/>
  <c r="J799"/>
  <c r="K799"/>
  <c r="C799"/>
  <c r="D694"/>
  <c r="E694"/>
  <c r="C694"/>
  <c r="Q307" i="36"/>
  <c r="S821"/>
  <c r="R821"/>
  <c r="U393"/>
  <c r="S127"/>
  <c r="T127"/>
  <c r="U127"/>
  <c r="V127"/>
  <c r="R127"/>
  <c r="R976"/>
  <c r="R325" s="1"/>
  <c r="U1277" l="1"/>
  <c r="U1276" s="1"/>
  <c r="G694" i="39"/>
  <c r="R978" i="36"/>
  <c r="G244" i="39"/>
  <c r="K257"/>
  <c r="S467" i="36"/>
  <c r="R464"/>
  <c r="J257" i="39" l="1"/>
  <c r="G696"/>
  <c r="H244"/>
  <c r="J244"/>
  <c r="K244"/>
  <c r="I244"/>
  <c r="Q225" i="36" l="1"/>
  <c r="O1253" l="1"/>
  <c r="P1253"/>
  <c r="Q1253"/>
  <c r="R1253"/>
  <c r="S1253"/>
  <c r="T1253"/>
  <c r="U1253"/>
  <c r="V1253"/>
  <c r="R120"/>
  <c r="R910" l="1"/>
  <c r="R294" l="1"/>
  <c r="Q1017" l="1"/>
  <c r="F551" i="39" l="1"/>
  <c r="R709" i="36"/>
  <c r="S709"/>
  <c r="T709"/>
  <c r="U709"/>
  <c r="V709"/>
  <c r="Q709"/>
  <c r="R617"/>
  <c r="S617"/>
  <c r="T617"/>
  <c r="U617"/>
  <c r="V617"/>
  <c r="Q617"/>
  <c r="R522"/>
  <c r="S522"/>
  <c r="T522"/>
  <c r="U522"/>
  <c r="V522"/>
  <c r="Q522"/>
  <c r="R455"/>
  <c r="S455"/>
  <c r="T455"/>
  <c r="U455"/>
  <c r="V455"/>
  <c r="Q455"/>
  <c r="R416"/>
  <c r="S416"/>
  <c r="T416"/>
  <c r="U416"/>
  <c r="V416"/>
  <c r="Q416"/>
  <c r="R1008" l="1"/>
  <c r="S1008"/>
  <c r="T1008"/>
  <c r="U1008"/>
  <c r="V1008"/>
  <c r="Q1008"/>
  <c r="S315"/>
  <c r="T315"/>
  <c r="U315"/>
  <c r="V315"/>
  <c r="Q315"/>
  <c r="D890" i="39" l="1"/>
  <c r="E890"/>
  <c r="F890"/>
  <c r="G890"/>
  <c r="H890"/>
  <c r="I890"/>
  <c r="J890"/>
  <c r="K890"/>
  <c r="C890"/>
  <c r="D246"/>
  <c r="E246"/>
  <c r="F246"/>
  <c r="C246"/>
  <c r="D249"/>
  <c r="E249"/>
  <c r="F249"/>
  <c r="G249"/>
  <c r="J26" i="43" s="1"/>
  <c r="H249" i="39"/>
  <c r="I249"/>
  <c r="J249"/>
  <c r="K249"/>
  <c r="C249"/>
  <c r="R500" i="36"/>
  <c r="U499"/>
  <c r="T499"/>
  <c r="T500"/>
  <c r="R412"/>
  <c r="R320" s="1"/>
  <c r="S279" l="1"/>
  <c r="T279"/>
  <c r="U279"/>
  <c r="V279"/>
  <c r="R279"/>
  <c r="R443" l="1"/>
  <c r="I257" i="39"/>
  <c r="H257"/>
  <c r="H246"/>
  <c r="I246"/>
  <c r="J246"/>
  <c r="G246"/>
  <c r="G26" i="43" s="1"/>
  <c r="U1122" i="36"/>
  <c r="J892" i="39" s="1"/>
  <c r="N1122" i="36"/>
  <c r="C892" i="39" s="1"/>
  <c r="R1122" i="36"/>
  <c r="G892" i="39" s="1"/>
  <c r="K246" l="1"/>
  <c r="V821" i="36"/>
  <c r="U821"/>
  <c r="T821"/>
  <c r="Q515" l="1"/>
  <c r="R324"/>
  <c r="R1218"/>
  <c r="Q1040" l="1"/>
  <c r="Q976"/>
  <c r="F694" i="39" s="1"/>
  <c r="V500" i="36" l="1"/>
  <c r="U500"/>
  <c r="S500"/>
  <c r="O1277" l="1"/>
  <c r="O1276" s="1"/>
  <c r="P1277"/>
  <c r="P1276" s="1"/>
  <c r="Q1277"/>
  <c r="Q1276" s="1"/>
  <c r="R1277"/>
  <c r="R1276" s="1"/>
  <c r="S1277"/>
  <c r="S1276" s="1"/>
  <c r="T1277"/>
  <c r="T1276" s="1"/>
  <c r="V1277"/>
  <c r="V1276" s="1"/>
  <c r="N1277"/>
  <c r="N1276" s="1"/>
  <c r="D259" i="39"/>
  <c r="E259"/>
  <c r="F259"/>
  <c r="C259"/>
  <c r="O66" i="36"/>
  <c r="P66"/>
  <c r="Q66"/>
  <c r="N66"/>
  <c r="O452"/>
  <c r="P452"/>
  <c r="Q452"/>
  <c r="N452"/>
  <c r="S451"/>
  <c r="H259" i="39" s="1"/>
  <c r="T451" i="36"/>
  <c r="I259" i="39" s="1"/>
  <c r="U451" i="36"/>
  <c r="U452" s="1"/>
  <c r="V451"/>
  <c r="V66" s="1"/>
  <c r="R451"/>
  <c r="R66" s="1"/>
  <c r="G19" i="39" l="1"/>
  <c r="L10" i="43" s="1"/>
  <c r="D19" i="39"/>
  <c r="F19"/>
  <c r="K19"/>
  <c r="C19"/>
  <c r="E19"/>
  <c r="P69" i="36"/>
  <c r="V452"/>
  <c r="R452"/>
  <c r="R481" s="1"/>
  <c r="T66"/>
  <c r="S452"/>
  <c r="T452"/>
  <c r="S66"/>
  <c r="G259" i="39"/>
  <c r="K66" i="43" s="1"/>
  <c r="J259" i="39"/>
  <c r="K259"/>
  <c r="U66" i="36"/>
  <c r="E242" i="40"/>
  <c r="C242"/>
  <c r="D206"/>
  <c r="E206"/>
  <c r="F206"/>
  <c r="G206"/>
  <c r="H206"/>
  <c r="I206"/>
  <c r="J206"/>
  <c r="K206"/>
  <c r="C206"/>
  <c r="D175"/>
  <c r="E175"/>
  <c r="F175"/>
  <c r="G175"/>
  <c r="H175"/>
  <c r="I175"/>
  <c r="J175"/>
  <c r="K175"/>
  <c r="C175"/>
  <c r="D108"/>
  <c r="E108"/>
  <c r="F108"/>
  <c r="G108"/>
  <c r="H108"/>
  <c r="I108"/>
  <c r="J108"/>
  <c r="K108"/>
  <c r="C108"/>
  <c r="D78"/>
  <c r="E78"/>
  <c r="F78"/>
  <c r="G78"/>
  <c r="H78"/>
  <c r="I78"/>
  <c r="J78"/>
  <c r="K78"/>
  <c r="C78"/>
  <c r="E933" i="39"/>
  <c r="D933"/>
  <c r="C933"/>
  <c r="D932"/>
  <c r="E932"/>
  <c r="F932"/>
  <c r="G932"/>
  <c r="H932"/>
  <c r="I932"/>
  <c r="J932"/>
  <c r="K932"/>
  <c r="C932"/>
  <c r="D889"/>
  <c r="E889"/>
  <c r="F889"/>
  <c r="G889"/>
  <c r="H889"/>
  <c r="I889"/>
  <c r="J889"/>
  <c r="K889"/>
  <c r="C889"/>
  <c r="D845"/>
  <c r="E845"/>
  <c r="F845"/>
  <c r="G845"/>
  <c r="H845"/>
  <c r="I845"/>
  <c r="J845"/>
  <c r="K845"/>
  <c r="C845"/>
  <c r="D843"/>
  <c r="E843"/>
  <c r="F843"/>
  <c r="G843"/>
  <c r="H843"/>
  <c r="I843"/>
  <c r="J843"/>
  <c r="K843"/>
  <c r="C843"/>
  <c r="D797"/>
  <c r="E797"/>
  <c r="F797"/>
  <c r="G797"/>
  <c r="E76" i="43" s="1"/>
  <c r="H797" i="39"/>
  <c r="I797"/>
  <c r="J797"/>
  <c r="K797"/>
  <c r="C797"/>
  <c r="D706"/>
  <c r="E706"/>
  <c r="C706"/>
  <c r="D700"/>
  <c r="D1043" s="1"/>
  <c r="E700"/>
  <c r="E1043" s="1"/>
  <c r="F700"/>
  <c r="F1043" s="1"/>
  <c r="G700"/>
  <c r="G1043" s="1"/>
  <c r="H700"/>
  <c r="H1043" s="1"/>
  <c r="I700"/>
  <c r="I1043" s="1"/>
  <c r="J700"/>
  <c r="J1043" s="1"/>
  <c r="K700"/>
  <c r="K1043" s="1"/>
  <c r="C700"/>
  <c r="C1043" s="1"/>
  <c r="D690"/>
  <c r="D1033" s="1"/>
  <c r="E690"/>
  <c r="E1033" s="1"/>
  <c r="F690"/>
  <c r="F1033" s="1"/>
  <c r="G690"/>
  <c r="G1033" s="1"/>
  <c r="H690"/>
  <c r="H1033" s="1"/>
  <c r="I690"/>
  <c r="I1033" s="1"/>
  <c r="J690"/>
  <c r="J1033" s="1"/>
  <c r="K690"/>
  <c r="K1033" s="1"/>
  <c r="C690"/>
  <c r="C1033" s="1"/>
  <c r="D688"/>
  <c r="E688"/>
  <c r="F688"/>
  <c r="G688"/>
  <c r="H688"/>
  <c r="I688"/>
  <c r="J688"/>
  <c r="K688"/>
  <c r="C688"/>
  <c r="D687"/>
  <c r="D1030" s="1"/>
  <c r="E687"/>
  <c r="E1030" s="1"/>
  <c r="G687"/>
  <c r="G1030" s="1"/>
  <c r="H687"/>
  <c r="H1030" s="1"/>
  <c r="I687"/>
  <c r="I1030" s="1"/>
  <c r="J687"/>
  <c r="J1030" s="1"/>
  <c r="K687"/>
  <c r="K1030" s="1"/>
  <c r="C687"/>
  <c r="C1030" s="1"/>
  <c r="D686"/>
  <c r="E686"/>
  <c r="F686"/>
  <c r="G686"/>
  <c r="C686"/>
  <c r="D641"/>
  <c r="E641"/>
  <c r="F641"/>
  <c r="H641"/>
  <c r="I641"/>
  <c r="J641"/>
  <c r="K641"/>
  <c r="C641"/>
  <c r="D602"/>
  <c r="E602"/>
  <c r="F602"/>
  <c r="H602"/>
  <c r="I602"/>
  <c r="J602"/>
  <c r="K602"/>
  <c r="C602"/>
  <c r="D600"/>
  <c r="E600"/>
  <c r="C600"/>
  <c r="D543"/>
  <c r="D976" s="1"/>
  <c r="E543"/>
  <c r="E976" s="1"/>
  <c r="F543"/>
  <c r="F976" s="1"/>
  <c r="G543"/>
  <c r="G976" s="1"/>
  <c r="H543"/>
  <c r="H976" s="1"/>
  <c r="I543"/>
  <c r="I976" s="1"/>
  <c r="J543"/>
  <c r="J976" s="1"/>
  <c r="K543"/>
  <c r="K976" s="1"/>
  <c r="C543"/>
  <c r="C976" s="1"/>
  <c r="D506"/>
  <c r="E506"/>
  <c r="C506"/>
  <c r="D504"/>
  <c r="E504"/>
  <c r="F504"/>
  <c r="G504"/>
  <c r="H504"/>
  <c r="I504"/>
  <c r="J504"/>
  <c r="K504"/>
  <c r="C504"/>
  <c r="D499"/>
  <c r="E499"/>
  <c r="F499"/>
  <c r="G499"/>
  <c r="H499"/>
  <c r="I499"/>
  <c r="J499"/>
  <c r="K499"/>
  <c r="C499"/>
  <c r="D488"/>
  <c r="E488"/>
  <c r="F488"/>
  <c r="G488"/>
  <c r="H488"/>
  <c r="I488"/>
  <c r="J488"/>
  <c r="K488"/>
  <c r="C488"/>
  <c r="D337"/>
  <c r="E337"/>
  <c r="F337"/>
  <c r="G337"/>
  <c r="H337"/>
  <c r="I337"/>
  <c r="J337"/>
  <c r="K337"/>
  <c r="C337"/>
  <c r="D336"/>
  <c r="D1103" s="1"/>
  <c r="E336"/>
  <c r="E1103" s="1"/>
  <c r="F336"/>
  <c r="F1103" s="1"/>
  <c r="C336"/>
  <c r="C1103" s="1"/>
  <c r="D335"/>
  <c r="D1102" s="1"/>
  <c r="E335"/>
  <c r="E1102" s="1"/>
  <c r="F335"/>
  <c r="F1102" s="1"/>
  <c r="G335"/>
  <c r="G1102" s="1"/>
  <c r="H335"/>
  <c r="H1102" s="1"/>
  <c r="I335"/>
  <c r="I1102" s="1"/>
  <c r="J335"/>
  <c r="J1102" s="1"/>
  <c r="K335"/>
  <c r="K1102" s="1"/>
  <c r="C335"/>
  <c r="C1102" s="1"/>
  <c r="D329"/>
  <c r="E329"/>
  <c r="F329"/>
  <c r="C329"/>
  <c r="D328"/>
  <c r="E328"/>
  <c r="F328"/>
  <c r="G328"/>
  <c r="H328"/>
  <c r="I328"/>
  <c r="J328"/>
  <c r="K328"/>
  <c r="C328"/>
  <c r="D326"/>
  <c r="E326"/>
  <c r="F326"/>
  <c r="G326"/>
  <c r="H326"/>
  <c r="I326"/>
  <c r="J326"/>
  <c r="K326"/>
  <c r="C326"/>
  <c r="D320"/>
  <c r="E320"/>
  <c r="F320"/>
  <c r="C320"/>
  <c r="D318"/>
  <c r="E318"/>
  <c r="F318"/>
  <c r="C318"/>
  <c r="D258"/>
  <c r="E258"/>
  <c r="F258"/>
  <c r="C258"/>
  <c r="D256"/>
  <c r="E256"/>
  <c r="F256"/>
  <c r="G256"/>
  <c r="H256"/>
  <c r="I256"/>
  <c r="J256"/>
  <c r="K256"/>
  <c r="C256"/>
  <c r="D250"/>
  <c r="E250"/>
  <c r="C250"/>
  <c r="D201"/>
  <c r="E201"/>
  <c r="F201"/>
  <c r="G201"/>
  <c r="H201"/>
  <c r="I201"/>
  <c r="J201"/>
  <c r="K201"/>
  <c r="C201"/>
  <c r="D165"/>
  <c r="E165"/>
  <c r="F165"/>
  <c r="G165"/>
  <c r="K53" i="43" s="1"/>
  <c r="H165" i="39"/>
  <c r="I165"/>
  <c r="J165"/>
  <c r="K165"/>
  <c r="C165"/>
  <c r="D162"/>
  <c r="E162"/>
  <c r="F162"/>
  <c r="G162"/>
  <c r="E53" i="43" s="1"/>
  <c r="H162" i="39"/>
  <c r="I162"/>
  <c r="J162"/>
  <c r="K162"/>
  <c r="C162"/>
  <c r="D117"/>
  <c r="E117"/>
  <c r="F117"/>
  <c r="G117"/>
  <c r="O59" i="43" s="1"/>
  <c r="H117" i="39"/>
  <c r="I117"/>
  <c r="J117"/>
  <c r="K117"/>
  <c r="C117"/>
  <c r="D73"/>
  <c r="E73"/>
  <c r="F73"/>
  <c r="G73"/>
  <c r="O58" i="43" s="1"/>
  <c r="H73" i="39"/>
  <c r="I73"/>
  <c r="J73"/>
  <c r="K73"/>
  <c r="C73"/>
  <c r="D156"/>
  <c r="E156"/>
  <c r="F156"/>
  <c r="G156"/>
  <c r="J13" i="43" s="1"/>
  <c r="H156" i="39"/>
  <c r="I156"/>
  <c r="J156"/>
  <c r="K156"/>
  <c r="C156"/>
  <c r="D155"/>
  <c r="E155"/>
  <c r="F155"/>
  <c r="G155"/>
  <c r="I13" i="43" s="1"/>
  <c r="H155" i="39"/>
  <c r="I155"/>
  <c r="J155"/>
  <c r="K155"/>
  <c r="C155"/>
  <c r="D153"/>
  <c r="E153"/>
  <c r="F153"/>
  <c r="G153"/>
  <c r="H153"/>
  <c r="I153"/>
  <c r="J153"/>
  <c r="K153"/>
  <c r="C153"/>
  <c r="D309"/>
  <c r="E309"/>
  <c r="F309"/>
  <c r="G309"/>
  <c r="H309"/>
  <c r="I309"/>
  <c r="J309"/>
  <c r="K309"/>
  <c r="C309"/>
  <c r="D308"/>
  <c r="E308"/>
  <c r="F308"/>
  <c r="C308"/>
  <c r="D307"/>
  <c r="E307"/>
  <c r="F307"/>
  <c r="G307"/>
  <c r="H307"/>
  <c r="I307"/>
  <c r="J307"/>
  <c r="K307"/>
  <c r="C307"/>
  <c r="D306"/>
  <c r="E306"/>
  <c r="C306"/>
  <c r="C163"/>
  <c r="D164"/>
  <c r="E164"/>
  <c r="C164"/>
  <c r="L1208" i="36"/>
  <c r="L1154"/>
  <c r="L1164" s="1"/>
  <c r="L1192"/>
  <c r="L1215"/>
  <c r="L1199"/>
  <c r="L1172"/>
  <c r="L1182" s="1"/>
  <c r="M1215"/>
  <c r="M1199"/>
  <c r="M1172"/>
  <c r="M1182" s="1"/>
  <c r="M1154"/>
  <c r="M1164" s="1"/>
  <c r="G308" i="39"/>
  <c r="G641"/>
  <c r="L31" i="43" s="1"/>
  <c r="H164" i="39"/>
  <c r="J164"/>
  <c r="K164"/>
  <c r="G164"/>
  <c r="F164"/>
  <c r="H933"/>
  <c r="I933"/>
  <c r="J933"/>
  <c r="K933"/>
  <c r="G933"/>
  <c r="F933"/>
  <c r="G269" l="1"/>
  <c r="E260"/>
  <c r="J19"/>
  <c r="H19"/>
  <c r="I19"/>
  <c r="E21"/>
  <c r="D260"/>
  <c r="D1104"/>
  <c r="I1104"/>
  <c r="C1104"/>
  <c r="H1104"/>
  <c r="F1104"/>
  <c r="K1104"/>
  <c r="E1104"/>
  <c r="J1104"/>
  <c r="C260"/>
  <c r="J308"/>
  <c r="H308"/>
  <c r="I308"/>
  <c r="K308"/>
  <c r="R1026" i="36"/>
  <c r="G706" i="39" s="1"/>
  <c r="S1026" i="36"/>
  <c r="H706" i="39" s="1"/>
  <c r="T1026" i="36"/>
  <c r="I706" i="39" s="1"/>
  <c r="U1026" i="36"/>
  <c r="J706" i="39" s="1"/>
  <c r="V1026" i="36"/>
  <c r="K706" i="39" s="1"/>
  <c r="M1192" i="36" l="1"/>
  <c r="M1208"/>
  <c r="V301" l="1"/>
  <c r="V20"/>
  <c r="U20"/>
  <c r="T20"/>
  <c r="S20"/>
  <c r="R20"/>
  <c r="H258" i="39" l="1"/>
  <c r="I258"/>
  <c r="J258"/>
  <c r="K258"/>
  <c r="G258"/>
  <c r="S444" i="36"/>
  <c r="H250" i="39" s="1"/>
  <c r="T444" i="36"/>
  <c r="I250" i="39" s="1"/>
  <c r="U444" i="36"/>
  <c r="J250" i="39" s="1"/>
  <c r="V444" i="36"/>
  <c r="F257" i="39"/>
  <c r="R444" i="36" l="1"/>
  <c r="G250" i="39" s="1"/>
  <c r="G257"/>
  <c r="K250"/>
  <c r="V447" i="36"/>
  <c r="K252" i="39" s="1"/>
  <c r="K260"/>
  <c r="F260"/>
  <c r="H260"/>
  <c r="I260"/>
  <c r="J260"/>
  <c r="V475" i="36"/>
  <c r="R475"/>
  <c r="U475"/>
  <c r="Q444"/>
  <c r="Q475"/>
  <c r="T475"/>
  <c r="S475"/>
  <c r="G318" i="39"/>
  <c r="O256" i="36"/>
  <c r="P256"/>
  <c r="Q256"/>
  <c r="R256"/>
  <c r="S256"/>
  <c r="T256"/>
  <c r="U256"/>
  <c r="V256"/>
  <c r="N256"/>
  <c r="R1249"/>
  <c r="G260" i="39" l="1"/>
  <c r="F250"/>
  <c r="Q447" i="36"/>
  <c r="F252" i="39" s="1"/>
  <c r="U191" i="36"/>
  <c r="T191"/>
  <c r="R191"/>
  <c r="Q191"/>
  <c r="P191"/>
  <c r="O191"/>
  <c r="N191"/>
  <c r="H318" i="39"/>
  <c r="I318"/>
  <c r="J318"/>
  <c r="K318"/>
  <c r="H320"/>
  <c r="I320"/>
  <c r="J320"/>
  <c r="K320"/>
  <c r="G320"/>
  <c r="O66" i="43" l="1"/>
  <c r="N66" i="42"/>
  <c r="Q943" i="36" l="1"/>
  <c r="R874"/>
  <c r="O346"/>
  <c r="D75" i="39" s="1"/>
  <c r="P346" i="36"/>
  <c r="E75" i="39" s="1"/>
  <c r="Q346" i="36"/>
  <c r="F75" i="39" s="1"/>
  <c r="R346" i="36"/>
  <c r="G75" i="39" s="1"/>
  <c r="S346" i="36"/>
  <c r="H75" i="39" s="1"/>
  <c r="T346" i="36"/>
  <c r="I75" i="39" s="1"/>
  <c r="U346" i="36"/>
  <c r="J75" i="39" s="1"/>
  <c r="V346" i="36"/>
  <c r="K75" i="39" s="1"/>
  <c r="N346" i="36"/>
  <c r="C75" i="39" s="1"/>
  <c r="O363" i="36"/>
  <c r="D119" i="39" s="1"/>
  <c r="P363" i="36"/>
  <c r="E119" i="39" s="1"/>
  <c r="Q363" i="36"/>
  <c r="F119" i="39" s="1"/>
  <c r="R363" i="36"/>
  <c r="G119" i="39" s="1"/>
  <c r="S363" i="36"/>
  <c r="H119" i="39" s="1"/>
  <c r="T363" i="36"/>
  <c r="I119" i="39" s="1"/>
  <c r="U363" i="36"/>
  <c r="J119" i="39" s="1"/>
  <c r="V363" i="36"/>
  <c r="K119" i="39" s="1"/>
  <c r="N363" i="36"/>
  <c r="C119" i="39" s="1"/>
  <c r="I164"/>
  <c r="R888" i="36" l="1"/>
  <c r="G602" i="39" s="1"/>
  <c r="O889" i="36"/>
  <c r="N912"/>
  <c r="C643" i="39" s="1"/>
  <c r="S257" i="36"/>
  <c r="T257"/>
  <c r="U257"/>
  <c r="V257"/>
  <c r="R257"/>
  <c r="R926"/>
  <c r="G1104" i="39" l="1"/>
  <c r="K54" i="43"/>
  <c r="F687" i="39"/>
  <c r="F1030" s="1"/>
  <c r="R181" i="36" l="1"/>
  <c r="U120" l="1"/>
  <c r="T120"/>
  <c r="S120"/>
  <c r="S1239" l="1"/>
  <c r="O1077" l="1"/>
  <c r="D802" i="39" s="1"/>
  <c r="P1077" i="36" l="1"/>
  <c r="E802" i="39" s="1"/>
  <c r="R1077" i="36"/>
  <c r="G802" i="39" s="1"/>
  <c r="S1077" i="36"/>
  <c r="H802" i="39" s="1"/>
  <c r="T1077" i="36"/>
  <c r="I802" i="39" s="1"/>
  <c r="U1077" i="36"/>
  <c r="J802" i="39" s="1"/>
  <c r="V1077" i="36"/>
  <c r="K802" i="39" s="1"/>
  <c r="N1077" i="36"/>
  <c r="C802" i="39" s="1"/>
  <c r="O402" i="36"/>
  <c r="D167" i="39" s="1"/>
  <c r="P402" i="36"/>
  <c r="E167" i="39" s="1"/>
  <c r="N402" i="36"/>
  <c r="C167" i="39" s="1"/>
  <c r="N418" i="36"/>
  <c r="C210" i="39" s="1"/>
  <c r="O418" i="36"/>
  <c r="D210" i="39" s="1"/>
  <c r="P418" i="36"/>
  <c r="E210" i="39" s="1"/>
  <c r="Q418" i="36"/>
  <c r="F210" i="39" s="1"/>
  <c r="R418" i="36"/>
  <c r="G210" i="39" s="1"/>
  <c r="S418" i="36"/>
  <c r="H210" i="39" s="1"/>
  <c r="T418" i="36"/>
  <c r="I210" i="39" s="1"/>
  <c r="U418" i="36"/>
  <c r="J210" i="39" s="1"/>
  <c r="V418" i="36"/>
  <c r="K210" i="39" s="1"/>
  <c r="N275" i="36"/>
  <c r="M65" l="1"/>
  <c r="O307"/>
  <c r="O303" s="1"/>
  <c r="D242" i="40" s="1"/>
  <c r="O554" i="36"/>
  <c r="D846" i="39"/>
  <c r="E846"/>
  <c r="F846"/>
  <c r="G846"/>
  <c r="H846"/>
  <c r="I846"/>
  <c r="J846"/>
  <c r="K846"/>
  <c r="C846"/>
  <c r="D588"/>
  <c r="E588"/>
  <c r="F588"/>
  <c r="G588"/>
  <c r="H588"/>
  <c r="I588"/>
  <c r="J588"/>
  <c r="K588"/>
  <c r="C588"/>
  <c r="D550"/>
  <c r="E550"/>
  <c r="F550"/>
  <c r="G550"/>
  <c r="H550"/>
  <c r="I550"/>
  <c r="J550"/>
  <c r="K550"/>
  <c r="C550"/>
  <c r="D501"/>
  <c r="E501"/>
  <c r="D452"/>
  <c r="E452"/>
  <c r="F452"/>
  <c r="G452"/>
  <c r="H452"/>
  <c r="I452"/>
  <c r="J452"/>
  <c r="K452"/>
  <c r="D451"/>
  <c r="D990" s="1"/>
  <c r="E451"/>
  <c r="E990" s="1"/>
  <c r="F451"/>
  <c r="F990" s="1"/>
  <c r="G451"/>
  <c r="G990" s="1"/>
  <c r="H451"/>
  <c r="H990" s="1"/>
  <c r="I451"/>
  <c r="I990" s="1"/>
  <c r="J451"/>
  <c r="J990" s="1"/>
  <c r="K451"/>
  <c r="K990" s="1"/>
  <c r="E449"/>
  <c r="D448"/>
  <c r="D447"/>
  <c r="E447"/>
  <c r="F447"/>
  <c r="D446"/>
  <c r="E446"/>
  <c r="F446"/>
  <c r="G446"/>
  <c r="H446"/>
  <c r="I446"/>
  <c r="J446"/>
  <c r="K446"/>
  <c r="C449"/>
  <c r="C448"/>
  <c r="C447"/>
  <c r="C446"/>
  <c r="D272"/>
  <c r="D274" s="1"/>
  <c r="E272"/>
  <c r="E274" s="1"/>
  <c r="D268"/>
  <c r="D270" s="1"/>
  <c r="E268"/>
  <c r="E270" s="1"/>
  <c r="F268"/>
  <c r="F270" s="1"/>
  <c r="C272"/>
  <c r="C274" s="1"/>
  <c r="C268"/>
  <c r="C270" s="1"/>
  <c r="D245"/>
  <c r="E245"/>
  <c r="F245"/>
  <c r="G245"/>
  <c r="H245"/>
  <c r="I245"/>
  <c r="J245"/>
  <c r="K245"/>
  <c r="C245"/>
  <c r="D245" i="40"/>
  <c r="E245"/>
  <c r="C245"/>
  <c r="D109"/>
  <c r="E109"/>
  <c r="F109"/>
  <c r="G109"/>
  <c r="H109"/>
  <c r="I109"/>
  <c r="J109"/>
  <c r="K109"/>
  <c r="C109"/>
  <c r="D312" i="39"/>
  <c r="E312"/>
  <c r="F312"/>
  <c r="G312"/>
  <c r="L25" i="43" s="1"/>
  <c r="H312" i="39"/>
  <c r="I312"/>
  <c r="J312"/>
  <c r="K312"/>
  <c r="J25" i="43"/>
  <c r="D310" i="39"/>
  <c r="E310"/>
  <c r="F310"/>
  <c r="G310"/>
  <c r="I25" i="43" s="1"/>
  <c r="H310" i="39"/>
  <c r="I310"/>
  <c r="J310"/>
  <c r="K310"/>
  <c r="H25" i="43"/>
  <c r="G25"/>
  <c r="F25"/>
  <c r="C312" i="39"/>
  <c r="C310"/>
  <c r="D358"/>
  <c r="D360" s="1"/>
  <c r="E358"/>
  <c r="E360" s="1"/>
  <c r="D354"/>
  <c r="D356" s="1"/>
  <c r="E354"/>
  <c r="E356" s="1"/>
  <c r="D350"/>
  <c r="D352" s="1"/>
  <c r="E350"/>
  <c r="E352" s="1"/>
  <c r="C358"/>
  <c r="C360" s="1"/>
  <c r="C354"/>
  <c r="C356" s="1"/>
  <c r="C350"/>
  <c r="C352" s="1"/>
  <c r="O475" i="36"/>
  <c r="P475"/>
  <c r="N475"/>
  <c r="K65" i="43"/>
  <c r="D327" i="39"/>
  <c r="E327"/>
  <c r="F327"/>
  <c r="G327"/>
  <c r="H327"/>
  <c r="I327"/>
  <c r="J327"/>
  <c r="K327"/>
  <c r="C327"/>
  <c r="D319"/>
  <c r="E319"/>
  <c r="F319"/>
  <c r="G319"/>
  <c r="H319"/>
  <c r="I319"/>
  <c r="J319"/>
  <c r="K319"/>
  <c r="C319"/>
  <c r="O1195" i="36"/>
  <c r="P1195"/>
  <c r="N1195"/>
  <c r="N1172"/>
  <c r="O1172"/>
  <c r="P1172"/>
  <c r="D202" i="39"/>
  <c r="E202"/>
  <c r="F202"/>
  <c r="G202"/>
  <c r="H202"/>
  <c r="I202"/>
  <c r="J202"/>
  <c r="K202"/>
  <c r="C202"/>
  <c r="D363" l="1"/>
  <c r="D364" s="1"/>
  <c r="L24" i="43"/>
  <c r="N477" i="36"/>
  <c r="C261" i="39" s="1"/>
  <c r="C262" s="1"/>
  <c r="M891" i="36"/>
  <c r="D31" i="45"/>
  <c r="E31"/>
  <c r="E65" i="43"/>
  <c r="F65"/>
  <c r="C338" i="39"/>
  <c r="C31" i="45"/>
  <c r="G65" i="43"/>
  <c r="C321" i="39"/>
  <c r="C330"/>
  <c r="C313"/>
  <c r="Q477" i="36"/>
  <c r="F261" i="39" s="1"/>
  <c r="F262" s="1"/>
  <c r="O477" i="36"/>
  <c r="D261" i="39" s="1"/>
  <c r="D262" s="1"/>
  <c r="P477" i="36"/>
  <c r="E261" i="39" s="1"/>
  <c r="E262" s="1"/>
  <c r="E338"/>
  <c r="D338"/>
  <c r="K321"/>
  <c r="G321"/>
  <c r="H321"/>
  <c r="D321"/>
  <c r="F330"/>
  <c r="F338"/>
  <c r="E330"/>
  <c r="J321"/>
  <c r="D330"/>
  <c r="F321"/>
  <c r="E313"/>
  <c r="I321"/>
  <c r="E321"/>
  <c r="D313"/>
  <c r="Q542" i="36"/>
  <c r="P542"/>
  <c r="O542"/>
  <c r="N542"/>
  <c r="O531"/>
  <c r="D331" i="39" s="1"/>
  <c r="N531" i="36"/>
  <c r="C331" i="39" s="1"/>
  <c r="Q531" i="36"/>
  <c r="F331" i="39" s="1"/>
  <c r="P531" i="36"/>
  <c r="E331" i="39" s="1"/>
  <c r="V519" i="36"/>
  <c r="K322" i="39" s="1"/>
  <c r="U519" i="36"/>
  <c r="J322" i="39" s="1"/>
  <c r="T519" i="36"/>
  <c r="I322" i="39" s="1"/>
  <c r="S519" i="36"/>
  <c r="H322" i="39" s="1"/>
  <c r="R519" i="36"/>
  <c r="G322" i="39" s="1"/>
  <c r="Q519" i="36"/>
  <c r="F322" i="39" s="1"/>
  <c r="P519" i="36"/>
  <c r="E322" i="39" s="1"/>
  <c r="O519" i="36"/>
  <c r="D322" i="39" s="1"/>
  <c r="N519" i="36"/>
  <c r="C322" i="39" s="1"/>
  <c r="P554" i="36"/>
  <c r="N554"/>
  <c r="P511"/>
  <c r="O511"/>
  <c r="C363" i="39" l="1"/>
  <c r="C364" s="1"/>
  <c r="E363"/>
  <c r="E364" s="1"/>
  <c r="F339"/>
  <c r="F340" s="1"/>
  <c r="E332"/>
  <c r="H323"/>
  <c r="I323"/>
  <c r="D323"/>
  <c r="E25" i="42"/>
  <c r="E314" i="39"/>
  <c r="E315" s="1"/>
  <c r="P1188" i="36"/>
  <c r="E339" i="39"/>
  <c r="E340" s="1"/>
  <c r="D25" i="42"/>
  <c r="D314" i="39"/>
  <c r="D315" s="1"/>
  <c r="O1188" i="36"/>
  <c r="D339" i="39"/>
  <c r="D340" s="1"/>
  <c r="C25" i="42"/>
  <c r="C314" i="39"/>
  <c r="C315" s="1"/>
  <c r="N1188" i="36"/>
  <c r="C339" i="39"/>
  <c r="C340" s="1"/>
  <c r="J323"/>
  <c r="E323"/>
  <c r="D332"/>
  <c r="F332"/>
  <c r="K323"/>
  <c r="C323"/>
  <c r="F323"/>
  <c r="G323"/>
  <c r="C332"/>
  <c r="J336"/>
  <c r="H306"/>
  <c r="H313" s="1"/>
  <c r="I336"/>
  <c r="G336"/>
  <c r="G1103" s="1"/>
  <c r="K336"/>
  <c r="H336"/>
  <c r="G306"/>
  <c r="E25" i="43" s="1"/>
  <c r="K306" i="39"/>
  <c r="K313" s="1"/>
  <c r="F306"/>
  <c r="F313" s="1"/>
  <c r="I306"/>
  <c r="I313" s="1"/>
  <c r="N1154" i="36"/>
  <c r="J306" i="39"/>
  <c r="J313" s="1"/>
  <c r="P1154" i="36"/>
  <c r="Q1154"/>
  <c r="O1154"/>
  <c r="S481"/>
  <c r="G268" i="39"/>
  <c r="G270" s="1"/>
  <c r="E342"/>
  <c r="C342"/>
  <c r="D342"/>
  <c r="F342"/>
  <c r="Q1188" i="36"/>
  <c r="S542"/>
  <c r="R542"/>
  <c r="V542"/>
  <c r="R511"/>
  <c r="G314" i="39" s="1"/>
  <c r="V511" i="36"/>
  <c r="H329" i="39"/>
  <c r="U511" i="36"/>
  <c r="T542"/>
  <c r="G329" i="39"/>
  <c r="U542" i="36"/>
  <c r="S511"/>
  <c r="Q544"/>
  <c r="O544"/>
  <c r="D343" i="39" s="1"/>
  <c r="T511" i="36"/>
  <c r="Q511"/>
  <c r="F314" i="39" s="1"/>
  <c r="P544" i="36"/>
  <c r="E343" i="39" s="1"/>
  <c r="N544" i="36"/>
  <c r="C343" i="39" s="1"/>
  <c r="G338" l="1"/>
  <c r="F315"/>
  <c r="I25" i="42"/>
  <c r="I314" i="39"/>
  <c r="I315" s="1"/>
  <c r="J25" i="42"/>
  <c r="J314" i="39"/>
  <c r="J315" s="1"/>
  <c r="H25" i="42"/>
  <c r="H314" i="39"/>
  <c r="H315" s="1"/>
  <c r="T1188" i="36"/>
  <c r="I339" i="39"/>
  <c r="S1188" i="36"/>
  <c r="H339" i="39"/>
  <c r="F65" i="42"/>
  <c r="F343" i="39"/>
  <c r="F344" s="1"/>
  <c r="K25" i="42"/>
  <c r="K314" i="39"/>
  <c r="K315" s="1"/>
  <c r="R1188" i="36"/>
  <c r="G339" i="39"/>
  <c r="U1188" i="36"/>
  <c r="J339" i="39"/>
  <c r="V1188" i="36"/>
  <c r="K339" i="39"/>
  <c r="H268"/>
  <c r="H269"/>
  <c r="C344"/>
  <c r="D346"/>
  <c r="D344"/>
  <c r="E346"/>
  <c r="E344"/>
  <c r="C346"/>
  <c r="I338"/>
  <c r="I1103"/>
  <c r="K338"/>
  <c r="K1103"/>
  <c r="J338"/>
  <c r="J1103"/>
  <c r="H338"/>
  <c r="H1103"/>
  <c r="I329"/>
  <c r="K329"/>
  <c r="J329"/>
  <c r="Q552" i="36"/>
  <c r="Q548"/>
  <c r="Q550"/>
  <c r="F355" i="39" s="1"/>
  <c r="G25" i="42"/>
  <c r="F25"/>
  <c r="U531" i="36"/>
  <c r="T481"/>
  <c r="G313" i="39"/>
  <c r="G315" s="1"/>
  <c r="P546" i="36"/>
  <c r="E347" i="39" s="1"/>
  <c r="E65" i="42"/>
  <c r="N546" i="36"/>
  <c r="C347" i="39" s="1"/>
  <c r="C65" i="42"/>
  <c r="O546" i="36"/>
  <c r="D347" i="39" s="1"/>
  <c r="D65" i="42"/>
  <c r="F346" i="39"/>
  <c r="F362" s="1"/>
  <c r="R531" i="36"/>
  <c r="S531"/>
  <c r="H330" i="39"/>
  <c r="V531" i="36"/>
  <c r="Q546"/>
  <c r="T531"/>
  <c r="G340" i="39" l="1"/>
  <c r="I340"/>
  <c r="K340"/>
  <c r="H340"/>
  <c r="C348"/>
  <c r="H270"/>
  <c r="T1154" i="36"/>
  <c r="I331" i="39"/>
  <c r="V1154" i="36"/>
  <c r="K331" i="39"/>
  <c r="R1154" i="36"/>
  <c r="G331" i="39"/>
  <c r="R552" i="36"/>
  <c r="F359" i="39"/>
  <c r="Q554" i="36"/>
  <c r="F347" i="39"/>
  <c r="F348" s="1"/>
  <c r="S1154" i="36"/>
  <c r="H331" i="39"/>
  <c r="H332" s="1"/>
  <c r="U1154" i="36"/>
  <c r="J331" i="39"/>
  <c r="R548" i="36"/>
  <c r="F351" i="39"/>
  <c r="U481" i="36"/>
  <c r="I269" i="39"/>
  <c r="D348"/>
  <c r="J340"/>
  <c r="E348"/>
  <c r="M25" i="42"/>
  <c r="F24" i="44"/>
  <c r="O25" i="43"/>
  <c r="N25" i="42"/>
  <c r="H342" i="39"/>
  <c r="J330"/>
  <c r="I330"/>
  <c r="K330"/>
  <c r="I268"/>
  <c r="R550" i="36"/>
  <c r="F350" i="39"/>
  <c r="F358"/>
  <c r="U544" i="36"/>
  <c r="F354" i="39"/>
  <c r="F356" s="1"/>
  <c r="G330"/>
  <c r="J65" i="43"/>
  <c r="Q1172" i="36"/>
  <c r="Q1195"/>
  <c r="S544"/>
  <c r="H343" i="39" s="1"/>
  <c r="V544" i="36"/>
  <c r="K343" i="39" s="1"/>
  <c r="T544" i="36"/>
  <c r="I343" i="39" s="1"/>
  <c r="R544" i="36"/>
  <c r="G343" i="39" s="1"/>
  <c r="J269" l="1"/>
  <c r="F363"/>
  <c r="F364" s="1"/>
  <c r="G332"/>
  <c r="F352"/>
  <c r="F360"/>
  <c r="J65" i="42"/>
  <c r="J343" i="39"/>
  <c r="S550" i="36"/>
  <c r="G355" i="39"/>
  <c r="S548" i="36"/>
  <c r="G351" i="39"/>
  <c r="S552" i="36"/>
  <c r="G359" i="39"/>
  <c r="V481" i="36"/>
  <c r="J268" i="39"/>
  <c r="I270"/>
  <c r="D24" i="44"/>
  <c r="F31" i="45"/>
  <c r="H346" i="39"/>
  <c r="H344"/>
  <c r="J342"/>
  <c r="J332"/>
  <c r="I342"/>
  <c r="I332"/>
  <c r="K342"/>
  <c r="K332"/>
  <c r="O25" i="42"/>
  <c r="G350" i="39"/>
  <c r="U546" i="36"/>
  <c r="J347" i="39" s="1"/>
  <c r="S546" i="36"/>
  <c r="H347" i="39" s="1"/>
  <c r="H65" i="42"/>
  <c r="G358" i="39"/>
  <c r="R546" i="36"/>
  <c r="R554" s="1"/>
  <c r="G65" i="42"/>
  <c r="V546" i="36"/>
  <c r="K347" i="39" s="1"/>
  <c r="K65" i="42"/>
  <c r="T546" i="36"/>
  <c r="I347" i="39" s="1"/>
  <c r="I65" i="42"/>
  <c r="G354" i="39"/>
  <c r="G342"/>
  <c r="G344" s="1"/>
  <c r="R1195" i="36"/>
  <c r="R1172"/>
  <c r="J270" i="39" l="1"/>
  <c r="S1195" i="36"/>
  <c r="G360" i="39"/>
  <c r="G356"/>
  <c r="G352"/>
  <c r="T548" i="36"/>
  <c r="H351" i="39"/>
  <c r="K268"/>
  <c r="K269"/>
  <c r="G347"/>
  <c r="T552" i="36"/>
  <c r="H359" i="39"/>
  <c r="T550" i="36"/>
  <c r="H355" i="39"/>
  <c r="H350"/>
  <c r="H348"/>
  <c r="I346"/>
  <c r="I348" s="1"/>
  <c r="I344"/>
  <c r="K346"/>
  <c r="K348" s="1"/>
  <c r="K344"/>
  <c r="J346"/>
  <c r="J348" s="1"/>
  <c r="J344"/>
  <c r="M65" i="42"/>
  <c r="O65" i="43"/>
  <c r="N65" i="42"/>
  <c r="S1172" i="36"/>
  <c r="H354" i="39"/>
  <c r="H358"/>
  <c r="G346"/>
  <c r="G362" s="1"/>
  <c r="H362" s="1"/>
  <c r="H24" i="44"/>
  <c r="T1195" i="36" l="1"/>
  <c r="H360" i="39"/>
  <c r="K270"/>
  <c r="U550" i="36"/>
  <c r="I355" i="39"/>
  <c r="G363"/>
  <c r="I351"/>
  <c r="U548" i="36"/>
  <c r="J350" i="39" s="1"/>
  <c r="U552" i="36"/>
  <c r="I359" i="39"/>
  <c r="S554" i="36"/>
  <c r="H352" i="39"/>
  <c r="H356"/>
  <c r="I362"/>
  <c r="J362" s="1"/>
  <c r="K362" s="1"/>
  <c r="G348"/>
  <c r="O65" i="42"/>
  <c r="T1172" i="36"/>
  <c r="I350" i="39"/>
  <c r="I354"/>
  <c r="I358"/>
  <c r="I360" l="1"/>
  <c r="T554" i="36"/>
  <c r="H363" i="39"/>
  <c r="H364" s="1"/>
  <c r="V550" i="36"/>
  <c r="K355" i="39" s="1"/>
  <c r="J355"/>
  <c r="V548" i="36"/>
  <c r="J351" i="39"/>
  <c r="J352" s="1"/>
  <c r="V552" i="36"/>
  <c r="J359" i="39"/>
  <c r="I352"/>
  <c r="I356"/>
  <c r="G364"/>
  <c r="G31" i="45"/>
  <c r="J358" i="39"/>
  <c r="J354"/>
  <c r="U1195" i="36"/>
  <c r="U1172"/>
  <c r="K351" i="39" l="1"/>
  <c r="K359"/>
  <c r="J360"/>
  <c r="K350"/>
  <c r="K354"/>
  <c r="K356" s="1"/>
  <c r="J356"/>
  <c r="I363"/>
  <c r="I364" s="1"/>
  <c r="U554" i="36"/>
  <c r="K358" i="39"/>
  <c r="H31" i="45"/>
  <c r="V1195" i="36"/>
  <c r="V1172"/>
  <c r="K352" i="39" l="1"/>
  <c r="K360"/>
  <c r="V554" i="36"/>
  <c r="J363" i="39"/>
  <c r="J364" s="1"/>
  <c r="I31" i="45"/>
  <c r="O414" i="36"/>
  <c r="P414"/>
  <c r="Q414"/>
  <c r="R414"/>
  <c r="S414"/>
  <c r="T414"/>
  <c r="U414"/>
  <c r="V414"/>
  <c r="N414"/>
  <c r="C204" i="39" s="1"/>
  <c r="O800" i="36"/>
  <c r="D553" i="39" s="1"/>
  <c r="P800" i="36"/>
  <c r="E553" i="39" s="1"/>
  <c r="Q800" i="36"/>
  <c r="F553" i="39" s="1"/>
  <c r="R800" i="36"/>
  <c r="G553" i="39" s="1"/>
  <c r="S800" i="36"/>
  <c r="H553" i="39" s="1"/>
  <c r="T800" i="36"/>
  <c r="I553" i="39" s="1"/>
  <c r="U800" i="36"/>
  <c r="J553" i="39" s="1"/>
  <c r="V800" i="36"/>
  <c r="K553" i="39" s="1"/>
  <c r="N800" i="36"/>
  <c r="C553" i="39" s="1"/>
  <c r="O1099" i="36"/>
  <c r="D848" i="39" s="1"/>
  <c r="P1099" i="36"/>
  <c r="E848" i="39" s="1"/>
  <c r="Q1099" i="36"/>
  <c r="F848" i="39" s="1"/>
  <c r="R1099" i="36"/>
  <c r="G848" i="39" s="1"/>
  <c r="S1099" i="36"/>
  <c r="H848" i="39" s="1"/>
  <c r="T1099" i="36"/>
  <c r="I848" i="39" s="1"/>
  <c r="U1099" i="36"/>
  <c r="J848" i="39" s="1"/>
  <c r="V1099" i="36"/>
  <c r="K848" i="39" s="1"/>
  <c r="N1099" i="36"/>
  <c r="C848" i="39" s="1"/>
  <c r="N673" i="36"/>
  <c r="O603"/>
  <c r="D442" i="39" s="1"/>
  <c r="O273" i="36"/>
  <c r="O275" s="1"/>
  <c r="O723"/>
  <c r="O641"/>
  <c r="D449" i="39" s="1"/>
  <c r="O291" i="36"/>
  <c r="O1230" s="1"/>
  <c r="O290"/>
  <c r="O1228" s="1"/>
  <c r="O289"/>
  <c r="O288"/>
  <c r="O1222" s="1"/>
  <c r="C462" i="39" l="1"/>
  <c r="C463" s="1"/>
  <c r="C1002"/>
  <c r="C1003" s="1"/>
  <c r="H24" i="42"/>
  <c r="H204" i="39"/>
  <c r="I24" i="42"/>
  <c r="I204" i="39"/>
  <c r="E24" i="42"/>
  <c r="E204" i="39"/>
  <c r="K24" i="42"/>
  <c r="K204" i="39"/>
  <c r="G24" i="42"/>
  <c r="G204" i="39"/>
  <c r="K363"/>
  <c r="D24" i="42"/>
  <c r="D204" i="39"/>
  <c r="J24" i="42"/>
  <c r="J204" i="39"/>
  <c r="F24" i="42"/>
  <c r="F204" i="39"/>
  <c r="J31" i="45"/>
  <c r="C24" i="42"/>
  <c r="N420" i="36"/>
  <c r="C214" i="39" s="1"/>
  <c r="R420" i="36"/>
  <c r="G214" i="39" s="1"/>
  <c r="N291" i="36"/>
  <c r="N1230" s="1"/>
  <c r="N290"/>
  <c r="N1228" s="1"/>
  <c r="N289"/>
  <c r="N288"/>
  <c r="N1222" s="1"/>
  <c r="S1225"/>
  <c r="T1225"/>
  <c r="U1225"/>
  <c r="V1225"/>
  <c r="R1225"/>
  <c r="Q1225"/>
  <c r="P1225"/>
  <c r="O1225"/>
  <c r="M24" i="42" l="1"/>
  <c r="K31" i="45"/>
  <c r="K364" i="39"/>
  <c r="Q321" i="36"/>
  <c r="S322"/>
  <c r="T322"/>
  <c r="U322"/>
  <c r="R322"/>
  <c r="V322"/>
  <c r="P1029"/>
  <c r="E708" i="39" l="1"/>
  <c r="E1052"/>
  <c r="P564" i="36"/>
  <c r="Q564"/>
  <c r="F76" i="43"/>
  <c r="D601" i="39"/>
  <c r="C601"/>
  <c r="G14" i="43"/>
  <c r="D544" i="39"/>
  <c r="E544"/>
  <c r="F544"/>
  <c r="H544"/>
  <c r="I544"/>
  <c r="J544"/>
  <c r="K544"/>
  <c r="C544"/>
  <c r="D439"/>
  <c r="E439"/>
  <c r="F439"/>
  <c r="G439"/>
  <c r="J29" i="43" s="1"/>
  <c r="H439" i="39"/>
  <c r="I439"/>
  <c r="J439"/>
  <c r="K439"/>
  <c r="C439"/>
  <c r="J66" i="43"/>
  <c r="E66"/>
  <c r="E26"/>
  <c r="P281" i="36"/>
  <c r="O281"/>
  <c r="N281"/>
  <c r="K77" i="40"/>
  <c r="D77"/>
  <c r="E77"/>
  <c r="F77"/>
  <c r="G77"/>
  <c r="H77"/>
  <c r="I77"/>
  <c r="J77"/>
  <c r="C77"/>
  <c r="P978" i="36"/>
  <c r="G506" i="39"/>
  <c r="V693" i="36"/>
  <c r="S318"/>
  <c r="H243" i="40" s="1"/>
  <c r="T318" i="36"/>
  <c r="I243" i="40" s="1"/>
  <c r="U318" i="36"/>
  <c r="J243" i="40" s="1"/>
  <c r="V318" i="36"/>
  <c r="K243" i="40" s="1"/>
  <c r="R318" i="36"/>
  <c r="G243" i="40" s="1"/>
  <c r="V323" i="36"/>
  <c r="N771"/>
  <c r="N233"/>
  <c r="D45" i="45"/>
  <c r="D44"/>
  <c r="D39"/>
  <c r="D38"/>
  <c r="D37"/>
  <c r="D32"/>
  <c r="D30"/>
  <c r="D25"/>
  <c r="D21"/>
  <c r="D20"/>
  <c r="D19"/>
  <c r="D18"/>
  <c r="D17"/>
  <c r="D16"/>
  <c r="D15"/>
  <c r="D14"/>
  <c r="D9"/>
  <c r="D64" i="42"/>
  <c r="E64"/>
  <c r="F64"/>
  <c r="G64"/>
  <c r="H64"/>
  <c r="I64"/>
  <c r="J64"/>
  <c r="K64"/>
  <c r="G57" i="43"/>
  <c r="E57"/>
  <c r="K926" i="39"/>
  <c r="J926"/>
  <c r="I926"/>
  <c r="H926"/>
  <c r="G926"/>
  <c r="H17" i="43" s="1"/>
  <c r="F926" i="39"/>
  <c r="E926"/>
  <c r="D926"/>
  <c r="K925"/>
  <c r="K927" s="1"/>
  <c r="J925"/>
  <c r="I925"/>
  <c r="H925"/>
  <c r="G925"/>
  <c r="C17" i="43" s="1"/>
  <c r="F925" i="39"/>
  <c r="E925"/>
  <c r="D925"/>
  <c r="J56" i="43"/>
  <c r="E56"/>
  <c r="K883" i="39"/>
  <c r="J883"/>
  <c r="I883"/>
  <c r="H883"/>
  <c r="G883"/>
  <c r="H16" i="43" s="1"/>
  <c r="F883" i="39"/>
  <c r="E883"/>
  <c r="D883"/>
  <c r="K882"/>
  <c r="J882"/>
  <c r="I882"/>
  <c r="H882"/>
  <c r="G882"/>
  <c r="C16" i="43" s="1"/>
  <c r="F882" i="39"/>
  <c r="E882"/>
  <c r="D882"/>
  <c r="K844"/>
  <c r="K847" s="1"/>
  <c r="K849" s="1"/>
  <c r="J844"/>
  <c r="I844"/>
  <c r="I847" s="1"/>
  <c r="I849" s="1"/>
  <c r="H844"/>
  <c r="H847" s="1"/>
  <c r="H849" s="1"/>
  <c r="G844"/>
  <c r="G847" s="1"/>
  <c r="G849" s="1"/>
  <c r="F844"/>
  <c r="E844"/>
  <c r="E847" s="1"/>
  <c r="E849" s="1"/>
  <c r="D844"/>
  <c r="D847" s="1"/>
  <c r="D849" s="1"/>
  <c r="K837"/>
  <c r="J837"/>
  <c r="I837"/>
  <c r="H837"/>
  <c r="G837"/>
  <c r="F837"/>
  <c r="E837"/>
  <c r="D837"/>
  <c r="K836"/>
  <c r="J836"/>
  <c r="I836"/>
  <c r="H836"/>
  <c r="G836"/>
  <c r="F836"/>
  <c r="E836"/>
  <c r="D836"/>
  <c r="K800"/>
  <c r="J800"/>
  <c r="I800"/>
  <c r="H800"/>
  <c r="G800"/>
  <c r="K76" i="43" s="1"/>
  <c r="F800" i="39"/>
  <c r="F801" s="1"/>
  <c r="E800"/>
  <c r="D800"/>
  <c r="K1049"/>
  <c r="J1049"/>
  <c r="I1049"/>
  <c r="H1049"/>
  <c r="G1049"/>
  <c r="F1049"/>
  <c r="E1049"/>
  <c r="D1049"/>
  <c r="K791"/>
  <c r="J791"/>
  <c r="I791"/>
  <c r="H791"/>
  <c r="G791"/>
  <c r="L36" i="43" s="1"/>
  <c r="F791" i="39"/>
  <c r="E791"/>
  <c r="D791"/>
  <c r="K790"/>
  <c r="J790"/>
  <c r="I790"/>
  <c r="H790"/>
  <c r="G790"/>
  <c r="H36" i="43" s="1"/>
  <c r="F790" i="39"/>
  <c r="E790"/>
  <c r="D790"/>
  <c r="D789"/>
  <c r="D1031" s="1"/>
  <c r="J75" i="43"/>
  <c r="K753" i="39"/>
  <c r="K755" s="1"/>
  <c r="K746"/>
  <c r="J746"/>
  <c r="I746"/>
  <c r="H746"/>
  <c r="G746"/>
  <c r="L35" i="43" s="1"/>
  <c r="F746" i="39"/>
  <c r="E746"/>
  <c r="D746"/>
  <c r="K745"/>
  <c r="J745"/>
  <c r="I745"/>
  <c r="H745"/>
  <c r="G745"/>
  <c r="H35" i="43" s="1"/>
  <c r="F745" i="39"/>
  <c r="E745"/>
  <c r="D745"/>
  <c r="K744"/>
  <c r="J744"/>
  <c r="I744"/>
  <c r="H744"/>
  <c r="G744"/>
  <c r="F744"/>
  <c r="F1029" s="1"/>
  <c r="E744"/>
  <c r="E1029" s="1"/>
  <c r="D744"/>
  <c r="D1029" s="1"/>
  <c r="K74" i="43"/>
  <c r="K705" i="39"/>
  <c r="J705"/>
  <c r="J1048" s="1"/>
  <c r="I705"/>
  <c r="H705"/>
  <c r="H1048" s="1"/>
  <c r="G705"/>
  <c r="J74" i="43" s="1"/>
  <c r="F705" i="39"/>
  <c r="F1048" s="1"/>
  <c r="E705"/>
  <c r="D705"/>
  <c r="D1048" s="1"/>
  <c r="K704"/>
  <c r="K1047" s="1"/>
  <c r="J704"/>
  <c r="J1047" s="1"/>
  <c r="I704"/>
  <c r="I1047" s="1"/>
  <c r="H704"/>
  <c r="H1047" s="1"/>
  <c r="G704"/>
  <c r="F704"/>
  <c r="F1047" s="1"/>
  <c r="E704"/>
  <c r="E1047" s="1"/>
  <c r="D704"/>
  <c r="D1047" s="1"/>
  <c r="D703"/>
  <c r="D1046" s="1"/>
  <c r="E702"/>
  <c r="E1045" s="1"/>
  <c r="D702"/>
  <c r="D1045" s="1"/>
  <c r="F701"/>
  <c r="F1044" s="1"/>
  <c r="E701"/>
  <c r="E1044" s="1"/>
  <c r="D701"/>
  <c r="D1044" s="1"/>
  <c r="C74" i="43"/>
  <c r="K693" i="39"/>
  <c r="K1036" s="1"/>
  <c r="J693"/>
  <c r="J1036" s="1"/>
  <c r="I693"/>
  <c r="I1036" s="1"/>
  <c r="H693"/>
  <c r="H1036" s="1"/>
  <c r="G693"/>
  <c r="F693"/>
  <c r="F1036" s="1"/>
  <c r="E693"/>
  <c r="E1036" s="1"/>
  <c r="D693"/>
  <c r="D1036" s="1"/>
  <c r="F692"/>
  <c r="F1035" s="1"/>
  <c r="E692"/>
  <c r="E1035" s="1"/>
  <c r="D692"/>
  <c r="D1035" s="1"/>
  <c r="K691"/>
  <c r="J691"/>
  <c r="I691"/>
  <c r="H691"/>
  <c r="G691"/>
  <c r="F691"/>
  <c r="E691"/>
  <c r="D691"/>
  <c r="G34" i="43"/>
  <c r="K689" i="39"/>
  <c r="K1032" s="1"/>
  <c r="J689"/>
  <c r="J1032" s="1"/>
  <c r="I689"/>
  <c r="I1032" s="1"/>
  <c r="H689"/>
  <c r="H1032" s="1"/>
  <c r="G689"/>
  <c r="F689"/>
  <c r="F1032" s="1"/>
  <c r="E689"/>
  <c r="E1032" s="1"/>
  <c r="D689"/>
  <c r="D1032" s="1"/>
  <c r="E34" i="43"/>
  <c r="D34"/>
  <c r="C34"/>
  <c r="K650" i="39"/>
  <c r="J650"/>
  <c r="I650"/>
  <c r="H650"/>
  <c r="D650"/>
  <c r="K649"/>
  <c r="J649"/>
  <c r="I649"/>
  <c r="H649"/>
  <c r="D649"/>
  <c r="D1100" s="1"/>
  <c r="K648"/>
  <c r="J648"/>
  <c r="I648"/>
  <c r="H648"/>
  <c r="G648"/>
  <c r="D71" i="43" s="1"/>
  <c r="F648" i="39"/>
  <c r="E648"/>
  <c r="K647"/>
  <c r="J647"/>
  <c r="I647"/>
  <c r="H647"/>
  <c r="G647"/>
  <c r="C71" i="43" s="1"/>
  <c r="F647" i="39"/>
  <c r="E647"/>
  <c r="K640"/>
  <c r="J640"/>
  <c r="I640"/>
  <c r="H640"/>
  <c r="G640"/>
  <c r="J31" i="43" s="1"/>
  <c r="F640" i="39"/>
  <c r="E640"/>
  <c r="D640"/>
  <c r="K639"/>
  <c r="J639"/>
  <c r="I639"/>
  <c r="H639"/>
  <c r="G639"/>
  <c r="G1088" s="1"/>
  <c r="D639"/>
  <c r="D1088" s="1"/>
  <c r="F599"/>
  <c r="E599"/>
  <c r="D599"/>
  <c r="K598"/>
  <c r="J598"/>
  <c r="J1098" s="1"/>
  <c r="I598"/>
  <c r="I1098" s="1"/>
  <c r="H598"/>
  <c r="H1098" s="1"/>
  <c r="G598"/>
  <c r="G1098" s="1"/>
  <c r="F598"/>
  <c r="E598"/>
  <c r="E1098" s="1"/>
  <c r="D598"/>
  <c r="D592"/>
  <c r="D1092" s="1"/>
  <c r="D591"/>
  <c r="F590"/>
  <c r="F1090" s="1"/>
  <c r="E590"/>
  <c r="E1090" s="1"/>
  <c r="D590"/>
  <c r="D1090" s="1"/>
  <c r="K589"/>
  <c r="K1089" s="1"/>
  <c r="J589"/>
  <c r="J1089" s="1"/>
  <c r="I589"/>
  <c r="I1089" s="1"/>
  <c r="H589"/>
  <c r="H1089" s="1"/>
  <c r="G589"/>
  <c r="F589"/>
  <c r="F1089" s="1"/>
  <c r="E589"/>
  <c r="E1089" s="1"/>
  <c r="D589"/>
  <c r="D1089" s="1"/>
  <c r="G988"/>
  <c r="K15" i="43"/>
  <c r="K542" i="39"/>
  <c r="J542"/>
  <c r="I542"/>
  <c r="H542"/>
  <c r="G542"/>
  <c r="D15" i="43" s="1"/>
  <c r="F542" i="39"/>
  <c r="E542"/>
  <c r="D542"/>
  <c r="K505"/>
  <c r="D505"/>
  <c r="I70" i="43"/>
  <c r="G70"/>
  <c r="F500" i="39"/>
  <c r="E500"/>
  <c r="C70" i="43"/>
  <c r="F493" i="39"/>
  <c r="E493"/>
  <c r="D493"/>
  <c r="F492"/>
  <c r="E492"/>
  <c r="D492"/>
  <c r="K491"/>
  <c r="J491"/>
  <c r="I491"/>
  <c r="H491"/>
  <c r="G491"/>
  <c r="H30" i="43" s="1"/>
  <c r="F491" i="39"/>
  <c r="E491"/>
  <c r="D491"/>
  <c r="K490"/>
  <c r="J490"/>
  <c r="I490"/>
  <c r="H490"/>
  <c r="G490"/>
  <c r="G30" i="43" s="1"/>
  <c r="F490" i="39"/>
  <c r="E490"/>
  <c r="D490"/>
  <c r="K489"/>
  <c r="J489"/>
  <c r="I489"/>
  <c r="H489"/>
  <c r="G489"/>
  <c r="F489"/>
  <c r="E489"/>
  <c r="D489"/>
  <c r="C30" i="43"/>
  <c r="J69"/>
  <c r="I69"/>
  <c r="G69"/>
  <c r="C69"/>
  <c r="D440" i="39"/>
  <c r="F438"/>
  <c r="E438"/>
  <c r="D438"/>
  <c r="K437"/>
  <c r="J437"/>
  <c r="I437"/>
  <c r="H437"/>
  <c r="G437"/>
  <c r="H29" i="43" s="1"/>
  <c r="F437" i="39"/>
  <c r="E437"/>
  <c r="D437"/>
  <c r="K436"/>
  <c r="J436"/>
  <c r="I436"/>
  <c r="H436"/>
  <c r="G436"/>
  <c r="G29" i="43" s="1"/>
  <c r="F436" i="39"/>
  <c r="E436"/>
  <c r="D436"/>
  <c r="K435"/>
  <c r="J435"/>
  <c r="I435"/>
  <c r="H435"/>
  <c r="G435"/>
  <c r="F435"/>
  <c r="E435"/>
  <c r="D435"/>
  <c r="K434"/>
  <c r="J434"/>
  <c r="I434"/>
  <c r="G434"/>
  <c r="C29" i="43" s="1"/>
  <c r="F434" i="39"/>
  <c r="E434"/>
  <c r="D434"/>
  <c r="K398"/>
  <c r="J398"/>
  <c r="I398"/>
  <c r="H398"/>
  <c r="G398"/>
  <c r="F398"/>
  <c r="E398"/>
  <c r="D398"/>
  <c r="K397"/>
  <c r="J397"/>
  <c r="I397"/>
  <c r="H397"/>
  <c r="G397"/>
  <c r="E61" i="43" s="1"/>
  <c r="F397" i="39"/>
  <c r="E397"/>
  <c r="D397"/>
  <c r="K391"/>
  <c r="J391"/>
  <c r="I391"/>
  <c r="H391"/>
  <c r="G391"/>
  <c r="F391"/>
  <c r="E391"/>
  <c r="D391"/>
  <c r="K390"/>
  <c r="J390"/>
  <c r="I390"/>
  <c r="H390"/>
  <c r="G390"/>
  <c r="H21" i="43" s="1"/>
  <c r="F390" i="39"/>
  <c r="E390"/>
  <c r="D390"/>
  <c r="K389"/>
  <c r="J389"/>
  <c r="I389"/>
  <c r="H389"/>
  <c r="G389"/>
  <c r="E21" i="43" s="1"/>
  <c r="F389" i="39"/>
  <c r="E389"/>
  <c r="D389"/>
  <c r="D388"/>
  <c r="E388"/>
  <c r="F388"/>
  <c r="G388"/>
  <c r="C21" i="43" s="1"/>
  <c r="H388" i="39"/>
  <c r="D248"/>
  <c r="E248"/>
  <c r="F248"/>
  <c r="G248"/>
  <c r="I26" i="43" s="1"/>
  <c r="H248" i="39"/>
  <c r="I248"/>
  <c r="J248"/>
  <c r="K248"/>
  <c r="D247"/>
  <c r="E247"/>
  <c r="F247"/>
  <c r="G247"/>
  <c r="H247"/>
  <c r="I247"/>
  <c r="J247"/>
  <c r="K247"/>
  <c r="D26" i="43"/>
  <c r="D208" i="39"/>
  <c r="E208"/>
  <c r="F208"/>
  <c r="G208"/>
  <c r="H208"/>
  <c r="I208"/>
  <c r="J208"/>
  <c r="K208"/>
  <c r="K209" s="1"/>
  <c r="K211" s="1"/>
  <c r="D203"/>
  <c r="D205" s="1"/>
  <c r="E203"/>
  <c r="E205" s="1"/>
  <c r="F203"/>
  <c r="F205" s="1"/>
  <c r="H203"/>
  <c r="H205" s="1"/>
  <c r="I203"/>
  <c r="I205" s="1"/>
  <c r="J203"/>
  <c r="J205" s="1"/>
  <c r="K203"/>
  <c r="K205" s="1"/>
  <c r="G53" i="43"/>
  <c r="D163" i="39"/>
  <c r="E163"/>
  <c r="D154"/>
  <c r="E154"/>
  <c r="F154"/>
  <c r="G154"/>
  <c r="H13" i="43" s="1"/>
  <c r="H154" i="39"/>
  <c r="I154"/>
  <c r="J154"/>
  <c r="K154"/>
  <c r="D13" i="43"/>
  <c r="E59"/>
  <c r="K118" i="39"/>
  <c r="K120" s="1"/>
  <c r="D111"/>
  <c r="E111"/>
  <c r="F111"/>
  <c r="G111"/>
  <c r="H19" i="43" s="1"/>
  <c r="H111" i="39"/>
  <c r="I111"/>
  <c r="J111"/>
  <c r="K111"/>
  <c r="D110"/>
  <c r="E110"/>
  <c r="F110"/>
  <c r="E58" i="43"/>
  <c r="K74" i="39"/>
  <c r="K76" s="1"/>
  <c r="D67"/>
  <c r="E67"/>
  <c r="F67"/>
  <c r="G67"/>
  <c r="H67"/>
  <c r="I67"/>
  <c r="J67"/>
  <c r="K67"/>
  <c r="D66"/>
  <c r="E66"/>
  <c r="F66"/>
  <c r="D30"/>
  <c r="D992" s="1"/>
  <c r="D244" i="40"/>
  <c r="D29" i="39" s="1"/>
  <c r="D989" s="1"/>
  <c r="E244" i="40"/>
  <c r="E29" i="39" s="1"/>
  <c r="E989" s="1"/>
  <c r="F244" i="40"/>
  <c r="F29" i="39" s="1"/>
  <c r="F989" s="1"/>
  <c r="G244" i="40"/>
  <c r="G29" i="39" s="1"/>
  <c r="H244" i="40"/>
  <c r="H29" i="39" s="1"/>
  <c r="H989" s="1"/>
  <c r="I244" i="40"/>
  <c r="I29" i="39" s="1"/>
  <c r="I989" s="1"/>
  <c r="J244" i="40"/>
  <c r="J29" i="39" s="1"/>
  <c r="J989" s="1"/>
  <c r="K244" i="40"/>
  <c r="K29" i="39" s="1"/>
  <c r="K989" s="1"/>
  <c r="D243" i="40"/>
  <c r="E243"/>
  <c r="F243"/>
  <c r="D241"/>
  <c r="E241"/>
  <c r="F241"/>
  <c r="D209"/>
  <c r="D207"/>
  <c r="E207"/>
  <c r="F207"/>
  <c r="E178"/>
  <c r="F178"/>
  <c r="D177"/>
  <c r="D176"/>
  <c r="E176"/>
  <c r="F176"/>
  <c r="D140"/>
  <c r="D139"/>
  <c r="D111"/>
  <c r="E111"/>
  <c r="F111"/>
  <c r="G111"/>
  <c r="H111"/>
  <c r="I111"/>
  <c r="J111"/>
  <c r="K111"/>
  <c r="D110"/>
  <c r="E110"/>
  <c r="F110"/>
  <c r="G110"/>
  <c r="H110"/>
  <c r="I110"/>
  <c r="J110"/>
  <c r="K110"/>
  <c r="D80"/>
  <c r="E80"/>
  <c r="F80"/>
  <c r="G80"/>
  <c r="H80"/>
  <c r="I80"/>
  <c r="J80"/>
  <c r="K80"/>
  <c r="D79"/>
  <c r="E79"/>
  <c r="F79"/>
  <c r="G79"/>
  <c r="H79"/>
  <c r="I79"/>
  <c r="J79"/>
  <c r="K79"/>
  <c r="D49"/>
  <c r="D48"/>
  <c r="D47"/>
  <c r="E47"/>
  <c r="F47"/>
  <c r="D46"/>
  <c r="E46"/>
  <c r="F46"/>
  <c r="G46"/>
  <c r="H46"/>
  <c r="I46"/>
  <c r="J46"/>
  <c r="K46"/>
  <c r="D15"/>
  <c r="E15"/>
  <c r="F15"/>
  <c r="G15"/>
  <c r="H15"/>
  <c r="I15"/>
  <c r="J15"/>
  <c r="K15"/>
  <c r="D13"/>
  <c r="E13"/>
  <c r="F13"/>
  <c r="D12"/>
  <c r="E12"/>
  <c r="F12"/>
  <c r="G12"/>
  <c r="H12"/>
  <c r="I12"/>
  <c r="J12"/>
  <c r="K12"/>
  <c r="D18" i="39"/>
  <c r="E18"/>
  <c r="F18"/>
  <c r="G18"/>
  <c r="H18"/>
  <c r="I18"/>
  <c r="J18"/>
  <c r="K18"/>
  <c r="D17"/>
  <c r="D16"/>
  <c r="E16"/>
  <c r="F16"/>
  <c r="G16"/>
  <c r="H16"/>
  <c r="I16"/>
  <c r="J16"/>
  <c r="K16"/>
  <c r="D15"/>
  <c r="D14"/>
  <c r="D972" s="1"/>
  <c r="E14"/>
  <c r="E972" s="1"/>
  <c r="F14"/>
  <c r="F972" s="1"/>
  <c r="G14"/>
  <c r="H14"/>
  <c r="H972" s="1"/>
  <c r="I14"/>
  <c r="I972" s="1"/>
  <c r="J14"/>
  <c r="J972" s="1"/>
  <c r="K14"/>
  <c r="K972" s="1"/>
  <c r="E13"/>
  <c r="F13"/>
  <c r="G13"/>
  <c r="H13"/>
  <c r="I13"/>
  <c r="J13"/>
  <c r="K13"/>
  <c r="D12"/>
  <c r="F12"/>
  <c r="F970" s="1"/>
  <c r="G12"/>
  <c r="H12"/>
  <c r="I12"/>
  <c r="J12"/>
  <c r="K12"/>
  <c r="D11"/>
  <c r="K506"/>
  <c r="K112" i="40" l="1"/>
  <c r="K1098" i="39"/>
  <c r="F1098"/>
  <c r="H970"/>
  <c r="E34" i="42"/>
  <c r="E696" i="39"/>
  <c r="J970"/>
  <c r="E21" i="42"/>
  <c r="E393" i="39"/>
  <c r="F21" i="42"/>
  <c r="F393" i="39"/>
  <c r="J1050"/>
  <c r="J801"/>
  <c r="J803" s="1"/>
  <c r="E1050"/>
  <c r="E801"/>
  <c r="E803" s="1"/>
  <c r="I1050"/>
  <c r="I801"/>
  <c r="I803" s="1"/>
  <c r="G1050"/>
  <c r="G801"/>
  <c r="K1050"/>
  <c r="K801"/>
  <c r="K803" s="1"/>
  <c r="D1050"/>
  <c r="D1051" s="1"/>
  <c r="D801"/>
  <c r="D803" s="1"/>
  <c r="H1050"/>
  <c r="H801"/>
  <c r="H803" s="1"/>
  <c r="K884"/>
  <c r="J977"/>
  <c r="F977"/>
  <c r="E1048"/>
  <c r="I1048"/>
  <c r="E1034"/>
  <c r="I1034"/>
  <c r="F1099"/>
  <c r="E1099"/>
  <c r="D1101"/>
  <c r="J642"/>
  <c r="J1088"/>
  <c r="H642"/>
  <c r="H1088"/>
  <c r="K642"/>
  <c r="K1088"/>
  <c r="H14" i="43"/>
  <c r="G1089" i="39"/>
  <c r="I642"/>
  <c r="I1088"/>
  <c r="D1091"/>
  <c r="D1093" s="1"/>
  <c r="H74" i="43"/>
  <c r="G1047" i="39"/>
  <c r="D970"/>
  <c r="D1034"/>
  <c r="H1034"/>
  <c r="K977"/>
  <c r="G1048"/>
  <c r="K1048"/>
  <c r="C35" i="43"/>
  <c r="G1029" i="39"/>
  <c r="F34" i="43"/>
  <c r="G1032" i="39"/>
  <c r="J34" i="43"/>
  <c r="G1036" i="39"/>
  <c r="K1034"/>
  <c r="F1034"/>
  <c r="J1034"/>
  <c r="H34" i="43"/>
  <c r="G1034" i="39"/>
  <c r="D1037"/>
  <c r="D1038" s="1"/>
  <c r="I970"/>
  <c r="H971"/>
  <c r="D973"/>
  <c r="H974"/>
  <c r="D974"/>
  <c r="I977"/>
  <c r="E977"/>
  <c r="D978"/>
  <c r="D991"/>
  <c r="J971"/>
  <c r="F971"/>
  <c r="H50" i="43"/>
  <c r="G989" i="39"/>
  <c r="J552"/>
  <c r="J554" s="1"/>
  <c r="J988"/>
  <c r="J61" i="43"/>
  <c r="I552" i="39"/>
  <c r="I554" s="1"/>
  <c r="I988"/>
  <c r="J10" i="43"/>
  <c r="G977" i="39"/>
  <c r="D552"/>
  <c r="D554" s="1"/>
  <c r="D988"/>
  <c r="H552"/>
  <c r="H554" s="1"/>
  <c r="H988"/>
  <c r="E974"/>
  <c r="J974"/>
  <c r="F974"/>
  <c r="F552"/>
  <c r="F554" s="1"/>
  <c r="F988"/>
  <c r="L21" i="43"/>
  <c r="E552" i="39"/>
  <c r="E554" s="1"/>
  <c r="E988"/>
  <c r="H10" i="43"/>
  <c r="G974" i="39"/>
  <c r="K552"/>
  <c r="K554" s="1"/>
  <c r="K988"/>
  <c r="I974"/>
  <c r="K991"/>
  <c r="K971"/>
  <c r="K974"/>
  <c r="D975"/>
  <c r="H977"/>
  <c r="D977"/>
  <c r="I971"/>
  <c r="E971"/>
  <c r="F10" i="43"/>
  <c r="G972" i="39"/>
  <c r="D10" i="43"/>
  <c r="G970" i="39"/>
  <c r="K970"/>
  <c r="E10" i="43"/>
  <c r="G971" i="39"/>
  <c r="D969"/>
  <c r="D642"/>
  <c r="G31" i="43"/>
  <c r="G642" i="39"/>
  <c r="D707"/>
  <c r="C54" i="43"/>
  <c r="D603" i="39"/>
  <c r="D166"/>
  <c r="D168" s="1"/>
  <c r="E166"/>
  <c r="E168" s="1"/>
  <c r="R601" i="36"/>
  <c r="J847" i="39"/>
  <c r="J849" s="1"/>
  <c r="F847"/>
  <c r="F849" s="1"/>
  <c r="G55" i="43"/>
  <c r="G552" i="39"/>
  <c r="E24" i="43"/>
  <c r="G203" i="39"/>
  <c r="D545"/>
  <c r="I545"/>
  <c r="K545"/>
  <c r="F545"/>
  <c r="E545"/>
  <c r="H545"/>
  <c r="D26"/>
  <c r="H81" i="40"/>
  <c r="D81"/>
  <c r="J545" i="39"/>
  <c r="J81" i="40"/>
  <c r="F81"/>
  <c r="K81"/>
  <c r="G81"/>
  <c r="I81"/>
  <c r="E81"/>
  <c r="D500" i="39"/>
  <c r="K891"/>
  <c r="K157"/>
  <c r="K213"/>
  <c r="K934"/>
  <c r="K838"/>
  <c r="K399"/>
  <c r="K251"/>
  <c r="K253" s="1"/>
  <c r="K651"/>
  <c r="K747"/>
  <c r="D647"/>
  <c r="D1098" s="1"/>
  <c r="D1062" l="1"/>
  <c r="K938"/>
  <c r="O76" i="43"/>
  <c r="G803" i="39"/>
  <c r="K757"/>
  <c r="O31" i="43"/>
  <c r="O55"/>
  <c r="G554" i="39"/>
  <c r="O24" i="43"/>
  <c r="G205" i="39"/>
  <c r="D1055"/>
  <c r="K895"/>
  <c r="D985"/>
  <c r="K264"/>
  <c r="V477" i="36"/>
  <c r="K261" i="39" s="1"/>
  <c r="K262" s="1"/>
  <c r="D648"/>
  <c r="D1099" s="1"/>
  <c r="D1105" s="1"/>
  <c r="K655"/>
  <c r="K851"/>
  <c r="K556"/>
  <c r="D1116" l="1"/>
  <c r="D1109"/>
  <c r="O1141" i="36"/>
  <c r="O1133"/>
  <c r="O1274"/>
  <c r="O1273"/>
  <c r="O1272"/>
  <c r="O1271"/>
  <c r="O1259"/>
  <c r="O1258"/>
  <c r="O1264"/>
  <c r="O1252"/>
  <c r="O1249"/>
  <c r="O1244"/>
  <c r="O1246" s="1"/>
  <c r="O1234"/>
  <c r="O1233"/>
  <c r="O1224"/>
  <c r="O1223"/>
  <c r="O1220"/>
  <c r="O1218"/>
  <c r="O1122"/>
  <c r="O1110"/>
  <c r="D55" i="42"/>
  <c r="O1088" i="36"/>
  <c r="D76" i="42"/>
  <c r="O1066" i="36"/>
  <c r="D75" i="42"/>
  <c r="O1042" i="36"/>
  <c r="O1029"/>
  <c r="D1052" i="39" s="1"/>
  <c r="D1053" s="1"/>
  <c r="D15" i="42" l="1"/>
  <c r="D839" i="39"/>
  <c r="D17" i="42"/>
  <c r="D928" i="39"/>
  <c r="D56" i="42"/>
  <c r="D892" i="39"/>
  <c r="D16" i="42"/>
  <c r="D885" i="39"/>
  <c r="D57" i="42"/>
  <c r="D935" i="39"/>
  <c r="D74" i="42"/>
  <c r="D708" i="39"/>
  <c r="D709" s="1"/>
  <c r="D36" i="42"/>
  <c r="D793" i="39"/>
  <c r="D35" i="42"/>
  <c r="D748" i="39"/>
  <c r="O1101" i="36"/>
  <c r="O1079"/>
  <c r="D806" i="39" s="1"/>
  <c r="O1143" i="36"/>
  <c r="O1263"/>
  <c r="O1056"/>
  <c r="O1235"/>
  <c r="O1124"/>
  <c r="O1260"/>
  <c r="O1226"/>
  <c r="O1265"/>
  <c r="O1270"/>
  <c r="O1255"/>
  <c r="O978"/>
  <c r="D696" i="39" l="1"/>
  <c r="D1039"/>
  <c r="D1040" s="1"/>
  <c r="O1178" i="36"/>
  <c r="D852" i="39"/>
  <c r="O1161" i="36"/>
  <c r="D896" i="39"/>
  <c r="O1162" i="36"/>
  <c r="D939" i="39"/>
  <c r="O1205" i="36"/>
  <c r="D758" i="39"/>
  <c r="O1031" i="36"/>
  <c r="D1056" i="39" s="1"/>
  <c r="D1057" s="1"/>
  <c r="D34" i="42"/>
  <c r="O1179" i="36"/>
  <c r="O1160"/>
  <c r="O1206"/>
  <c r="O1180"/>
  <c r="O1266"/>
  <c r="O1213"/>
  <c r="O947"/>
  <c r="O912"/>
  <c r="O849"/>
  <c r="O823"/>
  <c r="O786"/>
  <c r="O695"/>
  <c r="D29" i="42"/>
  <c r="O577" i="36"/>
  <c r="O564"/>
  <c r="D66" i="42"/>
  <c r="O447" i="36"/>
  <c r="D52" i="42"/>
  <c r="O381" i="36"/>
  <c r="O358"/>
  <c r="O341"/>
  <c r="Q1274"/>
  <c r="Q1273"/>
  <c r="Q1272"/>
  <c r="Q1271"/>
  <c r="Q1259"/>
  <c r="Q1258"/>
  <c r="Q1264"/>
  <c r="Q1252"/>
  <c r="Q1249"/>
  <c r="Q1244"/>
  <c r="Q1246" s="1"/>
  <c r="Q1247" s="1"/>
  <c r="Q1234"/>
  <c r="Q1233"/>
  <c r="Q1223"/>
  <c r="Q1220"/>
  <c r="Q1218"/>
  <c r="Q1141"/>
  <c r="Q1133"/>
  <c r="Q1122"/>
  <c r="Q1110"/>
  <c r="F55" i="42"/>
  <c r="Q1088" i="36"/>
  <c r="Q1077"/>
  <c r="F802" i="39" s="1"/>
  <c r="F803" s="1"/>
  <c r="F75" i="42"/>
  <c r="Q1042" i="36"/>
  <c r="Q1026"/>
  <c r="F706" i="39" s="1"/>
  <c r="F1050" s="1"/>
  <c r="F703"/>
  <c r="F1046" s="1"/>
  <c r="F702"/>
  <c r="F1045" s="1"/>
  <c r="Q935" i="36"/>
  <c r="Q927"/>
  <c r="F639" i="39"/>
  <c r="Q865" i="36"/>
  <c r="Q847"/>
  <c r="Q845"/>
  <c r="Q844"/>
  <c r="Q841"/>
  <c r="Q821"/>
  <c r="F592" i="39" s="1"/>
  <c r="F1092" s="1"/>
  <c r="F591"/>
  <c r="F1091" s="1"/>
  <c r="F54" i="42"/>
  <c r="Q786" i="36"/>
  <c r="F506" i="39"/>
  <c r="F505"/>
  <c r="F991" s="1"/>
  <c r="Q724" i="36"/>
  <c r="F501" i="39"/>
  <c r="Q695" i="36"/>
  <c r="Q643"/>
  <c r="Q642"/>
  <c r="Q637"/>
  <c r="Q633"/>
  <c r="Q627"/>
  <c r="Q623"/>
  <c r="Q577"/>
  <c r="F66" i="42"/>
  <c r="F59"/>
  <c r="Q358" i="36"/>
  <c r="F58" i="42"/>
  <c r="Q341" i="36"/>
  <c r="Q286"/>
  <c r="F240" i="40" s="1"/>
  <c r="Q272" i="36"/>
  <c r="Q271"/>
  <c r="Q268"/>
  <c r="Q263"/>
  <c r="Q228"/>
  <c r="Q207"/>
  <c r="Q196"/>
  <c r="Q194"/>
  <c r="Q181"/>
  <c r="Q177"/>
  <c r="Q1254" s="1"/>
  <c r="Q168"/>
  <c r="F113" i="40" s="1"/>
  <c r="Q144" i="36"/>
  <c r="F82" i="40" s="1"/>
  <c r="F83" s="1"/>
  <c r="Q129" i="36"/>
  <c r="F49" i="40" s="1"/>
  <c r="Q99" i="36"/>
  <c r="Q316"/>
  <c r="O286"/>
  <c r="D240" i="40" s="1"/>
  <c r="D25" i="39" s="1"/>
  <c r="D984" s="1"/>
  <c r="O168" i="36"/>
  <c r="D113" i="40" s="1"/>
  <c r="O144" i="36"/>
  <c r="D82" i="40" s="1"/>
  <c r="D83" s="1"/>
  <c r="O132" i="36"/>
  <c r="D51" i="40" s="1"/>
  <c r="F140" l="1"/>
  <c r="F26" i="39" s="1"/>
  <c r="F985" s="1"/>
  <c r="F16" i="42"/>
  <c r="F885" i="39"/>
  <c r="F57" i="42"/>
  <c r="F935" i="39"/>
  <c r="F15" i="42"/>
  <c r="F839" i="39"/>
  <c r="F17" i="42"/>
  <c r="F928" i="39"/>
  <c r="F56" i="42"/>
  <c r="F892" i="39"/>
  <c r="Q1255" i="36"/>
  <c r="D1094" i="39"/>
  <c r="D1095" s="1"/>
  <c r="D712"/>
  <c r="F35" i="42"/>
  <c r="F748" i="39"/>
  <c r="D12" i="42"/>
  <c r="D158" i="39"/>
  <c r="D14" i="42"/>
  <c r="D546" i="39"/>
  <c r="D547" s="1"/>
  <c r="D30" i="42"/>
  <c r="D495" i="39"/>
  <c r="F18" i="42"/>
  <c r="F69" i="39"/>
  <c r="F30" i="42"/>
  <c r="F495" i="39"/>
  <c r="D61" i="42"/>
  <c r="D400" i="39"/>
  <c r="D13" i="42"/>
  <c r="D594" i="39"/>
  <c r="D21" i="42"/>
  <c r="D393" i="39"/>
  <c r="F19" i="42"/>
  <c r="F113" i="39"/>
  <c r="F14" i="42"/>
  <c r="F546" i="39"/>
  <c r="F547" s="1"/>
  <c r="D19" i="42"/>
  <c r="D113" i="39"/>
  <c r="D31" i="42"/>
  <c r="D643" i="39"/>
  <c r="D644" s="1"/>
  <c r="F61" i="42"/>
  <c r="F400" i="39"/>
  <c r="D18" i="42"/>
  <c r="D69" i="39"/>
  <c r="D26" i="42"/>
  <c r="D252" i="39"/>
  <c r="D71" i="42"/>
  <c r="D652" i="39"/>
  <c r="F642"/>
  <c r="F1088"/>
  <c r="F1093" s="1"/>
  <c r="F1051"/>
  <c r="F242" i="40"/>
  <c r="F600" i="39"/>
  <c r="Q947" i="36"/>
  <c r="G649" i="39"/>
  <c r="E71" i="43" s="1"/>
  <c r="Q889" i="36"/>
  <c r="G650" i="39"/>
  <c r="F71" i="43" s="1"/>
  <c r="Q244" i="36"/>
  <c r="F180" i="40" s="1"/>
  <c r="Q402" i="36"/>
  <c r="Q275"/>
  <c r="F449" i="39"/>
  <c r="F448"/>
  <c r="O1204" i="36"/>
  <c r="O1208" s="1"/>
  <c r="F15" i="39"/>
  <c r="F973" s="1"/>
  <c r="F76" i="42"/>
  <c r="F601" i="39"/>
  <c r="F139" i="40"/>
  <c r="Q1265" i="36"/>
  <c r="F650" i="39"/>
  <c r="F14" i="40"/>
  <c r="Q324" i="36"/>
  <c r="Q601"/>
  <c r="D141" i="40"/>
  <c r="Q381" i="36"/>
  <c r="F158" i="39" s="1"/>
  <c r="Q325" i="36"/>
  <c r="F1037" i="39"/>
  <c r="O283" i="36"/>
  <c r="D211" i="40" s="1"/>
  <c r="D208"/>
  <c r="F26" i="42"/>
  <c r="O244" i="36"/>
  <c r="D180" i="40" s="1"/>
  <c r="D178"/>
  <c r="O669" i="36"/>
  <c r="Q1066"/>
  <c r="F789" i="39"/>
  <c r="F1031" s="1"/>
  <c r="F1038" s="1"/>
  <c r="Q1224" i="36"/>
  <c r="Q1226" s="1"/>
  <c r="F17" i="39"/>
  <c r="F975" s="1"/>
  <c r="O69" i="36"/>
  <c r="D980" i="39" s="1"/>
  <c r="D13"/>
  <c r="D971" s="1"/>
  <c r="D979" s="1"/>
  <c r="O762" i="36"/>
  <c r="D508" i="39" s="1"/>
  <c r="D502"/>
  <c r="D142" i="40"/>
  <c r="F11" i="39"/>
  <c r="F969" s="1"/>
  <c r="F48" i="40"/>
  <c r="F502" i="39"/>
  <c r="F141" i="40"/>
  <c r="F177"/>
  <c r="F209"/>
  <c r="F649" i="39"/>
  <c r="F142" i="40"/>
  <c r="F163" i="39"/>
  <c r="F166" s="1"/>
  <c r="D14" i="40"/>
  <c r="Q281" i="36"/>
  <c r="Q579"/>
  <c r="F404" i="39" s="1"/>
  <c r="O579" i="36"/>
  <c r="O404"/>
  <c r="O420"/>
  <c r="D214" i="39" s="1"/>
  <c r="Q1260" i="36"/>
  <c r="O109"/>
  <c r="D17" i="40" s="1"/>
  <c r="O1212" i="36"/>
  <c r="Q420"/>
  <c r="F214" i="39" s="1"/>
  <c r="Q823" i="36"/>
  <c r="Q1056"/>
  <c r="F758" i="39" s="1"/>
  <c r="Q1235" i="36"/>
  <c r="Q1263"/>
  <c r="Q912"/>
  <c r="Q978"/>
  <c r="Q1101"/>
  <c r="Q1143"/>
  <c r="Q132"/>
  <c r="F51" i="40" s="1"/>
  <c r="Q1124" i="36"/>
  <c r="Q1270"/>
  <c r="Q109"/>
  <c r="F17" i="40" s="1"/>
  <c r="O479" i="36"/>
  <c r="D265" i="39" s="1"/>
  <c r="O1211" i="36"/>
  <c r="O1034"/>
  <c r="Q348"/>
  <c r="F79" i="39" s="1"/>
  <c r="O949" i="36"/>
  <c r="Q214"/>
  <c r="F144" i="40" s="1"/>
  <c r="Q802" i="36"/>
  <c r="F557" i="39" s="1"/>
  <c r="Q849" i="36"/>
  <c r="Q1029"/>
  <c r="F1052" i="39" s="1"/>
  <c r="Q365" i="36"/>
  <c r="F123" i="39" s="1"/>
  <c r="O891" i="36"/>
  <c r="Q762"/>
  <c r="F508" i="39" s="1"/>
  <c r="Q669" i="36"/>
  <c r="O214"/>
  <c r="D144" i="40" s="1"/>
  <c r="F440" i="39" l="1"/>
  <c r="F978" s="1"/>
  <c r="F979" s="1"/>
  <c r="F1039"/>
  <c r="F1040" s="1"/>
  <c r="Q1126" i="36"/>
  <c r="F900" i="39" s="1"/>
  <c r="F896"/>
  <c r="D604"/>
  <c r="D605" s="1"/>
  <c r="D1106"/>
  <c r="D1107" s="1"/>
  <c r="Q1160" i="36"/>
  <c r="F852" i="39"/>
  <c r="Q1145" i="36"/>
  <c r="F943" i="39" s="1"/>
  <c r="F939"/>
  <c r="D656"/>
  <c r="F1094"/>
  <c r="F1095" s="1"/>
  <c r="D981"/>
  <c r="F1053"/>
  <c r="F34" i="42"/>
  <c r="F696" i="39"/>
  <c r="Q1079" i="36"/>
  <c r="F806" i="39" s="1"/>
  <c r="F793"/>
  <c r="F74" i="42"/>
  <c r="F708" i="39"/>
  <c r="D9" i="42"/>
  <c r="D38" s="1"/>
  <c r="D21" i="39"/>
  <c r="F69" i="42"/>
  <c r="F454" i="39"/>
  <c r="F31" i="42"/>
  <c r="F643" i="39"/>
  <c r="F644" s="1"/>
  <c r="F13" i="42"/>
  <c r="F594" i="39"/>
  <c r="O1156" i="36"/>
  <c r="D404" i="39"/>
  <c r="O671" i="36"/>
  <c r="D458" i="39" s="1"/>
  <c r="D454"/>
  <c r="O1152" i="36"/>
  <c r="D171" i="39"/>
  <c r="F52" i="42"/>
  <c r="F167" i="39"/>
  <c r="F168" s="1"/>
  <c r="F71" i="42"/>
  <c r="F652" i="39"/>
  <c r="F1100"/>
  <c r="F1101"/>
  <c r="F1055"/>
  <c r="F12" i="42"/>
  <c r="Q404" i="36"/>
  <c r="F603" i="39"/>
  <c r="F25"/>
  <c r="F984" s="1"/>
  <c r="Q283" i="36"/>
  <c r="F211" i="40" s="1"/>
  <c r="F245"/>
  <c r="F30" i="39" s="1"/>
  <c r="F992" s="1"/>
  <c r="O1155" i="36"/>
  <c r="O1153"/>
  <c r="D28" i="39"/>
  <c r="D987" s="1"/>
  <c r="F28"/>
  <c r="F987" s="1"/>
  <c r="F36" i="42"/>
  <c r="O893" i="36"/>
  <c r="D608" i="39" s="1"/>
  <c r="D53" i="42"/>
  <c r="O764" i="36"/>
  <c r="D512" i="39" s="1"/>
  <c r="D70" i="42"/>
  <c r="O348" i="36"/>
  <c r="D58" i="42"/>
  <c r="D69"/>
  <c r="Q764" i="36"/>
  <c r="F512" i="39" s="1"/>
  <c r="F70" i="42"/>
  <c r="Q479" i="36"/>
  <c r="O365"/>
  <c r="D59" i="42"/>
  <c r="Q69" i="36"/>
  <c r="Q1151"/>
  <c r="Q367"/>
  <c r="F127" i="39" s="1"/>
  <c r="Q1156" i="36"/>
  <c r="Q581"/>
  <c r="F408" i="39" s="1"/>
  <c r="Q1159" i="36"/>
  <c r="Q804"/>
  <c r="F561" i="39" s="1"/>
  <c r="Q1205" i="36"/>
  <c r="Q1058"/>
  <c r="F762" i="39" s="1"/>
  <c r="Q1161" i="36"/>
  <c r="Q1153"/>
  <c r="Q1150"/>
  <c r="Q350"/>
  <c r="F83" i="39" s="1"/>
  <c r="O1190" i="36"/>
  <c r="D27" i="39"/>
  <c r="D986" s="1"/>
  <c r="Q603" i="36"/>
  <c r="F442" i="39" s="1"/>
  <c r="F208" i="40"/>
  <c r="F27" i="39" s="1"/>
  <c r="F986" s="1"/>
  <c r="Q326" i="36"/>
  <c r="F247" i="40" s="1"/>
  <c r="Q1103" i="36"/>
  <c r="Q1162"/>
  <c r="O1170"/>
  <c r="Q1266"/>
  <c r="O1169"/>
  <c r="Q949"/>
  <c r="O351"/>
  <c r="O1215"/>
  <c r="Q1031"/>
  <c r="Q891"/>
  <c r="O326"/>
  <c r="O1197"/>
  <c r="O952"/>
  <c r="E54" i="42"/>
  <c r="G54"/>
  <c r="H54"/>
  <c r="I54"/>
  <c r="J54"/>
  <c r="K54"/>
  <c r="V1274" i="36"/>
  <c r="V1273"/>
  <c r="V1272"/>
  <c r="V1271"/>
  <c r="V1259"/>
  <c r="V1258"/>
  <c r="V1264"/>
  <c r="V1252"/>
  <c r="V1249"/>
  <c r="V1223"/>
  <c r="V1220"/>
  <c r="V1141"/>
  <c r="V1133"/>
  <c r="V1122"/>
  <c r="V1110"/>
  <c r="K55" i="42"/>
  <c r="V1088" i="36"/>
  <c r="K76" i="42"/>
  <c r="K75"/>
  <c r="V1042" i="36"/>
  <c r="V1017"/>
  <c r="K703" i="39" s="1"/>
  <c r="K1046" s="1"/>
  <c r="V976" i="36"/>
  <c r="K694" i="39" s="1"/>
  <c r="V947" i="36"/>
  <c r="V912"/>
  <c r="V884"/>
  <c r="V847"/>
  <c r="V845"/>
  <c r="V844"/>
  <c r="V841"/>
  <c r="V819"/>
  <c r="K591" i="39" s="1"/>
  <c r="K1091" s="1"/>
  <c r="V786" i="36"/>
  <c r="V601"/>
  <c r="V726"/>
  <c r="V724"/>
  <c r="K493" i="39"/>
  <c r="V643" i="36"/>
  <c r="V642"/>
  <c r="V639"/>
  <c r="V627"/>
  <c r="V623"/>
  <c r="V577"/>
  <c r="K66" i="42"/>
  <c r="K26"/>
  <c r="V381" i="36"/>
  <c r="K59" i="42"/>
  <c r="K58"/>
  <c r="V321" i="36"/>
  <c r="V286"/>
  <c r="K240" i="40" s="1"/>
  <c r="V271" i="36"/>
  <c r="V263"/>
  <c r="V228"/>
  <c r="V227"/>
  <c r="V209"/>
  <c r="V207"/>
  <c r="V204"/>
  <c r="V196"/>
  <c r="V194"/>
  <c r="V168"/>
  <c r="K113" i="40" s="1"/>
  <c r="K114" s="1"/>
  <c r="V144" i="36"/>
  <c r="K82" i="40" s="1"/>
  <c r="K83" s="1"/>
  <c r="V129" i="36"/>
  <c r="K49" i="40" s="1"/>
  <c r="V99" i="36"/>
  <c r="V316"/>
  <c r="U693"/>
  <c r="T693"/>
  <c r="S693"/>
  <c r="R693"/>
  <c r="Q1081" l="1"/>
  <c r="F810" i="39" s="1"/>
  <c r="K440"/>
  <c r="K978" s="1"/>
  <c r="O329" i="36"/>
  <c r="D32" i="39" s="1"/>
  <c r="D247" i="40"/>
  <c r="Q1180" i="36"/>
  <c r="K57" i="42"/>
  <c r="K935" i="39"/>
  <c r="K936" s="1"/>
  <c r="F656"/>
  <c r="K15" i="42"/>
  <c r="K839" i="39"/>
  <c r="K840" s="1"/>
  <c r="K17" i="42"/>
  <c r="K928" i="39"/>
  <c r="K929" s="1"/>
  <c r="F604"/>
  <c r="F605" s="1"/>
  <c r="F1106"/>
  <c r="K56" i="42"/>
  <c r="K892" i="39"/>
  <c r="K893" s="1"/>
  <c r="K16" i="42"/>
  <c r="K885" i="39"/>
  <c r="K886" s="1"/>
  <c r="F712"/>
  <c r="F1056"/>
  <c r="F1057" s="1"/>
  <c r="Q1178" i="36"/>
  <c r="F856" i="39"/>
  <c r="F980"/>
  <c r="F981" s="1"/>
  <c r="Q1179" i="36"/>
  <c r="D1110" i="39"/>
  <c r="D1111" s="1"/>
  <c r="K35" i="42"/>
  <c r="K748" i="39"/>
  <c r="K749" s="1"/>
  <c r="K31" i="42"/>
  <c r="K643" i="39"/>
  <c r="K644" s="1"/>
  <c r="Q406" i="36"/>
  <c r="F175" i="39" s="1"/>
  <c r="F171"/>
  <c r="K61" i="42"/>
  <c r="K400" i="39"/>
  <c r="K401" s="1"/>
  <c r="O1151" i="36"/>
  <c r="D123" i="39"/>
  <c r="K14" i="42"/>
  <c r="K546" i="39"/>
  <c r="K547" s="1"/>
  <c r="F9" i="42"/>
  <c r="F21" i="39"/>
  <c r="O1150" i="36"/>
  <c r="D79" i="39"/>
  <c r="K12" i="42"/>
  <c r="K158" i="39"/>
  <c r="K159" s="1"/>
  <c r="K71" i="42"/>
  <c r="K652" i="39"/>
  <c r="K653" s="1"/>
  <c r="Q485" i="36"/>
  <c r="F277" i="39" s="1"/>
  <c r="F265"/>
  <c r="F1105"/>
  <c r="D993"/>
  <c r="F1059"/>
  <c r="F993"/>
  <c r="K242" i="40"/>
  <c r="Q329" i="36"/>
  <c r="F994" i="39" s="1"/>
  <c r="V479" i="36"/>
  <c r="K265" i="39" s="1"/>
  <c r="K266" s="1"/>
  <c r="O1189" i="36"/>
  <c r="Q1155"/>
  <c r="Q483"/>
  <c r="O1158"/>
  <c r="O1176"/>
  <c r="O1157"/>
  <c r="Q422"/>
  <c r="F218" i="39" s="1"/>
  <c r="Q1206" i="36"/>
  <c r="Q1158"/>
  <c r="Q893"/>
  <c r="F1110" i="39" s="1"/>
  <c r="F53" i="42"/>
  <c r="O802" i="36"/>
  <c r="D54" i="42"/>
  <c r="Q671" i="36"/>
  <c r="F29" i="42"/>
  <c r="G505" i="39"/>
  <c r="J505"/>
  <c r="J991" s="1"/>
  <c r="U323" i="36"/>
  <c r="Q1204"/>
  <c r="Q1033"/>
  <c r="I505" i="39"/>
  <c r="I991" s="1"/>
  <c r="T323" i="36"/>
  <c r="H505" i="39"/>
  <c r="H991" s="1"/>
  <c r="S323" i="36"/>
  <c r="Q1152"/>
  <c r="Q1212"/>
  <c r="Q1190"/>
  <c r="Q951"/>
  <c r="F660" i="39" s="1"/>
  <c r="O1174" i="36"/>
  <c r="O1168"/>
  <c r="O1173"/>
  <c r="V1244"/>
  <c r="K388" i="39"/>
  <c r="K392" s="1"/>
  <c r="V324" i="36"/>
  <c r="K592" i="39"/>
  <c r="K1092" s="1"/>
  <c r="V325" i="36"/>
  <c r="K1037" i="39"/>
  <c r="V1066" i="36"/>
  <c r="K793" i="39" s="1"/>
  <c r="K789"/>
  <c r="K141" i="40"/>
  <c r="K48"/>
  <c r="O1171" i="36"/>
  <c r="O767"/>
  <c r="V1056"/>
  <c r="O368"/>
  <c r="Q1168"/>
  <c r="V1124"/>
  <c r="Q1174"/>
  <c r="V1270"/>
  <c r="V1101"/>
  <c r="V564"/>
  <c r="K393" i="39" s="1"/>
  <c r="V1263" i="36"/>
  <c r="O896"/>
  <c r="O1196"/>
  <c r="V1143"/>
  <c r="V802"/>
  <c r="V420"/>
  <c r="V949"/>
  <c r="V1260"/>
  <c r="Q1213" l="1"/>
  <c r="F1060" i="39"/>
  <c r="F1061" s="1"/>
  <c r="D994"/>
  <c r="D995" s="1"/>
  <c r="V1160" i="36"/>
  <c r="K852" i="39"/>
  <c r="K853" s="1"/>
  <c r="V1161" i="36"/>
  <c r="K896" i="39"/>
  <c r="K897" s="1"/>
  <c r="V1162" i="36"/>
  <c r="K939" i="39"/>
  <c r="K940" s="1"/>
  <c r="F1109"/>
  <c r="F1107"/>
  <c r="F997"/>
  <c r="F995"/>
  <c r="D1004"/>
  <c r="V1205" i="36"/>
  <c r="K758" i="39"/>
  <c r="K759" s="1"/>
  <c r="F716"/>
  <c r="F38" i="42"/>
  <c r="Q673" i="36"/>
  <c r="F462" i="39" s="1"/>
  <c r="F458"/>
  <c r="V1159" i="36"/>
  <c r="K557" i="39"/>
  <c r="K558" s="1"/>
  <c r="O1159" i="36"/>
  <c r="D557" i="39"/>
  <c r="Q895" i="36"/>
  <c r="F608" i="39"/>
  <c r="V1153" i="36"/>
  <c r="K214" i="39"/>
  <c r="K215" s="1"/>
  <c r="Q331" i="36"/>
  <c r="Q333" s="1"/>
  <c r="F32" i="39"/>
  <c r="V1190" i="36"/>
  <c r="K656" i="39"/>
  <c r="K657" s="1"/>
  <c r="F272"/>
  <c r="F273"/>
  <c r="K403"/>
  <c r="K394"/>
  <c r="D997"/>
  <c r="F1062"/>
  <c r="K792"/>
  <c r="K1031"/>
  <c r="J70" i="43"/>
  <c r="G991" i="39"/>
  <c r="S477" i="36"/>
  <c r="R477"/>
  <c r="F49" i="42"/>
  <c r="F78" s="1"/>
  <c r="K245" i="40"/>
  <c r="K30" i="39" s="1"/>
  <c r="K992" s="1"/>
  <c r="T477" i="36"/>
  <c r="Q1173"/>
  <c r="Q1171"/>
  <c r="R422"/>
  <c r="G218" i="39" s="1"/>
  <c r="Q766" i="36"/>
  <c r="O1175"/>
  <c r="O674"/>
  <c r="Q1211"/>
  <c r="Q1157"/>
  <c r="Q1208"/>
  <c r="V1079"/>
  <c r="K36" i="42"/>
  <c r="V579" i="36"/>
  <c r="K21" i="42"/>
  <c r="O331" i="36"/>
  <c r="D998" i="39" s="1"/>
  <c r="D49" i="42"/>
  <c r="D78" s="1"/>
  <c r="Q1189" i="36"/>
  <c r="Q1192" s="1"/>
  <c r="O1192"/>
  <c r="Q1170"/>
  <c r="Q952"/>
  <c r="Q351"/>
  <c r="Q1197"/>
  <c r="Q1169"/>
  <c r="Q368"/>
  <c r="Q1034"/>
  <c r="O1177"/>
  <c r="O1199"/>
  <c r="V1155"/>
  <c r="E66" i="42"/>
  <c r="Q1215" i="36" l="1"/>
  <c r="D999" i="39"/>
  <c r="F36"/>
  <c r="F998"/>
  <c r="F999" s="1"/>
  <c r="F612"/>
  <c r="F1114"/>
  <c r="F1113"/>
  <c r="F1111"/>
  <c r="F1001"/>
  <c r="V1206" i="36"/>
  <c r="K806" i="39"/>
  <c r="K805"/>
  <c r="K794"/>
  <c r="Q1175" i="36"/>
  <c r="Q1149"/>
  <c r="Q1164" s="1"/>
  <c r="D36" i="39"/>
  <c r="Q767" i="36"/>
  <c r="F516" i="39"/>
  <c r="I66" i="42"/>
  <c r="I261" i="39"/>
  <c r="I262" s="1"/>
  <c r="H66" i="42"/>
  <c r="H261" i="39"/>
  <c r="H262" s="1"/>
  <c r="V1156" i="36"/>
  <c r="K404" i="39"/>
  <c r="K405" s="1"/>
  <c r="G66" i="42"/>
  <c r="G261" i="39"/>
  <c r="G262" s="1"/>
  <c r="F274"/>
  <c r="G66" i="43"/>
  <c r="U477" i="36"/>
  <c r="Q896"/>
  <c r="Q1196"/>
  <c r="Q1199" s="1"/>
  <c r="Q1176"/>
  <c r="Q674"/>
  <c r="O1149"/>
  <c r="O1164" s="1"/>
  <c r="O334"/>
  <c r="O1167"/>
  <c r="Q1177"/>
  <c r="L26" i="43"/>
  <c r="Q334" i="36" l="1"/>
  <c r="F1002" i="39"/>
  <c r="F1003" s="1"/>
  <c r="F1116"/>
  <c r="F1115"/>
  <c r="F1004"/>
  <c r="F40"/>
  <c r="K807"/>
  <c r="J66" i="42"/>
  <c r="J261" i="39"/>
  <c r="J262" s="1"/>
  <c r="O1182" i="36"/>
  <c r="Q1167"/>
  <c r="N1274"/>
  <c r="P1274"/>
  <c r="R1274"/>
  <c r="S1274"/>
  <c r="T1274"/>
  <c r="U1274"/>
  <c r="N1273"/>
  <c r="P1273"/>
  <c r="R1273"/>
  <c r="S1273"/>
  <c r="T1273"/>
  <c r="U1273"/>
  <c r="N1272"/>
  <c r="P1272"/>
  <c r="R1272"/>
  <c r="S1272"/>
  <c r="T1272"/>
  <c r="U1272"/>
  <c r="N1271"/>
  <c r="P1271"/>
  <c r="R1271"/>
  <c r="S1271"/>
  <c r="T1271"/>
  <c r="U1271"/>
  <c r="K600" i="39"/>
  <c r="K1100" s="1"/>
  <c r="D54" i="45" l="1"/>
  <c r="Q1182" i="36"/>
  <c r="K601" i="39"/>
  <c r="K1101" s="1"/>
  <c r="S1270" i="36"/>
  <c r="P1270"/>
  <c r="R1270"/>
  <c r="N1270"/>
  <c r="U1270"/>
  <c r="T1270"/>
  <c r="R228"/>
  <c r="S228"/>
  <c r="T228"/>
  <c r="U228"/>
  <c r="R227"/>
  <c r="S227"/>
  <c r="T227"/>
  <c r="U227"/>
  <c r="F54" i="45" l="1"/>
  <c r="E76" i="42"/>
  <c r="G76"/>
  <c r="H76"/>
  <c r="I76"/>
  <c r="J76"/>
  <c r="E505" i="39"/>
  <c r="E991" s="1"/>
  <c r="R786" i="36" l="1"/>
  <c r="G544" i="39"/>
  <c r="R847" i="36"/>
  <c r="S847"/>
  <c r="T847"/>
  <c r="U847"/>
  <c r="S841"/>
  <c r="H600" i="39" s="1"/>
  <c r="H1100" s="1"/>
  <c r="T841" i="36"/>
  <c r="I600" i="39" s="1"/>
  <c r="I1100" s="1"/>
  <c r="U841" i="36"/>
  <c r="J600" i="39" s="1"/>
  <c r="J1100" s="1"/>
  <c r="R841" i="36"/>
  <c r="G600" i="39" s="1"/>
  <c r="G1100" s="1"/>
  <c r="G14" i="42" l="1"/>
  <c r="G546" i="39"/>
  <c r="G545"/>
  <c r="L15" i="43"/>
  <c r="G789" i="39"/>
  <c r="H789"/>
  <c r="H1031" s="1"/>
  <c r="I789"/>
  <c r="I1031" s="1"/>
  <c r="J789"/>
  <c r="J1031" s="1"/>
  <c r="E789"/>
  <c r="E1031" s="1"/>
  <c r="O15" i="43" l="1"/>
  <c r="G547" i="39"/>
  <c r="E36" i="43"/>
  <c r="G1031" i="39"/>
  <c r="E1037"/>
  <c r="E1038" s="1"/>
  <c r="K502" l="1"/>
  <c r="K449"/>
  <c r="P447" i="36"/>
  <c r="C208" i="39"/>
  <c r="C489"/>
  <c r="C435"/>
  <c r="C203"/>
  <c r="S912" i="36"/>
  <c r="N1259"/>
  <c r="P1259"/>
  <c r="R1259"/>
  <c r="S1259"/>
  <c r="T1259"/>
  <c r="U1259"/>
  <c r="N1258"/>
  <c r="P1258"/>
  <c r="R1258"/>
  <c r="S1258"/>
  <c r="T1258"/>
  <c r="U1258"/>
  <c r="P1264"/>
  <c r="R1264"/>
  <c r="S1264"/>
  <c r="T1264"/>
  <c r="U1264"/>
  <c r="P1252"/>
  <c r="R1252"/>
  <c r="S1252"/>
  <c r="T1252"/>
  <c r="U1252"/>
  <c r="H31" i="42" l="1"/>
  <c r="H643" i="39"/>
  <c r="H644" s="1"/>
  <c r="E26" i="42"/>
  <c r="E252" i="39"/>
  <c r="N24" i="42"/>
  <c r="O24" s="1"/>
  <c r="C205" i="39"/>
  <c r="U1263" i="36"/>
  <c r="R1260"/>
  <c r="T1260"/>
  <c r="N1260"/>
  <c r="U1260"/>
  <c r="P1260"/>
  <c r="N1263"/>
  <c r="R1263"/>
  <c r="S1260"/>
  <c r="S1263"/>
  <c r="P1263"/>
  <c r="T1263"/>
  <c r="N1265"/>
  <c r="C46" i="45"/>
  <c r="C45"/>
  <c r="C44"/>
  <c r="C39"/>
  <c r="C38"/>
  <c r="C37"/>
  <c r="C32"/>
  <c r="C30"/>
  <c r="C25"/>
  <c r="C21"/>
  <c r="C20"/>
  <c r="C19"/>
  <c r="C18"/>
  <c r="C17"/>
  <c r="C16"/>
  <c r="C15"/>
  <c r="C14"/>
  <c r="C9"/>
  <c r="C49" l="1"/>
  <c r="C244" i="40" l="1"/>
  <c r="C29" i="39" s="1"/>
  <c r="C989" s="1"/>
  <c r="C243" i="40"/>
  <c r="C240"/>
  <c r="C207"/>
  <c r="C178"/>
  <c r="C176"/>
  <c r="C140"/>
  <c r="C111"/>
  <c r="C80"/>
  <c r="C47"/>
  <c r="C46"/>
  <c r="C13"/>
  <c r="C12"/>
  <c r="G112" l="1"/>
  <c r="I112"/>
  <c r="F112"/>
  <c r="F114" s="1"/>
  <c r="H112"/>
  <c r="J112"/>
  <c r="K14" l="1"/>
  <c r="C926" i="39"/>
  <c r="C925"/>
  <c r="E927"/>
  <c r="J927"/>
  <c r="C883"/>
  <c r="C882"/>
  <c r="C844"/>
  <c r="C837"/>
  <c r="C836"/>
  <c r="C847" l="1"/>
  <c r="C884"/>
  <c r="L57" i="43"/>
  <c r="H927" i="39"/>
  <c r="E838"/>
  <c r="C838"/>
  <c r="C927"/>
  <c r="I927"/>
  <c r="M16" i="43"/>
  <c r="D927" i="39"/>
  <c r="D929" s="1"/>
  <c r="C934"/>
  <c r="L56" i="43"/>
  <c r="M17"/>
  <c r="F927" i="39"/>
  <c r="F929" s="1"/>
  <c r="G927"/>
  <c r="C800"/>
  <c r="C1049"/>
  <c r="C791"/>
  <c r="C790"/>
  <c r="C789"/>
  <c r="C1031" s="1"/>
  <c r="E753"/>
  <c r="E755" s="1"/>
  <c r="L75" i="43"/>
  <c r="C746" i="39"/>
  <c r="C745"/>
  <c r="C744"/>
  <c r="C1029" s="1"/>
  <c r="G747"/>
  <c r="H747"/>
  <c r="C704"/>
  <c r="C1047" s="1"/>
  <c r="C701"/>
  <c r="C1044" s="1"/>
  <c r="C693"/>
  <c r="C1036" s="1"/>
  <c r="C692"/>
  <c r="C1035" s="1"/>
  <c r="C691"/>
  <c r="C689"/>
  <c r="C1032" s="1"/>
  <c r="C648"/>
  <c r="C647"/>
  <c r="C640"/>
  <c r="C639"/>
  <c r="C1088" s="1"/>
  <c r="C599"/>
  <c r="C598"/>
  <c r="C590"/>
  <c r="C1090" s="1"/>
  <c r="C589"/>
  <c r="C1089" s="1"/>
  <c r="C552"/>
  <c r="K38" i="43"/>
  <c r="C500" i="39"/>
  <c r="C493"/>
  <c r="C490"/>
  <c r="C451"/>
  <c r="C990" s="1"/>
  <c r="C440"/>
  <c r="C438"/>
  <c r="C436"/>
  <c r="C434"/>
  <c r="C397"/>
  <c r="C391"/>
  <c r="C390"/>
  <c r="C389"/>
  <c r="C388"/>
  <c r="C248"/>
  <c r="C247"/>
  <c r="H26" i="43"/>
  <c r="C209" i="39"/>
  <c r="C211" s="1"/>
  <c r="D209"/>
  <c r="H209"/>
  <c r="H211" s="1"/>
  <c r="I209"/>
  <c r="I211" s="1"/>
  <c r="M24" i="43"/>
  <c r="P24" s="1"/>
  <c r="C166" i="39"/>
  <c r="C168" s="1"/>
  <c r="C154"/>
  <c r="L59" i="43"/>
  <c r="P59" s="1"/>
  <c r="C111" i="39"/>
  <c r="C110"/>
  <c r="L58" i="43"/>
  <c r="P58" s="1"/>
  <c r="C67" i="39"/>
  <c r="C66"/>
  <c r="D68"/>
  <c r="D70" s="1"/>
  <c r="C17"/>
  <c r="C16"/>
  <c r="C15"/>
  <c r="C14"/>
  <c r="C972" s="1"/>
  <c r="C13"/>
  <c r="C12"/>
  <c r="J934"/>
  <c r="I934"/>
  <c r="H934"/>
  <c r="G934"/>
  <c r="F934"/>
  <c r="F936" s="1"/>
  <c r="E934"/>
  <c r="E938" l="1"/>
  <c r="N55" i="42"/>
  <c r="C849" i="39"/>
  <c r="C1099"/>
  <c r="C1098"/>
  <c r="N54" i="42"/>
  <c r="C554" i="39"/>
  <c r="D213"/>
  <c r="D215" s="1"/>
  <c r="D211"/>
  <c r="F34" i="44"/>
  <c r="O35" i="43"/>
  <c r="H16" i="44"/>
  <c r="O57" i="43"/>
  <c r="P57" s="1"/>
  <c r="F16" i="44"/>
  <c r="O17" i="43"/>
  <c r="P17" s="1"/>
  <c r="N17" i="42"/>
  <c r="C1050" i="39"/>
  <c r="C801"/>
  <c r="C1034"/>
  <c r="C1037"/>
  <c r="C988"/>
  <c r="C973"/>
  <c r="C971"/>
  <c r="C978"/>
  <c r="C642"/>
  <c r="C644" s="1"/>
  <c r="C603"/>
  <c r="L55" i="43"/>
  <c r="P55" s="1"/>
  <c r="L76"/>
  <c r="P76" s="1"/>
  <c r="L65"/>
  <c r="P65" s="1"/>
  <c r="C112" i="39"/>
  <c r="C68"/>
  <c r="H938"/>
  <c r="D747"/>
  <c r="D749" s="1"/>
  <c r="F209"/>
  <c r="F211" s="1"/>
  <c r="E209"/>
  <c r="E211" s="1"/>
  <c r="E747"/>
  <c r="I938"/>
  <c r="C792"/>
  <c r="G209"/>
  <c r="G211" s="1"/>
  <c r="E792"/>
  <c r="M36" i="43"/>
  <c r="D112" i="39"/>
  <c r="D114" s="1"/>
  <c r="J209"/>
  <c r="J211" s="1"/>
  <c r="D251"/>
  <c r="D253" s="1"/>
  <c r="F38" i="43"/>
  <c r="C747" i="39"/>
  <c r="G399"/>
  <c r="H78" i="43"/>
  <c r="L61"/>
  <c r="H25" i="44"/>
  <c r="M21" i="43"/>
  <c r="J78"/>
  <c r="F112" i="39"/>
  <c r="F114" s="1"/>
  <c r="F68"/>
  <c r="F70" s="1"/>
  <c r="E112"/>
  <c r="D392"/>
  <c r="D394" s="1"/>
  <c r="G157"/>
  <c r="L64" i="43"/>
  <c r="I78"/>
  <c r="D556" i="39"/>
  <c r="D558" s="1"/>
  <c r="J747"/>
  <c r="I747"/>
  <c r="D441"/>
  <c r="D443" s="1"/>
  <c r="F747"/>
  <c r="F749" s="1"/>
  <c r="M35" i="43"/>
  <c r="M15"/>
  <c r="P15" s="1"/>
  <c r="E68" i="39"/>
  <c r="L66" i="43"/>
  <c r="P66" s="1"/>
  <c r="H38"/>
  <c r="F938" i="39"/>
  <c r="F940" s="1"/>
  <c r="J938"/>
  <c r="C938"/>
  <c r="G938"/>
  <c r="E19" i="45" l="1"/>
  <c r="E805" i="39"/>
  <c r="N76" i="42"/>
  <c r="C803" i="39"/>
  <c r="E757"/>
  <c r="N64" i="42"/>
  <c r="J16" i="44"/>
  <c r="H20"/>
  <c r="O61" i="43"/>
  <c r="P61" s="1"/>
  <c r="N35" i="42"/>
  <c r="F11" i="44"/>
  <c r="O13" i="43"/>
  <c r="H23" i="44"/>
  <c r="O64" i="43"/>
  <c r="P64" s="1"/>
  <c r="P35"/>
  <c r="C805" i="39"/>
  <c r="C1038"/>
  <c r="F942"/>
  <c r="F944" s="1"/>
  <c r="G78" i="43"/>
  <c r="J891" i="39"/>
  <c r="J893" s="1"/>
  <c r="I891"/>
  <c r="H891"/>
  <c r="G891"/>
  <c r="G893" s="1"/>
  <c r="F891"/>
  <c r="F893" s="1"/>
  <c r="E891"/>
  <c r="D891"/>
  <c r="D893" s="1"/>
  <c r="J884"/>
  <c r="I884"/>
  <c r="H884"/>
  <c r="G884"/>
  <c r="F884"/>
  <c r="F886" s="1"/>
  <c r="E884"/>
  <c r="D884"/>
  <c r="D886" s="1"/>
  <c r="H15" i="44" l="1"/>
  <c r="O56" i="43"/>
  <c r="P56" s="1"/>
  <c r="N16" i="42"/>
  <c r="F15" i="44"/>
  <c r="O16" i="43"/>
  <c r="P16" s="1"/>
  <c r="D16" i="44"/>
  <c r="L16" s="1"/>
  <c r="G942" i="39"/>
  <c r="F19" i="45"/>
  <c r="D895" i="39"/>
  <c r="D897" s="1"/>
  <c r="F895"/>
  <c r="H895"/>
  <c r="J895"/>
  <c r="E895"/>
  <c r="G895"/>
  <c r="I895"/>
  <c r="E18" i="45" l="1"/>
  <c r="F899" i="39"/>
  <c r="D15" i="44" s="1"/>
  <c r="F897" i="39"/>
  <c r="J15" i="44"/>
  <c r="H942" i="39"/>
  <c r="G19" i="45"/>
  <c r="H14" i="44"/>
  <c r="J838" i="39"/>
  <c r="I838"/>
  <c r="H838"/>
  <c r="G838"/>
  <c r="F838"/>
  <c r="F840" s="1"/>
  <c r="D838"/>
  <c r="D840" s="1"/>
  <c r="G899" l="1"/>
  <c r="G18" i="45" s="1"/>
  <c r="F901" i="39"/>
  <c r="F18" i="45"/>
  <c r="F14" i="44"/>
  <c r="J14" s="1"/>
  <c r="L15"/>
  <c r="N15" i="42"/>
  <c r="D851" i="39"/>
  <c r="D853" s="1"/>
  <c r="I942"/>
  <c r="H19" i="45"/>
  <c r="C851" i="39"/>
  <c r="E851"/>
  <c r="G851"/>
  <c r="I851"/>
  <c r="F851"/>
  <c r="H851"/>
  <c r="J851"/>
  <c r="H35" i="44"/>
  <c r="E46" i="45"/>
  <c r="J792" i="39"/>
  <c r="I792"/>
  <c r="H792"/>
  <c r="G792"/>
  <c r="F792"/>
  <c r="D792"/>
  <c r="D794" s="1"/>
  <c r="H899" l="1"/>
  <c r="H18" i="45" s="1"/>
  <c r="E17"/>
  <c r="F855" i="39"/>
  <c r="F857" s="1"/>
  <c r="F853"/>
  <c r="J805"/>
  <c r="F805"/>
  <c r="F807" s="1"/>
  <c r="F794"/>
  <c r="I805"/>
  <c r="H805"/>
  <c r="O36" i="43"/>
  <c r="P36" s="1"/>
  <c r="D805" i="39"/>
  <c r="D807" s="1"/>
  <c r="N36" i="42"/>
  <c r="F35" i="44"/>
  <c r="J35" s="1"/>
  <c r="G805" i="39"/>
  <c r="J942"/>
  <c r="I19" i="45"/>
  <c r="D46"/>
  <c r="I899" i="39" l="1"/>
  <c r="I18" i="45" s="1"/>
  <c r="F17"/>
  <c r="G855" i="39"/>
  <c r="H855" s="1"/>
  <c r="D14" i="44"/>
  <c r="L14" s="1"/>
  <c r="F809" i="39"/>
  <c r="F811" s="1"/>
  <c r="K942"/>
  <c r="J19" i="45"/>
  <c r="J753" i="39"/>
  <c r="J755" s="1"/>
  <c r="I753"/>
  <c r="I755" s="1"/>
  <c r="H753"/>
  <c r="H755" s="1"/>
  <c r="G753"/>
  <c r="G755" s="1"/>
  <c r="F753"/>
  <c r="F755" s="1"/>
  <c r="D753"/>
  <c r="D755" s="1"/>
  <c r="C753"/>
  <c r="C755" s="1"/>
  <c r="C695"/>
  <c r="K19" i="45" l="1"/>
  <c r="J899" i="39"/>
  <c r="J18" i="45" s="1"/>
  <c r="G17"/>
  <c r="I855" i="39"/>
  <c r="G809"/>
  <c r="H34" i="44"/>
  <c r="J34" s="1"/>
  <c r="O75" i="43"/>
  <c r="P75" s="1"/>
  <c r="N75" i="42"/>
  <c r="D35" i="44"/>
  <c r="L35" s="1"/>
  <c r="F46" i="45"/>
  <c r="H17"/>
  <c r="D757" i="39"/>
  <c r="D759" s="1"/>
  <c r="F757"/>
  <c r="H757"/>
  <c r="J757"/>
  <c r="C757"/>
  <c r="E45" i="45"/>
  <c r="G757" i="39"/>
  <c r="I757"/>
  <c r="K899" l="1"/>
  <c r="K18" i="45" s="1"/>
  <c r="J855" i="39"/>
  <c r="F761"/>
  <c r="F763" s="1"/>
  <c r="F759"/>
  <c r="H809"/>
  <c r="H46" i="45" s="1"/>
  <c r="G46"/>
  <c r="I17"/>
  <c r="K855" i="39" l="1"/>
  <c r="F45" i="45"/>
  <c r="D34" i="44"/>
  <c r="L34" s="1"/>
  <c r="G761" i="39"/>
  <c r="I809"/>
  <c r="I46" i="45" s="1"/>
  <c r="J17"/>
  <c r="H761" i="39" l="1"/>
  <c r="J809"/>
  <c r="J46" i="45" s="1"/>
  <c r="G45"/>
  <c r="K17"/>
  <c r="I761" i="39" l="1"/>
  <c r="I45" i="45" s="1"/>
  <c r="K809" i="39"/>
  <c r="H45" i="45"/>
  <c r="J556" i="39"/>
  <c r="F556"/>
  <c r="H556"/>
  <c r="F13" i="44"/>
  <c r="H13"/>
  <c r="J761" i="39" l="1"/>
  <c r="K46" i="45"/>
  <c r="F560" i="39"/>
  <c r="F562" s="1"/>
  <c r="F558"/>
  <c r="J13" i="44"/>
  <c r="I556" i="39"/>
  <c r="E556"/>
  <c r="G556"/>
  <c r="K761" l="1"/>
  <c r="J45" i="45"/>
  <c r="E16"/>
  <c r="G560" i="39"/>
  <c r="D13" i="44"/>
  <c r="L13" s="1"/>
  <c r="F16" i="45"/>
  <c r="E494" i="39"/>
  <c r="K45" i="45" l="1"/>
  <c r="H560" i="39"/>
  <c r="H16" i="45" s="1"/>
  <c r="G16"/>
  <c r="J399" i="39"/>
  <c r="H399"/>
  <c r="F399"/>
  <c r="F401" s="1"/>
  <c r="G392"/>
  <c r="I560" l="1"/>
  <c r="I16" i="45" s="1"/>
  <c r="F20" i="44"/>
  <c r="O21" i="43"/>
  <c r="P21" s="1"/>
  <c r="F392" i="39"/>
  <c r="F394" s="1"/>
  <c r="H392"/>
  <c r="C392"/>
  <c r="I399"/>
  <c r="G403"/>
  <c r="J560" l="1"/>
  <c r="J16" i="45" s="1"/>
  <c r="H403" i="39"/>
  <c r="F403"/>
  <c r="J20" i="44"/>
  <c r="E251" i="39"/>
  <c r="C251"/>
  <c r="K560" l="1"/>
  <c r="F407"/>
  <c r="F409" s="1"/>
  <c r="F405"/>
  <c r="E264"/>
  <c r="E253"/>
  <c r="E32" i="45"/>
  <c r="C264" i="39"/>
  <c r="K16" i="45" l="1"/>
  <c r="G407" i="39"/>
  <c r="D20" i="44"/>
  <c r="F23"/>
  <c r="C213" i="39"/>
  <c r="C215" s="1"/>
  <c r="H407" l="1"/>
  <c r="J23" i="44"/>
  <c r="I213" i="39"/>
  <c r="E213"/>
  <c r="G213"/>
  <c r="G215" s="1"/>
  <c r="F213"/>
  <c r="H213"/>
  <c r="J213"/>
  <c r="F217" l="1"/>
  <c r="F219" s="1"/>
  <c r="F215"/>
  <c r="E30" i="45"/>
  <c r="I157" i="39"/>
  <c r="E157"/>
  <c r="C157"/>
  <c r="G217" l="1"/>
  <c r="H217" s="1"/>
  <c r="D23" i="44"/>
  <c r="L23" s="1"/>
  <c r="F30" i="45"/>
  <c r="D157" i="39"/>
  <c r="H157"/>
  <c r="J157"/>
  <c r="E170"/>
  <c r="G30" i="45" l="1"/>
  <c r="G219" i="39"/>
  <c r="I217"/>
  <c r="E14" i="45"/>
  <c r="D170" i="39"/>
  <c r="D172" s="1"/>
  <c r="D159"/>
  <c r="H30" i="45"/>
  <c r="J217" i="39" l="1"/>
  <c r="I30" i="45"/>
  <c r="J118" i="39"/>
  <c r="J120" s="1"/>
  <c r="I118"/>
  <c r="I120" s="1"/>
  <c r="H118"/>
  <c r="H120" s="1"/>
  <c r="G118"/>
  <c r="F118"/>
  <c r="F120" s="1"/>
  <c r="E118"/>
  <c r="D118"/>
  <c r="C118"/>
  <c r="D120" l="1"/>
  <c r="D129"/>
  <c r="C120"/>
  <c r="C129"/>
  <c r="E120"/>
  <c r="E129"/>
  <c r="K217"/>
  <c r="H18" i="44"/>
  <c r="G120" i="39"/>
  <c r="N59" i="42"/>
  <c r="D122" i="39"/>
  <c r="D124" s="1"/>
  <c r="F122"/>
  <c r="J30" i="45"/>
  <c r="C122" i="39"/>
  <c r="E122"/>
  <c r="E21" i="45" l="1"/>
  <c r="F126" i="39"/>
  <c r="F124"/>
  <c r="K30" i="45"/>
  <c r="J74" i="39"/>
  <c r="J76" s="1"/>
  <c r="I74"/>
  <c r="I76" s="1"/>
  <c r="H74"/>
  <c r="H76" s="1"/>
  <c r="G74"/>
  <c r="F74"/>
  <c r="F76" s="1"/>
  <c r="E74"/>
  <c r="D74"/>
  <c r="C74"/>
  <c r="F21" i="45" l="1"/>
  <c r="F129" i="39"/>
  <c r="D76"/>
  <c r="D85"/>
  <c r="C76"/>
  <c r="C85"/>
  <c r="E76"/>
  <c r="E85"/>
  <c r="H17" i="44"/>
  <c r="G76" i="39"/>
  <c r="D18" i="44"/>
  <c r="F128" i="39"/>
  <c r="N58" i="42"/>
  <c r="D78" i="39"/>
  <c r="D80" s="1"/>
  <c r="F78"/>
  <c r="C78"/>
  <c r="E78"/>
  <c r="E20" i="45" l="1"/>
  <c r="F82" i="39"/>
  <c r="F80"/>
  <c r="N1249" i="36"/>
  <c r="P1249"/>
  <c r="S1249"/>
  <c r="T1249"/>
  <c r="U1249"/>
  <c r="F20" i="45" l="1"/>
  <c r="F85" i="39"/>
  <c r="D17" i="44"/>
  <c r="F84" i="39"/>
  <c r="F157"/>
  <c r="M13" i="43"/>
  <c r="P13" s="1"/>
  <c r="N12" i="42" l="1"/>
  <c r="F159" i="39"/>
  <c r="N1234" i="36"/>
  <c r="P1234"/>
  <c r="E17" i="39" l="1"/>
  <c r="E975" s="1"/>
  <c r="N1233" i="36"/>
  <c r="N1235" s="1"/>
  <c r="P1233"/>
  <c r="P1235" s="1"/>
  <c r="N1224"/>
  <c r="N1223"/>
  <c r="G692" i="39"/>
  <c r="G590"/>
  <c r="S288" i="36"/>
  <c r="S1228" l="1"/>
  <c r="S1230"/>
  <c r="I14" i="43"/>
  <c r="G1090" i="39"/>
  <c r="I34" i="43"/>
  <c r="G1035" i="39"/>
  <c r="G176" i="40"/>
  <c r="G13"/>
  <c r="G47"/>
  <c r="G438" i="39"/>
  <c r="I29" i="43" s="1"/>
  <c r="G207" i="40"/>
  <c r="G599" i="39"/>
  <c r="G1099" s="1"/>
  <c r="G701"/>
  <c r="H590"/>
  <c r="H1090" s="1"/>
  <c r="H176" i="40"/>
  <c r="H47"/>
  <c r="H599" i="39"/>
  <c r="H1099" s="1"/>
  <c r="H438"/>
  <c r="H692"/>
  <c r="H1035" s="1"/>
  <c r="R1234" i="36"/>
  <c r="N1226"/>
  <c r="R1233"/>
  <c r="R1223"/>
  <c r="P1223"/>
  <c r="P1224"/>
  <c r="G178" i="40"/>
  <c r="K142"/>
  <c r="C15"/>
  <c r="K448" i="39"/>
  <c r="K177" i="40"/>
  <c r="C64" i="42"/>
  <c r="M64" s="1"/>
  <c r="O64" s="1"/>
  <c r="J592" i="39"/>
  <c r="J1092" s="1"/>
  <c r="I592"/>
  <c r="I1092" s="1"/>
  <c r="H592"/>
  <c r="H1092" s="1"/>
  <c r="G592"/>
  <c r="E139" i="40"/>
  <c r="N1179" i="36"/>
  <c r="S1222" l="1"/>
  <c r="T1230"/>
  <c r="L14" i="43"/>
  <c r="G1092" i="39"/>
  <c r="D74" i="43"/>
  <c r="G1044" i="39"/>
  <c r="D54" i="43"/>
  <c r="H207" i="40"/>
  <c r="H13"/>
  <c r="S1233" i="36"/>
  <c r="H701" i="39"/>
  <c r="H1044" s="1"/>
  <c r="E592"/>
  <c r="E1092" s="1"/>
  <c r="R1224" i="36"/>
  <c r="R1226" s="1"/>
  <c r="G17" i="39"/>
  <c r="H178" i="40"/>
  <c r="I590" i="39"/>
  <c r="I1090" s="1"/>
  <c r="T321" i="36"/>
  <c r="I251" i="39"/>
  <c r="S321" i="36"/>
  <c r="H251" i="39"/>
  <c r="U321" i="36"/>
  <c r="J251" i="39"/>
  <c r="I438"/>
  <c r="R1235" i="36"/>
  <c r="R321"/>
  <c r="G251" i="39"/>
  <c r="I692"/>
  <c r="I1035" s="1"/>
  <c r="S1234" i="36"/>
  <c r="S1223"/>
  <c r="T1222" l="1"/>
  <c r="T1228"/>
  <c r="V1230"/>
  <c r="U1230"/>
  <c r="H264" i="39"/>
  <c r="O26" i="43"/>
  <c r="J264" i="39"/>
  <c r="I264"/>
  <c r="I10" i="43"/>
  <c r="V889" i="36"/>
  <c r="I701" i="39"/>
  <c r="I1044" s="1"/>
  <c r="I176" i="40"/>
  <c r="I599" i="39"/>
  <c r="I1099" s="1"/>
  <c r="I47" i="40"/>
  <c r="I207"/>
  <c r="G501" i="39"/>
  <c r="E70" i="43" s="1"/>
  <c r="G264" i="39"/>
  <c r="F25" i="44"/>
  <c r="S1235" i="36"/>
  <c r="I13" i="40"/>
  <c r="S1224" i="36"/>
  <c r="S1226" s="1"/>
  <c r="H17" i="39"/>
  <c r="P1255" i="36"/>
  <c r="P1265"/>
  <c r="P1266" s="1"/>
  <c r="F251" i="39"/>
  <c r="J590"/>
  <c r="J1090" s="1"/>
  <c r="T1233" i="36"/>
  <c r="I178" i="40"/>
  <c r="H501" i="39"/>
  <c r="J438"/>
  <c r="T1234" i="36"/>
  <c r="U1223"/>
  <c r="T1223"/>
  <c r="E15" i="39"/>
  <c r="E973" s="1"/>
  <c r="U1222" i="36" l="1"/>
  <c r="V1222"/>
  <c r="U1228"/>
  <c r="N26" i="42"/>
  <c r="F253" i="39"/>
  <c r="J47" i="40"/>
  <c r="J176"/>
  <c r="J207"/>
  <c r="J599" i="39"/>
  <c r="J1099" s="1"/>
  <c r="T1224" i="36"/>
  <c r="T1226" s="1"/>
  <c r="I17" i="39"/>
  <c r="J692"/>
  <c r="J1035" s="1"/>
  <c r="J13" i="40"/>
  <c r="K701" i="39"/>
  <c r="K1044" s="1"/>
  <c r="J701"/>
  <c r="J1044" s="1"/>
  <c r="K176" i="40"/>
  <c r="T1235" i="36"/>
  <c r="F264" i="39"/>
  <c r="F276" s="1"/>
  <c r="J25" i="44"/>
  <c r="J178" i="40"/>
  <c r="U1234" i="36"/>
  <c r="I501" i="39"/>
  <c r="U1233" i="36"/>
  <c r="M26" i="43"/>
  <c r="P26" s="1"/>
  <c r="N714" i="36"/>
  <c r="C501" i="39" s="1"/>
  <c r="V109" i="36" l="1"/>
  <c r="K17" i="40" s="1"/>
  <c r="V1228" i="36"/>
  <c r="F266" i="39"/>
  <c r="K207" i="40"/>
  <c r="J17" i="39"/>
  <c r="V132" i="36"/>
  <c r="K51" i="40" s="1"/>
  <c r="K47"/>
  <c r="K50" s="1"/>
  <c r="V823" i="36"/>
  <c r="K1094" i="39" s="1"/>
  <c r="K590"/>
  <c r="V849" i="36"/>
  <c r="V891" s="1"/>
  <c r="K1106" i="39" s="1"/>
  <c r="K599"/>
  <c r="K13" i="40"/>
  <c r="V1233" i="36"/>
  <c r="V1234"/>
  <c r="K692" i="39"/>
  <c r="K1035" s="1"/>
  <c r="V603" i="36"/>
  <c r="K438" i="39"/>
  <c r="K441" s="1"/>
  <c r="C208" i="40"/>
  <c r="U1235" i="36"/>
  <c r="J501" i="39"/>
  <c r="U1224" i="36"/>
  <c r="U1226" s="1"/>
  <c r="N1244"/>
  <c r="N1246" s="1"/>
  <c r="P1244"/>
  <c r="P1246" s="1"/>
  <c r="R1244"/>
  <c r="R1246" s="1"/>
  <c r="R1247" s="1"/>
  <c r="E59" i="42"/>
  <c r="G59"/>
  <c r="H59"/>
  <c r="I59"/>
  <c r="J59"/>
  <c r="N358" i="36"/>
  <c r="P358"/>
  <c r="E58" i="42"/>
  <c r="G58"/>
  <c r="H58"/>
  <c r="I58"/>
  <c r="J58"/>
  <c r="N341" i="36"/>
  <c r="P341"/>
  <c r="C75" i="42"/>
  <c r="E75"/>
  <c r="G75"/>
  <c r="H75"/>
  <c r="I75"/>
  <c r="J75"/>
  <c r="N1042" i="36"/>
  <c r="P1042"/>
  <c r="R1042"/>
  <c r="S1042"/>
  <c r="T1042"/>
  <c r="U1042"/>
  <c r="R1017"/>
  <c r="G703" i="39" s="1"/>
  <c r="S1017" i="36"/>
  <c r="H703" i="39" s="1"/>
  <c r="H1046" s="1"/>
  <c r="T1017" i="36"/>
  <c r="I703" i="39" s="1"/>
  <c r="I1046" s="1"/>
  <c r="U1017" i="36"/>
  <c r="J703" i="39" s="1"/>
  <c r="J1046" s="1"/>
  <c r="C542"/>
  <c r="C970" s="1"/>
  <c r="R286" i="36"/>
  <c r="G240" i="40" s="1"/>
  <c r="S286" i="36"/>
  <c r="H240" i="40" s="1"/>
  <c r="T286" i="36"/>
  <c r="I240" i="40" s="1"/>
  <c r="U286" i="36"/>
  <c r="J240" i="40" s="1"/>
  <c r="K52" l="1"/>
  <c r="H35" i="42"/>
  <c r="H748" i="39"/>
  <c r="H749" s="1"/>
  <c r="I35" i="42"/>
  <c r="I748" i="39"/>
  <c r="I749" s="1"/>
  <c r="C35" i="42"/>
  <c r="C748" i="39"/>
  <c r="C749" s="1"/>
  <c r="J35" i="42"/>
  <c r="J748" i="39"/>
  <c r="J749" s="1"/>
  <c r="E35" i="42"/>
  <c r="E748" i="39"/>
  <c r="E749" s="1"/>
  <c r="G35" i="42"/>
  <c r="G748" i="39"/>
  <c r="G749" s="1"/>
  <c r="C18" i="42"/>
  <c r="C69" i="39"/>
  <c r="C70" s="1"/>
  <c r="E18" i="42"/>
  <c r="E69" i="39"/>
  <c r="E70" s="1"/>
  <c r="K29" i="42"/>
  <c r="K442" i="39"/>
  <c r="K443" s="1"/>
  <c r="K13" i="42"/>
  <c r="K594" i="39"/>
  <c r="E19" i="42"/>
  <c r="E113" i="39"/>
  <c r="E114" s="1"/>
  <c r="C19" i="42"/>
  <c r="C113" i="39"/>
  <c r="C114" s="1"/>
  <c r="K604"/>
  <c r="G276"/>
  <c r="F278"/>
  <c r="F32" i="45"/>
  <c r="M75" i="42"/>
  <c r="O75" s="1"/>
  <c r="K603" i="39"/>
  <c r="K1099"/>
  <c r="K1105" s="1"/>
  <c r="K1107" s="1"/>
  <c r="K593"/>
  <c r="K1090"/>
  <c r="K1093" s="1"/>
  <c r="K1095" s="1"/>
  <c r="F74" i="43"/>
  <c r="G1046" i="39"/>
  <c r="K53" i="42"/>
  <c r="C545" i="39"/>
  <c r="D25" i="44"/>
  <c r="L25" s="1"/>
  <c r="V893" i="36"/>
  <c r="K1110" i="39" s="1"/>
  <c r="K16" i="40"/>
  <c r="V1224" i="36"/>
  <c r="V1226" s="1"/>
  <c r="K17" i="39"/>
  <c r="E240" i="40"/>
  <c r="E25" i="39" s="1"/>
  <c r="E984" s="1"/>
  <c r="E703"/>
  <c r="E1046" s="1"/>
  <c r="E1051" s="1"/>
  <c r="E1053" s="1"/>
  <c r="V244" i="36"/>
  <c r="K180" i="40" s="1"/>
  <c r="K178"/>
  <c r="V1235" i="36"/>
  <c r="P351"/>
  <c r="K501" i="39"/>
  <c r="C59" i="42"/>
  <c r="M59" s="1"/>
  <c r="O59" s="1"/>
  <c r="N368" i="36"/>
  <c r="C58" i="42"/>
  <c r="M58" s="1"/>
  <c r="O58" s="1"/>
  <c r="N351" i="36"/>
  <c r="U1056"/>
  <c r="J758" i="39" s="1"/>
  <c r="J759" s="1"/>
  <c r="S1056" i="36"/>
  <c r="H758" i="39" s="1"/>
  <c r="H759" s="1"/>
  <c r="N348" i="36"/>
  <c r="C79" i="39" s="1"/>
  <c r="C80" s="1"/>
  <c r="N365" i="36"/>
  <c r="C123" i="39" s="1"/>
  <c r="C124" s="1"/>
  <c r="T420" i="36"/>
  <c r="I214" i="39" s="1"/>
  <c r="I215" s="1"/>
  <c r="T1056" i="36"/>
  <c r="I758" i="39" s="1"/>
  <c r="I759" s="1"/>
  <c r="R1056" i="36"/>
  <c r="N1056"/>
  <c r="C758" i="39" s="1"/>
  <c r="C759" s="1"/>
  <c r="P348" i="36"/>
  <c r="E79" i="39" s="1"/>
  <c r="E80" s="1"/>
  <c r="P365" i="36"/>
  <c r="E123" i="39" s="1"/>
  <c r="E124" s="1"/>
  <c r="U420" i="36"/>
  <c r="J214" i="39" s="1"/>
  <c r="J215" s="1"/>
  <c r="S420" i="36"/>
  <c r="H214" i="39" s="1"/>
  <c r="H215" s="1"/>
  <c r="P420" i="36"/>
  <c r="E214" i="39" s="1"/>
  <c r="E215" s="1"/>
  <c r="P1056" i="36"/>
  <c r="E758" i="39" s="1"/>
  <c r="E759" s="1"/>
  <c r="C891"/>
  <c r="C893" s="1"/>
  <c r="G66"/>
  <c r="C18" i="43" s="1"/>
  <c r="M18" s="1"/>
  <c r="G110" i="39"/>
  <c r="C19" i="43" s="1"/>
  <c r="M19" s="1"/>
  <c r="S1240" i="36" l="1"/>
  <c r="S1242" s="1"/>
  <c r="K18" i="40"/>
  <c r="M35" i="42"/>
  <c r="O35" s="1"/>
  <c r="R1058" i="36"/>
  <c r="G762" i="39" s="1"/>
  <c r="G763" s="1"/>
  <c r="G758"/>
  <c r="G759" s="1"/>
  <c r="K595"/>
  <c r="K608"/>
  <c r="K605"/>
  <c r="C895"/>
  <c r="N56" i="42"/>
  <c r="C556" i="39"/>
  <c r="N14" i="42"/>
  <c r="K607" i="39"/>
  <c r="K1109"/>
  <c r="K1111" s="1"/>
  <c r="E1062"/>
  <c r="E1055"/>
  <c r="V1189" i="36"/>
  <c r="V1192" s="1"/>
  <c r="H276" i="39"/>
  <c r="G32" i="45"/>
  <c r="S422" i="36"/>
  <c r="K179" i="40"/>
  <c r="K181" s="1"/>
  <c r="T10" i="36"/>
  <c r="S181"/>
  <c r="H140" i="40" s="1"/>
  <c r="G68" i="39"/>
  <c r="G112"/>
  <c r="H110"/>
  <c r="R358" i="36"/>
  <c r="H66" i="39"/>
  <c r="R341" i="36"/>
  <c r="E55" i="42"/>
  <c r="P577" i="36"/>
  <c r="N1178"/>
  <c r="N1174"/>
  <c r="H686" i="39"/>
  <c r="H1029" s="1"/>
  <c r="T1240" i="36" l="1"/>
  <c r="S1058"/>
  <c r="H762" i="39" s="1"/>
  <c r="H763" s="1"/>
  <c r="E61" i="42"/>
  <c r="E400" i="39"/>
  <c r="G19" i="42"/>
  <c r="G113" i="39"/>
  <c r="G114" s="1"/>
  <c r="T422" i="36"/>
  <c r="H218" i="39"/>
  <c r="H219" s="1"/>
  <c r="G18" i="42"/>
  <c r="G69" i="39"/>
  <c r="G70" s="1"/>
  <c r="K609"/>
  <c r="O18" i="43"/>
  <c r="P18" s="1"/>
  <c r="O19"/>
  <c r="P19" s="1"/>
  <c r="G78" i="39"/>
  <c r="F17" i="44"/>
  <c r="J17" s="1"/>
  <c r="L17" s="1"/>
  <c r="I276" i="39"/>
  <c r="H32" i="45"/>
  <c r="G122" i="39"/>
  <c r="F18" i="44"/>
  <c r="J18" s="1"/>
  <c r="L18" s="1"/>
  <c r="U10" i="36"/>
  <c r="T181"/>
  <c r="I140" i="40" s="1"/>
  <c r="H68" i="39"/>
  <c r="H112"/>
  <c r="I686"/>
  <c r="I1029" s="1"/>
  <c r="R348" i="36"/>
  <c r="R365"/>
  <c r="I66" i="39"/>
  <c r="S341" i="36"/>
  <c r="I110" i="39"/>
  <c r="S358" i="36"/>
  <c r="N1220"/>
  <c r="P1220"/>
  <c r="R1220"/>
  <c r="S1220"/>
  <c r="T1220"/>
  <c r="U1220"/>
  <c r="S976"/>
  <c r="T976"/>
  <c r="U976"/>
  <c r="N1218"/>
  <c r="P1218"/>
  <c r="U1240" l="1"/>
  <c r="T1058"/>
  <c r="I762" i="39" s="1"/>
  <c r="I763" s="1"/>
  <c r="H19" i="42"/>
  <c r="H113" i="39"/>
  <c r="H114" s="1"/>
  <c r="R367" i="36"/>
  <c r="G127" i="39" s="1"/>
  <c r="G123"/>
  <c r="G124" s="1"/>
  <c r="H18" i="42"/>
  <c r="H69" i="39"/>
  <c r="H70" s="1"/>
  <c r="U422" i="36"/>
  <c r="I218" i="39"/>
  <c r="I219" s="1"/>
  <c r="R350" i="36"/>
  <c r="G83" i="39" s="1"/>
  <c r="G79"/>
  <c r="G80" s="1"/>
  <c r="H78"/>
  <c r="G126"/>
  <c r="G129" s="1"/>
  <c r="G82"/>
  <c r="G85" s="1"/>
  <c r="H122"/>
  <c r="J694"/>
  <c r="J1037" s="1"/>
  <c r="H694"/>
  <c r="H1037" s="1"/>
  <c r="H1038" s="1"/>
  <c r="I694"/>
  <c r="I1037" s="1"/>
  <c r="I1038" s="1"/>
  <c r="J276"/>
  <c r="I32" i="45"/>
  <c r="V10" i="36"/>
  <c r="U181"/>
  <c r="J140" i="40" s="1"/>
  <c r="I68" i="39"/>
  <c r="I112"/>
  <c r="S365" i="36"/>
  <c r="S348"/>
  <c r="J686" i="39"/>
  <c r="J1029" s="1"/>
  <c r="T358" i="36"/>
  <c r="T341"/>
  <c r="G140" i="40"/>
  <c r="P181" i="36"/>
  <c r="P214" l="1"/>
  <c r="E144" i="40" s="1"/>
  <c r="U1058" i="36"/>
  <c r="J762" i="39" s="1"/>
  <c r="J763" s="1"/>
  <c r="V181" i="36"/>
  <c r="K140" i="40" s="1"/>
  <c r="V1240" i="36"/>
  <c r="G128" i="39"/>
  <c r="I19" i="42"/>
  <c r="I113" i="39"/>
  <c r="I114" s="1"/>
  <c r="I18" i="42"/>
  <c r="I69" i="39"/>
  <c r="I70" s="1"/>
  <c r="S367" i="36"/>
  <c r="H127" i="39" s="1"/>
  <c r="H123"/>
  <c r="H124" s="1"/>
  <c r="S350" i="36"/>
  <c r="H83" i="39" s="1"/>
  <c r="H79"/>
  <c r="H80" s="1"/>
  <c r="V422" i="36"/>
  <c r="K218" i="39" s="1"/>
  <c r="K219" s="1"/>
  <c r="J218"/>
  <c r="J219" s="1"/>
  <c r="G21" i="45"/>
  <c r="H126" i="39"/>
  <c r="H129" s="1"/>
  <c r="H82"/>
  <c r="K276"/>
  <c r="I78"/>
  <c r="G20" i="45"/>
  <c r="G84" i="39"/>
  <c r="I122"/>
  <c r="J1038"/>
  <c r="L34" i="43"/>
  <c r="G1037" i="39"/>
  <c r="G1038" s="1"/>
  <c r="J32" i="45"/>
  <c r="E140" i="40"/>
  <c r="E26" i="39" s="1"/>
  <c r="E985" s="1"/>
  <c r="J66"/>
  <c r="J110"/>
  <c r="K686"/>
  <c r="K1029" s="1"/>
  <c r="K1038" s="1"/>
  <c r="T348" i="36"/>
  <c r="T365"/>
  <c r="U341"/>
  <c r="U358"/>
  <c r="K70" i="43"/>
  <c r="H506" i="39"/>
  <c r="I506"/>
  <c r="J506"/>
  <c r="E392"/>
  <c r="E394" s="1"/>
  <c r="H20" i="45" l="1"/>
  <c r="H85" i="39"/>
  <c r="V1058" i="36"/>
  <c r="K762" i="39" s="1"/>
  <c r="K763" s="1"/>
  <c r="T367" i="36"/>
  <c r="I127" i="39" s="1"/>
  <c r="I123"/>
  <c r="I124" s="1"/>
  <c r="J18" i="42"/>
  <c r="J69" i="39"/>
  <c r="J19" i="42"/>
  <c r="J113" i="39"/>
  <c r="H128"/>
  <c r="T350" i="36"/>
  <c r="I83" i="39" s="1"/>
  <c r="I79"/>
  <c r="I80" s="1"/>
  <c r="H21" i="45"/>
  <c r="I82" i="39"/>
  <c r="I85" s="1"/>
  <c r="H84"/>
  <c r="K32" i="45"/>
  <c r="I126" i="39"/>
  <c r="I129" s="1"/>
  <c r="V341" i="36"/>
  <c r="K69" i="39" s="1"/>
  <c r="K66"/>
  <c r="K68" s="1"/>
  <c r="V978" i="36"/>
  <c r="K1039" i="39" s="1"/>
  <c r="K1040" s="1"/>
  <c r="K695"/>
  <c r="V358" i="36"/>
  <c r="K113" i="39" s="1"/>
  <c r="K110"/>
  <c r="K112" s="1"/>
  <c r="J68"/>
  <c r="J112"/>
  <c r="S601" i="36"/>
  <c r="U365"/>
  <c r="T601"/>
  <c r="E440" i="39"/>
  <c r="U348" i="36"/>
  <c r="U601"/>
  <c r="H440" i="39" l="1"/>
  <c r="I84"/>
  <c r="K34" i="42"/>
  <c r="K696" i="39"/>
  <c r="K697" s="1"/>
  <c r="U367" i="36"/>
  <c r="J127" i="39" s="1"/>
  <c r="J123"/>
  <c r="K114"/>
  <c r="J70"/>
  <c r="U350" i="36"/>
  <c r="J83" i="39" s="1"/>
  <c r="J79"/>
  <c r="I20" i="45"/>
  <c r="K78" i="39"/>
  <c r="K70"/>
  <c r="J122"/>
  <c r="J114"/>
  <c r="I21" i="45"/>
  <c r="I128" i="39"/>
  <c r="K122"/>
  <c r="N19" i="42"/>
  <c r="J78" i="39"/>
  <c r="N18" i="42"/>
  <c r="E441" i="39"/>
  <c r="E978"/>
  <c r="V348" i="36"/>
  <c r="K18" i="42"/>
  <c r="M18" s="1"/>
  <c r="V365" i="36"/>
  <c r="K19" i="42"/>
  <c r="M19" s="1"/>
  <c r="G440" i="39"/>
  <c r="J440"/>
  <c r="I440"/>
  <c r="F441"/>
  <c r="F443" s="1"/>
  <c r="P603" i="36"/>
  <c r="J124" i="39" l="1"/>
  <c r="V1151" i="36"/>
  <c r="K123" i="39"/>
  <c r="K124" s="1"/>
  <c r="E29" i="42"/>
  <c r="E442" i="39"/>
  <c r="E443" s="1"/>
  <c r="V1150" i="36"/>
  <c r="K79" i="39"/>
  <c r="K80" s="1"/>
  <c r="J126"/>
  <c r="J82"/>
  <c r="J85" s="1"/>
  <c r="J80"/>
  <c r="O19" i="42"/>
  <c r="O18"/>
  <c r="I441" i="39"/>
  <c r="J441"/>
  <c r="V367" i="36"/>
  <c r="G441" i="39"/>
  <c r="L29" i="43"/>
  <c r="M29" s="1"/>
  <c r="V350" i="36"/>
  <c r="K83" i="39" s="1"/>
  <c r="N1212" i="36"/>
  <c r="N1213"/>
  <c r="N1211"/>
  <c r="N1197"/>
  <c r="N1196"/>
  <c r="G245" i="40"/>
  <c r="S324" i="36"/>
  <c r="T324"/>
  <c r="U324"/>
  <c r="J128" i="39" l="1"/>
  <c r="J129"/>
  <c r="K127"/>
  <c r="J21" i="45"/>
  <c r="K126" i="39"/>
  <c r="K129" s="1"/>
  <c r="J20" i="45"/>
  <c r="J84" i="39"/>
  <c r="K82"/>
  <c r="K85" s="1"/>
  <c r="F28" i="44"/>
  <c r="O29" i="43"/>
  <c r="P29" s="1"/>
  <c r="N1215" i="36"/>
  <c r="G30" i="39"/>
  <c r="S325" i="36"/>
  <c r="T325"/>
  <c r="U325"/>
  <c r="K128" i="39" l="1"/>
  <c r="K21" i="45"/>
  <c r="K20"/>
  <c r="K84" i="39"/>
  <c r="K50" i="43"/>
  <c r="K78" s="1"/>
  <c r="G992" i="39"/>
  <c r="H245" i="40"/>
  <c r="H30" i="39" s="1"/>
  <c r="H992" s="1"/>
  <c r="I245" i="40"/>
  <c r="I30" i="39" s="1"/>
  <c r="I992" s="1"/>
  <c r="J245" i="40"/>
  <c r="J30" i="39" s="1"/>
  <c r="J992" s="1"/>
  <c r="E30"/>
  <c r="E992" s="1"/>
  <c r="P695" i="36"/>
  <c r="N1205"/>
  <c r="P1205"/>
  <c r="R1205"/>
  <c r="S1205"/>
  <c r="T1205"/>
  <c r="U1205"/>
  <c r="E30" i="42" l="1"/>
  <c r="E495" i="39"/>
  <c r="E496" s="1"/>
  <c r="F494"/>
  <c r="F496" s="1"/>
  <c r="P1212" i="36"/>
  <c r="G500" i="39"/>
  <c r="D70" i="43" s="1"/>
  <c r="R209" i="36"/>
  <c r="G447" i="39" l="1"/>
  <c r="D69" i="43" s="1"/>
  <c r="E695" i="39"/>
  <c r="E697" s="1"/>
  <c r="V1212" i="36"/>
  <c r="H500" i="39"/>
  <c r="H447"/>
  <c r="V1171" i="36"/>
  <c r="R1212"/>
  <c r="R281"/>
  <c r="P368"/>
  <c r="S281" l="1"/>
  <c r="I500" i="39"/>
  <c r="G493"/>
  <c r="I447"/>
  <c r="R402" i="36"/>
  <c r="G167" i="39" s="1"/>
  <c r="P168" i="36"/>
  <c r="E113" i="40" s="1"/>
  <c r="R168" i="36"/>
  <c r="G113" i="40" s="1"/>
  <c r="G114" s="1"/>
  <c r="S168" i="36"/>
  <c r="H113" i="40" s="1"/>
  <c r="H114" s="1"/>
  <c r="T168" i="36"/>
  <c r="I113" i="40" s="1"/>
  <c r="I114" s="1"/>
  <c r="U168" i="36"/>
  <c r="J113" i="40" s="1"/>
  <c r="J114" s="1"/>
  <c r="P144" i="36"/>
  <c r="E82" i="40" s="1"/>
  <c r="E83" s="1"/>
  <c r="R144" i="36"/>
  <c r="G82" i="40" s="1"/>
  <c r="G83" s="1"/>
  <c r="S144" i="36"/>
  <c r="H82" i="40" s="1"/>
  <c r="H83" s="1"/>
  <c r="T144" i="36"/>
  <c r="I82" i="40" s="1"/>
  <c r="I83" s="1"/>
  <c r="U144" i="36"/>
  <c r="J82" i="40" s="1"/>
  <c r="J83" s="1"/>
  <c r="L30" i="43" l="1"/>
  <c r="L38" s="1"/>
  <c r="G978" i="39"/>
  <c r="G163"/>
  <c r="G166" s="1"/>
  <c r="G168" s="1"/>
  <c r="T281" i="36"/>
  <c r="S368"/>
  <c r="R368"/>
  <c r="H493" i="39"/>
  <c r="H978" s="1"/>
  <c r="J500"/>
  <c r="I493"/>
  <c r="I978" s="1"/>
  <c r="J493"/>
  <c r="J978" s="1"/>
  <c r="J447"/>
  <c r="S1212" i="36"/>
  <c r="S402"/>
  <c r="H167" i="39" s="1"/>
  <c r="T1212" i="36"/>
  <c r="J388" i="39"/>
  <c r="I388"/>
  <c r="H434"/>
  <c r="O53" i="43" l="1"/>
  <c r="H11" i="44"/>
  <c r="J11" s="1"/>
  <c r="F53" i="43"/>
  <c r="L53" s="1"/>
  <c r="H163" i="39"/>
  <c r="U281" i="36"/>
  <c r="K447" i="39"/>
  <c r="T368" i="36"/>
  <c r="R351"/>
  <c r="F170" i="39"/>
  <c r="F172" s="1"/>
  <c r="S1244" i="36"/>
  <c r="S1246" s="1"/>
  <c r="H441" i="39"/>
  <c r="T1244" i="36"/>
  <c r="I392" i="39"/>
  <c r="U1244" i="36"/>
  <c r="J392" i="39"/>
  <c r="T402" i="36"/>
  <c r="I167" i="39" s="1"/>
  <c r="S1247" i="36" l="1"/>
  <c r="J403" i="39"/>
  <c r="I403"/>
  <c r="N21" i="42"/>
  <c r="P53" i="43"/>
  <c r="H166" i="39"/>
  <c r="H168" s="1"/>
  <c r="G170"/>
  <c r="F174"/>
  <c r="F176" s="1"/>
  <c r="I163"/>
  <c r="V669" i="36"/>
  <c r="K454" i="39" s="1"/>
  <c r="K453"/>
  <c r="V762" i="36"/>
  <c r="K500" i="39"/>
  <c r="K507" s="1"/>
  <c r="V281" i="36"/>
  <c r="U368"/>
  <c r="S351"/>
  <c r="C241" i="40"/>
  <c r="C26" i="39" s="1"/>
  <c r="C985" s="1"/>
  <c r="U1212" i="36"/>
  <c r="K70" i="42" l="1"/>
  <c r="K508" i="39"/>
  <c r="K509" s="1"/>
  <c r="K457"/>
  <c r="K455"/>
  <c r="I407"/>
  <c r="H170"/>
  <c r="I166"/>
  <c r="J163"/>
  <c r="U402" i="36"/>
  <c r="J167" i="39" s="1"/>
  <c r="V671" i="36"/>
  <c r="K69" i="42"/>
  <c r="G174" i="39"/>
  <c r="D11" i="44"/>
  <c r="L11" s="1"/>
  <c r="F14" i="45"/>
  <c r="K208" i="40"/>
  <c r="K27" i="39" s="1"/>
  <c r="K986" s="1"/>
  <c r="V402" i="36"/>
  <c r="K167" i="39" s="1"/>
  <c r="V1169" i="36"/>
  <c r="V368"/>
  <c r="T351"/>
  <c r="G492" i="39"/>
  <c r="V1157" i="36" l="1"/>
  <c r="K458" i="39"/>
  <c r="K459" s="1"/>
  <c r="J407"/>
  <c r="I170"/>
  <c r="I168"/>
  <c r="H174"/>
  <c r="I30" i="43"/>
  <c r="M30" s="1"/>
  <c r="G975" i="39"/>
  <c r="J166"/>
  <c r="J168" s="1"/>
  <c r="G14" i="45"/>
  <c r="K163" i="39"/>
  <c r="U351" i="36"/>
  <c r="H492" i="39"/>
  <c r="H975" s="1"/>
  <c r="G494"/>
  <c r="P1226" i="36"/>
  <c r="K407" i="39" l="1"/>
  <c r="H14" i="45"/>
  <c r="I38" i="43"/>
  <c r="I174" i="39"/>
  <c r="F29" i="44"/>
  <c r="O30" i="43"/>
  <c r="P30" s="1"/>
  <c r="J170" i="39"/>
  <c r="K166"/>
  <c r="V404" i="36"/>
  <c r="K52" i="42"/>
  <c r="V351" i="36"/>
  <c r="V1168"/>
  <c r="I492" i="39"/>
  <c r="I975" s="1"/>
  <c r="H494"/>
  <c r="C76" i="42"/>
  <c r="M76" s="1"/>
  <c r="O76" s="1"/>
  <c r="T447" i="36"/>
  <c r="N1141"/>
  <c r="C935" i="39" s="1"/>
  <c r="C936" s="1"/>
  <c r="P1141" i="36"/>
  <c r="R1141"/>
  <c r="S1141"/>
  <c r="T1141"/>
  <c r="U1141"/>
  <c r="N1133"/>
  <c r="P1133"/>
  <c r="R1133"/>
  <c r="S1133"/>
  <c r="T1133"/>
  <c r="U1133"/>
  <c r="H17" i="42" l="1"/>
  <c r="H928" i="39"/>
  <c r="H929" s="1"/>
  <c r="J57" i="42"/>
  <c r="J935" i="39"/>
  <c r="J936" s="1"/>
  <c r="E57" i="42"/>
  <c r="E935" i="39"/>
  <c r="E936" s="1"/>
  <c r="I17" i="42"/>
  <c r="I928" i="39"/>
  <c r="I929" s="1"/>
  <c r="C17" i="42"/>
  <c r="C928" i="39"/>
  <c r="C929" s="1"/>
  <c r="G57" i="42"/>
  <c r="G935" i="39"/>
  <c r="G936" s="1"/>
  <c r="G17" i="42"/>
  <c r="G928" i="39"/>
  <c r="G929" s="1"/>
  <c r="I57" i="42"/>
  <c r="I935" i="39"/>
  <c r="I936" s="1"/>
  <c r="J17" i="42"/>
  <c r="J928" i="39"/>
  <c r="J929" s="1"/>
  <c r="E17" i="42"/>
  <c r="E928" i="39"/>
  <c r="E929" s="1"/>
  <c r="H57" i="42"/>
  <c r="H935" i="39"/>
  <c r="H936" s="1"/>
  <c r="V1152" i="36"/>
  <c r="K171" i="39"/>
  <c r="I26" i="42"/>
  <c r="I252" i="39"/>
  <c r="I253" s="1"/>
  <c r="K170"/>
  <c r="K168"/>
  <c r="I14" i="45"/>
  <c r="J174" i="39"/>
  <c r="N52" i="42"/>
  <c r="C57"/>
  <c r="D934" i="39"/>
  <c r="D936" s="1"/>
  <c r="T479" i="36"/>
  <c r="I265" i="39" s="1"/>
  <c r="I266" s="1"/>
  <c r="J492"/>
  <c r="J975" s="1"/>
  <c r="I494"/>
  <c r="N1143" i="36"/>
  <c r="U1143"/>
  <c r="P1143"/>
  <c r="R1143"/>
  <c r="S1143"/>
  <c r="T1143"/>
  <c r="P1122"/>
  <c r="G56" i="42"/>
  <c r="S1122" i="36"/>
  <c r="T1122"/>
  <c r="J56" i="42"/>
  <c r="N1110" i="36"/>
  <c r="P1110"/>
  <c r="R1110"/>
  <c r="S1110"/>
  <c r="T1110"/>
  <c r="U1110"/>
  <c r="M17" i="42" l="1"/>
  <c r="O17" s="1"/>
  <c r="M57"/>
  <c r="G16"/>
  <c r="G885" i="39"/>
  <c r="G886" s="1"/>
  <c r="I56" i="42"/>
  <c r="I892" i="39"/>
  <c r="I893" s="1"/>
  <c r="T1162" i="36"/>
  <c r="I939" i="39"/>
  <c r="I940" s="1"/>
  <c r="U1162" i="36"/>
  <c r="J939" i="39"/>
  <c r="J940" s="1"/>
  <c r="H16" i="42"/>
  <c r="H885" i="39"/>
  <c r="H886" s="1"/>
  <c r="E56" i="42"/>
  <c r="E892" i="39"/>
  <c r="E893" s="1"/>
  <c r="P1162" i="36"/>
  <c r="E939" i="39"/>
  <c r="E940" s="1"/>
  <c r="I16" i="42"/>
  <c r="I885" i="39"/>
  <c r="I886" s="1"/>
  <c r="C16" i="42"/>
  <c r="C885" i="39"/>
  <c r="C886" s="1"/>
  <c r="R1145" i="36"/>
  <c r="G943" i="39" s="1"/>
  <c r="G944" s="1"/>
  <c r="G939"/>
  <c r="G940" s="1"/>
  <c r="J16" i="42"/>
  <c r="J885" i="39"/>
  <c r="J886" s="1"/>
  <c r="E16" i="42"/>
  <c r="E885" i="39"/>
  <c r="E886" s="1"/>
  <c r="H56" i="42"/>
  <c r="H892" i="39"/>
  <c r="H893" s="1"/>
  <c r="S1162" i="36"/>
  <c r="H939" i="39"/>
  <c r="H940" s="1"/>
  <c r="N1162" i="36"/>
  <c r="C939" i="39"/>
  <c r="C940" s="1"/>
  <c r="K172"/>
  <c r="J14" i="45"/>
  <c r="K174" i="39"/>
  <c r="D938"/>
  <c r="D940" s="1"/>
  <c r="N57" i="42"/>
  <c r="T1155" i="36"/>
  <c r="R1162"/>
  <c r="J494" i="39"/>
  <c r="S1124" i="36"/>
  <c r="N1180"/>
  <c r="R1124"/>
  <c r="U1124"/>
  <c r="P1124"/>
  <c r="T1124"/>
  <c r="G55" i="42"/>
  <c r="H55"/>
  <c r="I55"/>
  <c r="J55"/>
  <c r="N1088" i="36"/>
  <c r="P1088"/>
  <c r="R1088"/>
  <c r="S1088"/>
  <c r="T1088"/>
  <c r="U1088"/>
  <c r="O57" i="42" l="1"/>
  <c r="M16"/>
  <c r="O16" s="1"/>
  <c r="S1145" i="36"/>
  <c r="H943" i="39" s="1"/>
  <c r="H944" s="1"/>
  <c r="J15" i="42"/>
  <c r="J839" i="39"/>
  <c r="J840" s="1"/>
  <c r="E15" i="42"/>
  <c r="E839" i="39"/>
  <c r="E840" s="1"/>
  <c r="U1161" i="36"/>
  <c r="J896" i="39"/>
  <c r="J897" s="1"/>
  <c r="G15" i="42"/>
  <c r="G839" i="39"/>
  <c r="G840" s="1"/>
  <c r="P1161" i="36"/>
  <c r="E896" i="39"/>
  <c r="E897" s="1"/>
  <c r="S1161" i="36"/>
  <c r="H896" i="39"/>
  <c r="H897" s="1"/>
  <c r="H15" i="42"/>
  <c r="H839" i="39"/>
  <c r="H840" s="1"/>
  <c r="T1161" i="36"/>
  <c r="I896" i="39"/>
  <c r="I897" s="1"/>
  <c r="I15" i="42"/>
  <c r="I839" i="39"/>
  <c r="I840" s="1"/>
  <c r="C15" i="42"/>
  <c r="C839" i="39"/>
  <c r="C840" s="1"/>
  <c r="R1126" i="36"/>
  <c r="G900" i="39" s="1"/>
  <c r="G901" s="1"/>
  <c r="G896"/>
  <c r="G897" s="1"/>
  <c r="K14" i="45"/>
  <c r="V695" i="36"/>
  <c r="K495" i="39" s="1"/>
  <c r="K492"/>
  <c r="R1161" i="36"/>
  <c r="N1124"/>
  <c r="C56" i="42"/>
  <c r="M56" s="1"/>
  <c r="O56" s="1"/>
  <c r="T1101" i="36"/>
  <c r="R1101"/>
  <c r="G852" i="39" s="1"/>
  <c r="G853" s="1"/>
  <c r="U1101" i="36"/>
  <c r="S1101"/>
  <c r="P1101"/>
  <c r="N1066"/>
  <c r="P1066"/>
  <c r="E1039" i="39" s="1"/>
  <c r="E1040" s="1"/>
  <c r="R1066" i="36"/>
  <c r="G1039" i="39" s="1"/>
  <c r="G1040" s="1"/>
  <c r="S1066" i="36"/>
  <c r="T1066"/>
  <c r="U1066"/>
  <c r="M15" i="42" l="1"/>
  <c r="O15" s="1"/>
  <c r="T1145" i="36"/>
  <c r="I943" i="39" s="1"/>
  <c r="I944" s="1"/>
  <c r="S1126" i="36"/>
  <c r="H900" i="39" s="1"/>
  <c r="H901" s="1"/>
  <c r="U1160" i="36"/>
  <c r="J852" i="39"/>
  <c r="J853" s="1"/>
  <c r="N1161" i="36"/>
  <c r="C896" i="39"/>
  <c r="C897" s="1"/>
  <c r="S1160" i="36"/>
  <c r="H852" i="39"/>
  <c r="H853" s="1"/>
  <c r="P1160" i="36"/>
  <c r="E852" i="39"/>
  <c r="E853" s="1"/>
  <c r="T1160" i="36"/>
  <c r="I852" i="39"/>
  <c r="I853" s="1"/>
  <c r="I36" i="42"/>
  <c r="I793" i="39"/>
  <c r="I794" s="1"/>
  <c r="C36" i="42"/>
  <c r="C793" i="39"/>
  <c r="C794" s="1"/>
  <c r="J36" i="42"/>
  <c r="J793" i="39"/>
  <c r="J794" s="1"/>
  <c r="E36" i="42"/>
  <c r="E793" i="39"/>
  <c r="E794" s="1"/>
  <c r="G36" i="42"/>
  <c r="G793" i="39"/>
  <c r="G794" s="1"/>
  <c r="H36" i="42"/>
  <c r="H793" i="39"/>
  <c r="H794" s="1"/>
  <c r="K494"/>
  <c r="K975"/>
  <c r="V764" i="36"/>
  <c r="K30" i="42"/>
  <c r="R1160" i="36"/>
  <c r="R1103"/>
  <c r="U1079"/>
  <c r="T1079"/>
  <c r="N1101"/>
  <c r="C55" i="42"/>
  <c r="M55" s="1"/>
  <c r="O55" s="1"/>
  <c r="S1079" i="36"/>
  <c r="R1079"/>
  <c r="P1079"/>
  <c r="E806" i="39" s="1"/>
  <c r="E807" s="1"/>
  <c r="N1079" i="36"/>
  <c r="T1126" l="1"/>
  <c r="I900" i="39" s="1"/>
  <c r="I901" s="1"/>
  <c r="U1145" i="36"/>
  <c r="J943" i="39" s="1"/>
  <c r="J944" s="1"/>
  <c r="N1160" i="36"/>
  <c r="C852" i="39"/>
  <c r="C853" s="1"/>
  <c r="S1103" i="36"/>
  <c r="G856" i="39"/>
  <c r="G857" s="1"/>
  <c r="M36" i="42"/>
  <c r="O36" s="1"/>
  <c r="N1206" i="36"/>
  <c r="C806" i="39"/>
  <c r="C807" s="1"/>
  <c r="S1206" i="36"/>
  <c r="H806" i="39"/>
  <c r="H807" s="1"/>
  <c r="U1206" i="36"/>
  <c r="J806" i="39"/>
  <c r="J807" s="1"/>
  <c r="R1081" i="36"/>
  <c r="G810" i="39" s="1"/>
  <c r="G811" s="1"/>
  <c r="G806"/>
  <c r="G807" s="1"/>
  <c r="T1206" i="36"/>
  <c r="I806" i="39"/>
  <c r="I807" s="1"/>
  <c r="V1158" i="36"/>
  <c r="K512" i="39"/>
  <c r="K511"/>
  <c r="K496"/>
  <c r="R1206" i="36"/>
  <c r="P1206"/>
  <c r="P1179"/>
  <c r="P1180"/>
  <c r="C703" i="39"/>
  <c r="C1046" s="1"/>
  <c r="N978" i="36"/>
  <c r="C1039" i="39" s="1"/>
  <c r="C1040" s="1"/>
  <c r="V1145" i="36" l="1"/>
  <c r="V1180" s="1"/>
  <c r="U1126"/>
  <c r="V1126" s="1"/>
  <c r="K900" i="39" s="1"/>
  <c r="K901" s="1"/>
  <c r="T1103" i="36"/>
  <c r="H856" i="39"/>
  <c r="H857" s="1"/>
  <c r="S1081" i="36"/>
  <c r="T1081" s="1"/>
  <c r="C34" i="42"/>
  <c r="C696" i="39"/>
  <c r="C697" s="1"/>
  <c r="K513"/>
  <c r="C702"/>
  <c r="C1045" s="1"/>
  <c r="C705"/>
  <c r="C1048" s="1"/>
  <c r="D718"/>
  <c r="E74" i="42"/>
  <c r="E707" i="39"/>
  <c r="G34" i="42"/>
  <c r="G695" i="39"/>
  <c r="G697" s="1"/>
  <c r="S978" i="36"/>
  <c r="H1039" i="39" s="1"/>
  <c r="H1040" s="1"/>
  <c r="H695"/>
  <c r="T978" i="36"/>
  <c r="I1039" i="39" s="1"/>
  <c r="I1040" s="1"/>
  <c r="I695"/>
  <c r="U978" i="36"/>
  <c r="J1039" i="39" s="1"/>
  <c r="J1040" s="1"/>
  <c r="J695"/>
  <c r="D695"/>
  <c r="D697" s="1"/>
  <c r="R1179" i="36"/>
  <c r="P1178"/>
  <c r="S1180"/>
  <c r="R1180"/>
  <c r="N1029"/>
  <c r="C1052" i="39" s="1"/>
  <c r="K943" l="1"/>
  <c r="K944" s="1"/>
  <c r="J900"/>
  <c r="J901" s="1"/>
  <c r="H810"/>
  <c r="H811" s="1"/>
  <c r="U1103" i="36"/>
  <c r="I856" i="39"/>
  <c r="I857" s="1"/>
  <c r="J34" i="42"/>
  <c r="J696" i="39"/>
  <c r="J697" s="1"/>
  <c r="H34" i="42"/>
  <c r="H696" i="39"/>
  <c r="H697" s="1"/>
  <c r="C74" i="42"/>
  <c r="C708" i="39"/>
  <c r="I34" i="42"/>
  <c r="I696" i="39"/>
  <c r="I697" s="1"/>
  <c r="U1081" i="36"/>
  <c r="I810" i="39"/>
  <c r="I811" s="1"/>
  <c r="E711"/>
  <c r="E709"/>
  <c r="F33" i="44"/>
  <c r="O34" i="43"/>
  <c r="C1051" i="39"/>
  <c r="C1053" s="1"/>
  <c r="R1213" i="36"/>
  <c r="P1213"/>
  <c r="C707" i="39"/>
  <c r="D711"/>
  <c r="D713" s="1"/>
  <c r="F695"/>
  <c r="M34" i="43"/>
  <c r="P1031" i="36"/>
  <c r="E1056" i="39" s="1"/>
  <c r="E1057" s="1"/>
  <c r="E718"/>
  <c r="S1179" i="36"/>
  <c r="R1178"/>
  <c r="T1180"/>
  <c r="N1031"/>
  <c r="S1213"/>
  <c r="V1103" l="1"/>
  <c r="K856" i="39" s="1"/>
  <c r="K857" s="1"/>
  <c r="J856"/>
  <c r="J857" s="1"/>
  <c r="C712"/>
  <c r="C1056"/>
  <c r="M34" i="42"/>
  <c r="C709" i="39"/>
  <c r="E712"/>
  <c r="E713" s="1"/>
  <c r="V1081" i="36"/>
  <c r="J810" i="39"/>
  <c r="J811" s="1"/>
  <c r="E44" i="45"/>
  <c r="N34" i="42"/>
  <c r="F697" i="39"/>
  <c r="P34" i="43"/>
  <c r="C711" i="39"/>
  <c r="C1062"/>
  <c r="C1055"/>
  <c r="N1204" i="36"/>
  <c r="N1208" s="1"/>
  <c r="R1029"/>
  <c r="G702" i="39"/>
  <c r="G1045" s="1"/>
  <c r="G1051" s="1"/>
  <c r="C718"/>
  <c r="P1204" i="36"/>
  <c r="P1208" s="1"/>
  <c r="F707" i="39"/>
  <c r="F709" s="1"/>
  <c r="T1179" i="36"/>
  <c r="S1178"/>
  <c r="U1180"/>
  <c r="T1213"/>
  <c r="N1034"/>
  <c r="C713" i="39" l="1"/>
  <c r="C1057"/>
  <c r="G708"/>
  <c r="G1052"/>
  <c r="G1053" s="1"/>
  <c r="G1055"/>
  <c r="O34" i="42"/>
  <c r="K810" i="39"/>
  <c r="K811" s="1"/>
  <c r="V1213" i="36"/>
  <c r="R1031"/>
  <c r="G1056" i="39" s="1"/>
  <c r="G74" i="42"/>
  <c r="G707" i="39"/>
  <c r="E74" i="43"/>
  <c r="L74" s="1"/>
  <c r="S1029" i="36"/>
  <c r="H702" i="39"/>
  <c r="U1179" i="36"/>
  <c r="F711" i="39"/>
  <c r="T1178" i="36"/>
  <c r="P1211"/>
  <c r="P1215" s="1"/>
  <c r="G709" i="39" l="1"/>
  <c r="H708"/>
  <c r="H1052"/>
  <c r="G1059"/>
  <c r="G1057"/>
  <c r="R1204" i="36"/>
  <c r="R1208" s="1"/>
  <c r="G712" i="39"/>
  <c r="F715"/>
  <c r="F717" s="1"/>
  <c r="F713"/>
  <c r="G711"/>
  <c r="O74" i="43"/>
  <c r="P74" s="1"/>
  <c r="H707" i="39"/>
  <c r="H1045"/>
  <c r="H1051" s="1"/>
  <c r="R1033" i="36"/>
  <c r="H33" i="44"/>
  <c r="J33" s="1"/>
  <c r="S1031" i="36"/>
  <c r="H1056" i="39" s="1"/>
  <c r="H74" i="42"/>
  <c r="T1029" i="36"/>
  <c r="I702" i="39"/>
  <c r="U1178" i="36"/>
  <c r="V1178"/>
  <c r="V1179"/>
  <c r="U1213"/>
  <c r="P1034"/>
  <c r="G716" i="39" l="1"/>
  <c r="G1060"/>
  <c r="G1061" s="1"/>
  <c r="I708"/>
  <c r="I1052"/>
  <c r="F44" i="45"/>
  <c r="G1062" i="39"/>
  <c r="H1055"/>
  <c r="H1053"/>
  <c r="F718"/>
  <c r="D33" i="44"/>
  <c r="L33" s="1"/>
  <c r="S1204" i="36"/>
  <c r="S1208" s="1"/>
  <c r="H712" i="39"/>
  <c r="H711"/>
  <c r="H709"/>
  <c r="G715"/>
  <c r="G713"/>
  <c r="I707"/>
  <c r="I1045"/>
  <c r="I1051" s="1"/>
  <c r="R1211" i="36"/>
  <c r="R1215" s="1"/>
  <c r="S1033"/>
  <c r="T1031"/>
  <c r="I1056" i="39" s="1"/>
  <c r="I74" i="42"/>
  <c r="U1029" i="36"/>
  <c r="J702" i="39"/>
  <c r="R1034" i="36"/>
  <c r="P943"/>
  <c r="N933"/>
  <c r="E649" i="39"/>
  <c r="E1100" s="1"/>
  <c r="N926" i="36"/>
  <c r="C31" i="42"/>
  <c r="E639" i="39"/>
  <c r="G717" l="1"/>
  <c r="J708"/>
  <c r="J1052"/>
  <c r="H716"/>
  <c r="H1060"/>
  <c r="H1059"/>
  <c r="H1057"/>
  <c r="I1055"/>
  <c r="I1053"/>
  <c r="I712"/>
  <c r="H713"/>
  <c r="I711"/>
  <c r="I709"/>
  <c r="G44" i="45"/>
  <c r="H715" i="39"/>
  <c r="H718" s="1"/>
  <c r="G718"/>
  <c r="E642"/>
  <c r="E1088"/>
  <c r="J707"/>
  <c r="J1045"/>
  <c r="J1051" s="1"/>
  <c r="N947" i="36"/>
  <c r="T1204"/>
  <c r="T1208" s="1"/>
  <c r="T1033"/>
  <c r="S1211"/>
  <c r="S1215" s="1"/>
  <c r="U1031"/>
  <c r="J1056" i="39" s="1"/>
  <c r="J74" i="42"/>
  <c r="E650" i="39"/>
  <c r="E651" s="1"/>
  <c r="V1029" i="36"/>
  <c r="K702" i="39"/>
  <c r="C650"/>
  <c r="C1101" s="1"/>
  <c r="U912" i="36"/>
  <c r="G651" i="39"/>
  <c r="T912" i="36"/>
  <c r="C649" i="39"/>
  <c r="J651"/>
  <c r="P912" i="36"/>
  <c r="R912"/>
  <c r="F30" i="44"/>
  <c r="S947" i="36"/>
  <c r="S1034"/>
  <c r="P947"/>
  <c r="U947"/>
  <c r="R947"/>
  <c r="T947"/>
  <c r="U884"/>
  <c r="T884"/>
  <c r="S884"/>
  <c r="R884"/>
  <c r="P884"/>
  <c r="P882"/>
  <c r="U845"/>
  <c r="T845"/>
  <c r="S845"/>
  <c r="R845"/>
  <c r="U844"/>
  <c r="T844"/>
  <c r="S844"/>
  <c r="R844"/>
  <c r="C592" i="39"/>
  <c r="C1092" s="1"/>
  <c r="E591"/>
  <c r="J709" l="1"/>
  <c r="I716"/>
  <c r="I1060"/>
  <c r="K708"/>
  <c r="K1052"/>
  <c r="I713"/>
  <c r="H1061"/>
  <c r="H1062"/>
  <c r="J1055"/>
  <c r="J1053"/>
  <c r="I1059"/>
  <c r="I1057"/>
  <c r="U1204" i="36"/>
  <c r="U1208" s="1"/>
  <c r="J712" i="39"/>
  <c r="H44" i="45"/>
  <c r="H717" i="39"/>
  <c r="I715"/>
  <c r="J31" i="42"/>
  <c r="J643" i="39"/>
  <c r="J644" s="1"/>
  <c r="E31" i="42"/>
  <c r="E643" i="39"/>
  <c r="E644" s="1"/>
  <c r="G31" i="42"/>
  <c r="G643" i="39"/>
  <c r="G644" s="1"/>
  <c r="I31" i="42"/>
  <c r="I643" i="39"/>
  <c r="I644" s="1"/>
  <c r="E71" i="42"/>
  <c r="E652" i="39"/>
  <c r="E653" s="1"/>
  <c r="C71" i="42"/>
  <c r="C652" i="39"/>
  <c r="G71" i="42"/>
  <c r="G652" i="39"/>
  <c r="G653" s="1"/>
  <c r="H71" i="42"/>
  <c r="H652" i="39"/>
  <c r="I71" i="42"/>
  <c r="I652" i="39"/>
  <c r="J71" i="42"/>
  <c r="J652" i="39"/>
  <c r="J653" s="1"/>
  <c r="N31" i="42"/>
  <c r="J711" i="39"/>
  <c r="H30" i="44"/>
  <c r="O71" i="43"/>
  <c r="C1100" i="39"/>
  <c r="C1105" s="1"/>
  <c r="E593"/>
  <c r="E1091"/>
  <c r="E1093" s="1"/>
  <c r="K707"/>
  <c r="K1045"/>
  <c r="K1051" s="1"/>
  <c r="S889" i="36"/>
  <c r="P889"/>
  <c r="U889"/>
  <c r="R889"/>
  <c r="T889"/>
  <c r="T1211"/>
  <c r="T1215" s="1"/>
  <c r="U1033"/>
  <c r="J601" i="39"/>
  <c r="V1031" i="36"/>
  <c r="K1056" i="39" s="1"/>
  <c r="K74" i="42"/>
  <c r="M74" s="1"/>
  <c r="E601" i="39"/>
  <c r="H601"/>
  <c r="I601"/>
  <c r="G601"/>
  <c r="G1101" s="1"/>
  <c r="G1105" s="1"/>
  <c r="E54" i="43"/>
  <c r="H591" i="39"/>
  <c r="G591"/>
  <c r="G1091" s="1"/>
  <c r="G1093" s="1"/>
  <c r="J591"/>
  <c r="I591"/>
  <c r="U823" i="36"/>
  <c r="J1094" i="39" s="1"/>
  <c r="P849" i="36"/>
  <c r="L71" i="43"/>
  <c r="T849" i="36"/>
  <c r="S849"/>
  <c r="R849"/>
  <c r="N849"/>
  <c r="U849"/>
  <c r="C651" i="39"/>
  <c r="H651"/>
  <c r="D651"/>
  <c r="F651"/>
  <c r="F653" s="1"/>
  <c r="C591"/>
  <c r="E655"/>
  <c r="M31" i="43"/>
  <c r="P31" s="1"/>
  <c r="I651" i="39"/>
  <c r="F593"/>
  <c r="F595" s="1"/>
  <c r="G655"/>
  <c r="R949" i="36"/>
  <c r="S949"/>
  <c r="U949"/>
  <c r="T949"/>
  <c r="D593" i="39"/>
  <c r="D595" s="1"/>
  <c r="P949" i="36"/>
  <c r="J655" i="39"/>
  <c r="N949" i="36"/>
  <c r="T1034"/>
  <c r="N952"/>
  <c r="R823"/>
  <c r="G1094" i="39" s="1"/>
  <c r="T823" i="36"/>
  <c r="I1094" i="39" s="1"/>
  <c r="P823" i="36"/>
  <c r="E1094" i="39" s="1"/>
  <c r="N823" i="36"/>
  <c r="C1094" i="39" s="1"/>
  <c r="S823" i="36"/>
  <c r="H1094" i="39" s="1"/>
  <c r="J716" l="1"/>
  <c r="J1060"/>
  <c r="G1095"/>
  <c r="E1095"/>
  <c r="C1116"/>
  <c r="I1061"/>
  <c r="I1062"/>
  <c r="K1055"/>
  <c r="K1053"/>
  <c r="J1059"/>
  <c r="J1057"/>
  <c r="V1204" i="36"/>
  <c r="V1208" s="1"/>
  <c r="K712" i="39"/>
  <c r="J715"/>
  <c r="J713"/>
  <c r="I44" i="45"/>
  <c r="I717" i="39"/>
  <c r="K711"/>
  <c r="K709"/>
  <c r="I718"/>
  <c r="M31" i="42"/>
  <c r="O31" s="1"/>
  <c r="C13"/>
  <c r="C594" i="39"/>
  <c r="H13" i="42"/>
  <c r="H594" i="39"/>
  <c r="G13" i="42"/>
  <c r="G594" i="39"/>
  <c r="J13" i="42"/>
  <c r="J594" i="39"/>
  <c r="I13" i="42"/>
  <c r="I594" i="39"/>
  <c r="C653"/>
  <c r="E13" i="42"/>
  <c r="E594" i="39"/>
  <c r="E595" s="1"/>
  <c r="M71" i="42"/>
  <c r="T1190" i="36"/>
  <c r="I656" i="39"/>
  <c r="U1190" i="36"/>
  <c r="J656" i="39"/>
  <c r="J657" s="1"/>
  <c r="N1190" i="36"/>
  <c r="C656" i="39"/>
  <c r="R951" i="36"/>
  <c r="G660" i="39" s="1"/>
  <c r="G656"/>
  <c r="G657" s="1"/>
  <c r="P1190" i="36"/>
  <c r="E656" i="39"/>
  <c r="E657" s="1"/>
  <c r="S1190" i="36"/>
  <c r="H656" i="39"/>
  <c r="H655"/>
  <c r="H653"/>
  <c r="I655"/>
  <c r="I653"/>
  <c r="E39" i="45"/>
  <c r="D662" i="39"/>
  <c r="D653"/>
  <c r="P71" i="43"/>
  <c r="C655" i="39"/>
  <c r="N71" i="42"/>
  <c r="N74"/>
  <c r="O74" s="1"/>
  <c r="G1109" i="39"/>
  <c r="E603"/>
  <c r="E1101"/>
  <c r="E1105" s="1"/>
  <c r="H603"/>
  <c r="H1101"/>
  <c r="H1105" s="1"/>
  <c r="J603"/>
  <c r="J1101"/>
  <c r="J1105" s="1"/>
  <c r="I603"/>
  <c r="I1101"/>
  <c r="I1105" s="1"/>
  <c r="H593"/>
  <c r="H1091"/>
  <c r="H1093" s="1"/>
  <c r="H1095" s="1"/>
  <c r="C593"/>
  <c r="C1091"/>
  <c r="C1093" s="1"/>
  <c r="I593"/>
  <c r="I1091"/>
  <c r="I1093" s="1"/>
  <c r="I1095" s="1"/>
  <c r="J593"/>
  <c r="J1091"/>
  <c r="J1093" s="1"/>
  <c r="J1095" s="1"/>
  <c r="F54" i="43"/>
  <c r="L54" s="1"/>
  <c r="G603" i="39"/>
  <c r="G593"/>
  <c r="J14" i="43"/>
  <c r="M14" s="1"/>
  <c r="V1033" i="36"/>
  <c r="E662" i="39"/>
  <c r="R1190" i="36"/>
  <c r="P891"/>
  <c r="C662" i="39"/>
  <c r="D614"/>
  <c r="C614"/>
  <c r="D655"/>
  <c r="D657" s="1"/>
  <c r="N891" i="36"/>
  <c r="C1106" i="39" s="1"/>
  <c r="C1107" s="1"/>
  <c r="F655"/>
  <c r="F657" s="1"/>
  <c r="J30" i="44"/>
  <c r="U1034" i="36"/>
  <c r="U1211"/>
  <c r="U1215" s="1"/>
  <c r="U891"/>
  <c r="S891"/>
  <c r="T891"/>
  <c r="R891"/>
  <c r="C54" i="42"/>
  <c r="M54" s="1"/>
  <c r="O54" s="1"/>
  <c r="P786" i="36"/>
  <c r="S786"/>
  <c r="T786"/>
  <c r="U786"/>
  <c r="J604" i="39" l="1"/>
  <c r="J605" s="1"/>
  <c r="J1106"/>
  <c r="J1107" s="1"/>
  <c r="I604"/>
  <c r="I605" s="1"/>
  <c r="I1106"/>
  <c r="I1107" s="1"/>
  <c r="E604"/>
  <c r="E605" s="1"/>
  <c r="E1106"/>
  <c r="E1107" s="1"/>
  <c r="K716"/>
  <c r="K1060"/>
  <c r="H604"/>
  <c r="H605" s="1"/>
  <c r="H1106"/>
  <c r="H1107" s="1"/>
  <c r="G604"/>
  <c r="G605" s="1"/>
  <c r="G1106"/>
  <c r="G1107" s="1"/>
  <c r="C657"/>
  <c r="J595"/>
  <c r="E1116"/>
  <c r="K1059"/>
  <c r="K1057"/>
  <c r="J1061"/>
  <c r="J1062"/>
  <c r="C1109"/>
  <c r="C1095"/>
  <c r="G1113"/>
  <c r="K715"/>
  <c r="K718" s="1"/>
  <c r="K713"/>
  <c r="J44" i="45"/>
  <c r="J717" i="39"/>
  <c r="J718"/>
  <c r="I657"/>
  <c r="H595"/>
  <c r="S951" i="36"/>
  <c r="H660" i="39" s="1"/>
  <c r="G595"/>
  <c r="M13" i="42"/>
  <c r="H14"/>
  <c r="H546" i="39"/>
  <c r="H547" s="1"/>
  <c r="I595"/>
  <c r="I14" i="42"/>
  <c r="I546" i="39"/>
  <c r="I547" s="1"/>
  <c r="C53" i="42"/>
  <c r="C604" i="39"/>
  <c r="C605" s="1"/>
  <c r="J14" i="42"/>
  <c r="J546" i="39"/>
  <c r="J547" s="1"/>
  <c r="E14" i="42"/>
  <c r="E546" i="39"/>
  <c r="E547" s="1"/>
  <c r="C595"/>
  <c r="O71" i="42"/>
  <c r="H657" i="39"/>
  <c r="O54" i="43"/>
  <c r="P54" s="1"/>
  <c r="E607" i="39"/>
  <c r="N53" i="42"/>
  <c r="F12" i="44"/>
  <c r="O14" i="43"/>
  <c r="P14" s="1"/>
  <c r="N13" i="42"/>
  <c r="J607" i="39"/>
  <c r="I607"/>
  <c r="H607"/>
  <c r="I1109"/>
  <c r="J1109"/>
  <c r="H1109"/>
  <c r="E1109"/>
  <c r="J53" i="42"/>
  <c r="H53"/>
  <c r="I53"/>
  <c r="G53"/>
  <c r="V1034" i="36"/>
  <c r="V1211"/>
  <c r="V1215" s="1"/>
  <c r="P893"/>
  <c r="E53" i="42"/>
  <c r="J38" i="43"/>
  <c r="F659" i="39"/>
  <c r="G607"/>
  <c r="H12" i="44"/>
  <c r="E614" i="39"/>
  <c r="D607"/>
  <c r="D609" s="1"/>
  <c r="C607"/>
  <c r="N893" i="36"/>
  <c r="F607" i="39"/>
  <c r="F609" s="1"/>
  <c r="R893" i="36"/>
  <c r="T893"/>
  <c r="S893"/>
  <c r="U893"/>
  <c r="P1197"/>
  <c r="N896"/>
  <c r="N786"/>
  <c r="C546" i="39" s="1"/>
  <c r="C547" s="1"/>
  <c r="U802" i="36"/>
  <c r="J557" i="39" s="1"/>
  <c r="J558" s="1"/>
  <c r="S802" i="36"/>
  <c r="H557" i="39" s="1"/>
  <c r="H558" s="1"/>
  <c r="P802" i="36"/>
  <c r="E557" i="39" s="1"/>
  <c r="E558" s="1"/>
  <c r="T802" i="36"/>
  <c r="I557" i="39" s="1"/>
  <c r="I558" s="1"/>
  <c r="R802" i="36"/>
  <c r="G557" i="39" s="1"/>
  <c r="G558" s="1"/>
  <c r="U726" i="36"/>
  <c r="T726"/>
  <c r="S726"/>
  <c r="R726"/>
  <c r="U724"/>
  <c r="T724"/>
  <c r="S724"/>
  <c r="R724"/>
  <c r="C492" i="39"/>
  <c r="C975" s="1"/>
  <c r="C491"/>
  <c r="T951" i="36" l="1"/>
  <c r="I660" i="39" s="1"/>
  <c r="C608"/>
  <c r="C609" s="1"/>
  <c r="C1110"/>
  <c r="C1111" s="1"/>
  <c r="J608"/>
  <c r="J609" s="1"/>
  <c r="J1110"/>
  <c r="J1111" s="1"/>
  <c r="I608"/>
  <c r="I609" s="1"/>
  <c r="I1110"/>
  <c r="I1111" s="1"/>
  <c r="E608"/>
  <c r="E609" s="1"/>
  <c r="E1110"/>
  <c r="E1111" s="1"/>
  <c r="H608"/>
  <c r="H609" s="1"/>
  <c r="H1110"/>
  <c r="H1111" s="1"/>
  <c r="G608"/>
  <c r="G609" s="1"/>
  <c r="G1110"/>
  <c r="G1111" s="1"/>
  <c r="K717"/>
  <c r="G1116"/>
  <c r="H1113"/>
  <c r="K1062"/>
  <c r="K1061"/>
  <c r="K44" i="45"/>
  <c r="O13" i="42"/>
  <c r="U951" i="36"/>
  <c r="F662" i="39"/>
  <c r="F661"/>
  <c r="E15" i="45"/>
  <c r="M53" i="42"/>
  <c r="O53" s="1"/>
  <c r="J12" i="44"/>
  <c r="U1189" i="36"/>
  <c r="P1189"/>
  <c r="N1189"/>
  <c r="R895"/>
  <c r="G1114" i="39" s="1"/>
  <c r="G1115" s="1"/>
  <c r="S1189" i="36"/>
  <c r="T1189"/>
  <c r="R804"/>
  <c r="F39" i="45"/>
  <c r="F611" i="39"/>
  <c r="G659"/>
  <c r="G662" s="1"/>
  <c r="D30" i="44"/>
  <c r="L30" s="1"/>
  <c r="J502" i="39"/>
  <c r="J507" s="1"/>
  <c r="I502"/>
  <c r="I507" s="1"/>
  <c r="P762" i="36"/>
  <c r="E508" i="39" s="1"/>
  <c r="E502"/>
  <c r="E507" s="1"/>
  <c r="H502"/>
  <c r="H507" s="1"/>
  <c r="G502"/>
  <c r="C502"/>
  <c r="R1189" i="36"/>
  <c r="D507" i="39"/>
  <c r="N802" i="36"/>
  <c r="C14" i="42"/>
  <c r="M14" s="1"/>
  <c r="O14" s="1"/>
  <c r="C505" i="39"/>
  <c r="C494"/>
  <c r="D494"/>
  <c r="D496" s="1"/>
  <c r="T1159" i="36"/>
  <c r="P1159"/>
  <c r="U1159"/>
  <c r="R1159"/>
  <c r="S1159"/>
  <c r="N1199"/>
  <c r="R762"/>
  <c r="R1197"/>
  <c r="P952"/>
  <c r="N1177"/>
  <c r="N695"/>
  <c r="N762"/>
  <c r="T762"/>
  <c r="U762"/>
  <c r="S762"/>
  <c r="S695"/>
  <c r="R695"/>
  <c r="T695"/>
  <c r="I1113" i="39" l="1"/>
  <c r="I1116" s="1"/>
  <c r="H1116"/>
  <c r="G30" i="42"/>
  <c r="G495" i="39"/>
  <c r="G496" s="1"/>
  <c r="I30" i="42"/>
  <c r="I495" i="39"/>
  <c r="I496" s="1"/>
  <c r="C30" i="42"/>
  <c r="C495" i="39"/>
  <c r="C496" s="1"/>
  <c r="H30" i="42"/>
  <c r="H495" i="39"/>
  <c r="H496" s="1"/>
  <c r="C70" i="42"/>
  <c r="C508" i="39"/>
  <c r="N1159" i="36"/>
  <c r="C557" i="39"/>
  <c r="C558" s="1"/>
  <c r="S804" i="36"/>
  <c r="G561" i="39"/>
  <c r="G562" s="1"/>
  <c r="V951" i="36"/>
  <c r="J660" i="39"/>
  <c r="G612"/>
  <c r="J70" i="42"/>
  <c r="J508" i="39"/>
  <c r="J509" s="1"/>
  <c r="I70" i="42"/>
  <c r="I508" i="39"/>
  <c r="I509" s="1"/>
  <c r="H70" i="42"/>
  <c r="H508" i="39"/>
  <c r="H509" s="1"/>
  <c r="G70" i="42"/>
  <c r="G508" i="39"/>
  <c r="G661"/>
  <c r="I511"/>
  <c r="D518"/>
  <c r="D509"/>
  <c r="H511"/>
  <c r="J511"/>
  <c r="F15" i="45"/>
  <c r="F613" i="39"/>
  <c r="E511"/>
  <c r="E509"/>
  <c r="N30" i="42"/>
  <c r="S895" i="36"/>
  <c r="P764"/>
  <c r="E512" i="39" s="1"/>
  <c r="E70" i="42"/>
  <c r="G507" i="39"/>
  <c r="F70" i="43"/>
  <c r="L70" s="1"/>
  <c r="F614" i="39"/>
  <c r="D12" i="44"/>
  <c r="L12" s="1"/>
  <c r="G611" i="39"/>
  <c r="H659"/>
  <c r="H661" s="1"/>
  <c r="G39" i="45"/>
  <c r="C507" i="39"/>
  <c r="R764" i="36"/>
  <c r="F507" i="39"/>
  <c r="E518"/>
  <c r="D511"/>
  <c r="D513" s="1"/>
  <c r="P1196" i="36"/>
  <c r="S1197"/>
  <c r="N764"/>
  <c r="C512" i="39" s="1"/>
  <c r="P896" i="36"/>
  <c r="T764"/>
  <c r="S764"/>
  <c r="U695"/>
  <c r="H612" i="39" l="1"/>
  <c r="H1114"/>
  <c r="H1115" s="1"/>
  <c r="J1113"/>
  <c r="J1116" s="1"/>
  <c r="J30" i="42"/>
  <c r="M30" s="1"/>
  <c r="O30" s="1"/>
  <c r="J495" i="39"/>
  <c r="J496" s="1"/>
  <c r="T804" i="36"/>
  <c r="H561" i="39"/>
  <c r="H562" s="1"/>
  <c r="C509"/>
  <c r="K660"/>
  <c r="V1197" i="36"/>
  <c r="S1158"/>
  <c r="H512" i="39"/>
  <c r="H513" s="1"/>
  <c r="T1158" i="36"/>
  <c r="I512" i="39"/>
  <c r="I513" s="1"/>
  <c r="R766" i="36"/>
  <c r="G516" i="39" s="1"/>
  <c r="G512"/>
  <c r="M70" i="42"/>
  <c r="G509" i="39"/>
  <c r="F511"/>
  <c r="F509"/>
  <c r="G614"/>
  <c r="G613"/>
  <c r="E38" i="45"/>
  <c r="E513" i="39"/>
  <c r="C518"/>
  <c r="N70" i="42"/>
  <c r="G511" i="39"/>
  <c r="O70" i="43"/>
  <c r="P70" s="1"/>
  <c r="T895" i="36"/>
  <c r="H29" i="44"/>
  <c r="J29" s="1"/>
  <c r="H611" i="39"/>
  <c r="G15" i="45"/>
  <c r="I659" i="39"/>
  <c r="I661" s="1"/>
  <c r="H39" i="45"/>
  <c r="C511" i="39"/>
  <c r="C513" s="1"/>
  <c r="R1158" i="36"/>
  <c r="P1158"/>
  <c r="U764"/>
  <c r="R1196"/>
  <c r="P1177"/>
  <c r="N1158"/>
  <c r="N1176"/>
  <c r="T1197"/>
  <c r="S1196"/>
  <c r="R896"/>
  <c r="R603"/>
  <c r="C452" i="39"/>
  <c r="U643" i="36"/>
  <c r="T643"/>
  <c r="S643"/>
  <c r="U642"/>
  <c r="T642"/>
  <c r="S642"/>
  <c r="R642"/>
  <c r="U639"/>
  <c r="T639"/>
  <c r="S639"/>
  <c r="R639"/>
  <c r="P633"/>
  <c r="E448" i="39" s="1"/>
  <c r="U627" i="36"/>
  <c r="T627"/>
  <c r="S627"/>
  <c r="R627"/>
  <c r="U623"/>
  <c r="T623"/>
  <c r="S623"/>
  <c r="R623"/>
  <c r="U603"/>
  <c r="T603"/>
  <c r="S603"/>
  <c r="C437" i="39"/>
  <c r="C974" s="1"/>
  <c r="K1113" l="1"/>
  <c r="K1116" s="1"/>
  <c r="I612"/>
  <c r="I1114"/>
  <c r="I1115" s="1"/>
  <c r="G449"/>
  <c r="F69" i="43" s="1"/>
  <c r="S766" i="36"/>
  <c r="H516" i="39" s="1"/>
  <c r="H29" i="42"/>
  <c r="H442" i="39"/>
  <c r="H443" s="1"/>
  <c r="J29" i="42"/>
  <c r="J442" i="39"/>
  <c r="J443" s="1"/>
  <c r="U804" i="36"/>
  <c r="I561" i="39"/>
  <c r="I562" s="1"/>
  <c r="J449"/>
  <c r="H449"/>
  <c r="I29" i="42"/>
  <c r="I442" i="39"/>
  <c r="I443" s="1"/>
  <c r="G29" i="42"/>
  <c r="G442" i="39"/>
  <c r="G443" s="1"/>
  <c r="U1158" i="36"/>
  <c r="J512" i="39"/>
  <c r="J513" s="1"/>
  <c r="O70" i="42"/>
  <c r="H614" i="39"/>
  <c r="H613"/>
  <c r="F515"/>
  <c r="F513"/>
  <c r="G513"/>
  <c r="I449"/>
  <c r="U895" i="36"/>
  <c r="J1114" i="39" s="1"/>
  <c r="J1115" s="1"/>
  <c r="H448"/>
  <c r="G448"/>
  <c r="E69" i="43" s="1"/>
  <c r="J448" i="39"/>
  <c r="I448"/>
  <c r="I611"/>
  <c r="H15" i="45"/>
  <c r="J659" i="39"/>
  <c r="J661" s="1"/>
  <c r="I39" i="45"/>
  <c r="C453" i="39"/>
  <c r="C441"/>
  <c r="S669" i="36"/>
  <c r="R1177"/>
  <c r="T1196"/>
  <c r="S896"/>
  <c r="N767"/>
  <c r="P669"/>
  <c r="N603"/>
  <c r="T669"/>
  <c r="R669"/>
  <c r="N669"/>
  <c r="U669"/>
  <c r="R577"/>
  <c r="S577"/>
  <c r="T577"/>
  <c r="U577"/>
  <c r="N564"/>
  <c r="R564"/>
  <c r="S564"/>
  <c r="T564"/>
  <c r="U564"/>
  <c r="T766" l="1"/>
  <c r="I516" i="39" s="1"/>
  <c r="V804" i="36"/>
  <c r="J561" i="39"/>
  <c r="J562" s="1"/>
  <c r="J21" i="42"/>
  <c r="J393" i="39"/>
  <c r="J394" s="1"/>
  <c r="C21" i="42"/>
  <c r="C393" i="39"/>
  <c r="C394" s="1"/>
  <c r="G61" i="42"/>
  <c r="G400" i="39"/>
  <c r="G401" s="1"/>
  <c r="G21" i="42"/>
  <c r="G393" i="39"/>
  <c r="G394" s="1"/>
  <c r="H61" i="42"/>
  <c r="H400" i="39"/>
  <c r="H401" s="1"/>
  <c r="I21" i="42"/>
  <c r="I393" i="39"/>
  <c r="I394" s="1"/>
  <c r="J61" i="42"/>
  <c r="J400" i="39"/>
  <c r="J401" s="1"/>
  <c r="C29" i="42"/>
  <c r="M29" s="1"/>
  <c r="C442" i="39"/>
  <c r="C443" s="1"/>
  <c r="H21" i="42"/>
  <c r="H393" i="39"/>
  <c r="H394" s="1"/>
  <c r="I61" i="42"/>
  <c r="I400" i="39"/>
  <c r="I401" s="1"/>
  <c r="C69" i="42"/>
  <c r="C454" i="39"/>
  <c r="C455" s="1"/>
  <c r="E69" i="42"/>
  <c r="E454" i="39"/>
  <c r="J612"/>
  <c r="J69" i="42"/>
  <c r="J454" i="39"/>
  <c r="I69" i="42"/>
  <c r="I454" i="39"/>
  <c r="H69" i="42"/>
  <c r="H454" i="39"/>
  <c r="G69" i="42"/>
  <c r="G454" i="39"/>
  <c r="F517"/>
  <c r="F38" i="45"/>
  <c r="D29" i="44"/>
  <c r="L29" s="1"/>
  <c r="F518" i="39"/>
  <c r="N29" i="42"/>
  <c r="I614" i="39"/>
  <c r="I613"/>
  <c r="G515"/>
  <c r="C464"/>
  <c r="V895" i="36"/>
  <c r="K1114" i="39" s="1"/>
  <c r="K1115" s="1"/>
  <c r="J611"/>
  <c r="I15" i="45"/>
  <c r="K659" i="39"/>
  <c r="J39" i="45"/>
  <c r="G453" i="39"/>
  <c r="D453"/>
  <c r="E453"/>
  <c r="H453"/>
  <c r="J453"/>
  <c r="F453"/>
  <c r="F455" s="1"/>
  <c r="L69" i="43"/>
  <c r="S671" i="36"/>
  <c r="U671"/>
  <c r="I453" i="39"/>
  <c r="R671" i="36"/>
  <c r="T671"/>
  <c r="P671"/>
  <c r="E458" i="39" s="1"/>
  <c r="E399"/>
  <c r="C398"/>
  <c r="C457"/>
  <c r="S1177" i="36"/>
  <c r="U1197"/>
  <c r="N671"/>
  <c r="T896"/>
  <c r="T1177"/>
  <c r="P1176"/>
  <c r="U579"/>
  <c r="T579"/>
  <c r="S579"/>
  <c r="R579"/>
  <c r="P579"/>
  <c r="E404" i="39" s="1"/>
  <c r="N577" i="36"/>
  <c r="C66" i="42"/>
  <c r="M66" s="1"/>
  <c r="O66" s="1"/>
  <c r="N447" i="36"/>
  <c r="S447"/>
  <c r="U447"/>
  <c r="R447"/>
  <c r="G252" i="39" s="1"/>
  <c r="G253" s="1"/>
  <c r="U766" i="36" l="1"/>
  <c r="V766" s="1"/>
  <c r="M21" i="42"/>
  <c r="O21" s="1"/>
  <c r="K561" i="39"/>
  <c r="K562" s="1"/>
  <c r="V1177" i="36"/>
  <c r="R581"/>
  <c r="G408" i="39" s="1"/>
  <c r="G409" s="1"/>
  <c r="G404"/>
  <c r="G405" s="1"/>
  <c r="H26" i="42"/>
  <c r="H252" i="39"/>
  <c r="H253" s="1"/>
  <c r="U1156" i="36"/>
  <c r="J404" i="39"/>
  <c r="J405" s="1"/>
  <c r="N1157" i="36"/>
  <c r="C458" i="39"/>
  <c r="C459" s="1"/>
  <c r="O29" i="42"/>
  <c r="S1156" i="36"/>
  <c r="H404" i="39"/>
  <c r="H405" s="1"/>
  <c r="C26" i="42"/>
  <c r="C252" i="39"/>
  <c r="C253" s="1"/>
  <c r="C61" i="42"/>
  <c r="M61" s="1"/>
  <c r="C400" i="39"/>
  <c r="T1156" i="36"/>
  <c r="I404" i="39"/>
  <c r="I405" s="1"/>
  <c r="K612"/>
  <c r="M69" i="42"/>
  <c r="U1157" i="36"/>
  <c r="J458" i="39"/>
  <c r="T1157" i="36"/>
  <c r="I458" i="39"/>
  <c r="S1157" i="36"/>
  <c r="H458" i="39"/>
  <c r="R673" i="36"/>
  <c r="G462" i="39" s="1"/>
  <c r="G458"/>
  <c r="J26" i="42"/>
  <c r="J252" i="39"/>
  <c r="J253" s="1"/>
  <c r="K39" i="45"/>
  <c r="K661" i="39"/>
  <c r="E457"/>
  <c r="E455"/>
  <c r="I457"/>
  <c r="I455"/>
  <c r="D457"/>
  <c r="D459" s="1"/>
  <c r="D455"/>
  <c r="H515"/>
  <c r="G517"/>
  <c r="G38" i="45"/>
  <c r="G518" i="39"/>
  <c r="H457"/>
  <c r="H455"/>
  <c r="J457"/>
  <c r="J455"/>
  <c r="O69" i="43"/>
  <c r="P69" s="1"/>
  <c r="G455" i="39"/>
  <c r="J614"/>
  <c r="J613"/>
  <c r="E403"/>
  <c r="E401"/>
  <c r="N69" i="42"/>
  <c r="C399" i="39"/>
  <c r="C991"/>
  <c r="V896" i="36"/>
  <c r="V1196"/>
  <c r="R483"/>
  <c r="G26" i="42"/>
  <c r="R479" i="36"/>
  <c r="G265" i="39" s="1"/>
  <c r="G266" s="1"/>
  <c r="S479" i="36"/>
  <c r="H265" i="39" s="1"/>
  <c r="H266" s="1"/>
  <c r="K611"/>
  <c r="J15" i="45"/>
  <c r="G457" i="39"/>
  <c r="H28" i="44"/>
  <c r="J28" s="1"/>
  <c r="R1156" i="36"/>
  <c r="R1157"/>
  <c r="P1156"/>
  <c r="P1157"/>
  <c r="E464" i="39"/>
  <c r="D464"/>
  <c r="F457"/>
  <c r="F459" s="1"/>
  <c r="F25" i="45"/>
  <c r="L20" i="44"/>
  <c r="D399" i="39"/>
  <c r="U896" i="36"/>
  <c r="U1196"/>
  <c r="N1175"/>
  <c r="N579"/>
  <c r="P767"/>
  <c r="R1176"/>
  <c r="U479"/>
  <c r="J265" i="39" s="1"/>
  <c r="J266" s="1"/>
  <c r="P479" i="36"/>
  <c r="E265" i="39" s="1"/>
  <c r="E266" s="1"/>
  <c r="N479" i="36"/>
  <c r="C265" i="39" s="1"/>
  <c r="C266" s="1"/>
  <c r="J516" l="1"/>
  <c r="S581" i="36"/>
  <c r="H408" i="39" s="1"/>
  <c r="H409" s="1"/>
  <c r="J459"/>
  <c r="N1156" i="36"/>
  <c r="C404" i="39"/>
  <c r="C401"/>
  <c r="K516"/>
  <c r="V1176" i="36"/>
  <c r="V767"/>
  <c r="I459" i="39"/>
  <c r="O69" i="42"/>
  <c r="H459" i="39"/>
  <c r="S673" i="36"/>
  <c r="G459" i="39"/>
  <c r="M26" i="42"/>
  <c r="O26" s="1"/>
  <c r="G273" i="39"/>
  <c r="G272"/>
  <c r="I515"/>
  <c r="H517"/>
  <c r="H38" i="45"/>
  <c r="H518" i="39"/>
  <c r="K15" i="45"/>
  <c r="K613" i="39"/>
  <c r="E37" i="45"/>
  <c r="E459" i="39"/>
  <c r="E25" i="45"/>
  <c r="E405" i="39"/>
  <c r="D403"/>
  <c r="D405" s="1"/>
  <c r="D401"/>
  <c r="C403"/>
  <c r="N61" i="42"/>
  <c r="O61" s="1"/>
  <c r="R485" i="36"/>
  <c r="S483"/>
  <c r="N1155"/>
  <c r="P1155"/>
  <c r="U1155"/>
  <c r="S1155"/>
  <c r="K614" i="39"/>
  <c r="F461"/>
  <c r="R1155" i="36"/>
  <c r="G25" i="45"/>
  <c r="D264" i="39"/>
  <c r="D266" s="1"/>
  <c r="N674" i="36"/>
  <c r="N1173"/>
  <c r="U1177"/>
  <c r="S1176"/>
  <c r="R767"/>
  <c r="P1175"/>
  <c r="T581" l="1"/>
  <c r="I408" i="39" s="1"/>
  <c r="I409" s="1"/>
  <c r="C405"/>
  <c r="T673" i="36"/>
  <c r="H462" i="39"/>
  <c r="S485" i="36"/>
  <c r="G277" i="39"/>
  <c r="G278" s="1"/>
  <c r="T483" i="36"/>
  <c r="H273" i="39"/>
  <c r="G274"/>
  <c r="F464"/>
  <c r="F463"/>
  <c r="J515"/>
  <c r="I517"/>
  <c r="I38" i="45"/>
  <c r="I518" i="39"/>
  <c r="H272"/>
  <c r="N1192" i="36"/>
  <c r="G461" i="39"/>
  <c r="D28" i="44"/>
  <c r="L28" s="1"/>
  <c r="F37" i="45"/>
  <c r="J24" i="44"/>
  <c r="H25" i="45"/>
  <c r="M25" i="43"/>
  <c r="P25" s="1"/>
  <c r="P1174" i="36"/>
  <c r="T1176"/>
  <c r="S767"/>
  <c r="R1175"/>
  <c r="P674"/>
  <c r="U581" l="1"/>
  <c r="J408" i="39" s="1"/>
  <c r="J409" s="1"/>
  <c r="U673" i="36"/>
  <c r="I462" i="39"/>
  <c r="H274"/>
  <c r="T485" i="36"/>
  <c r="H277" i="39"/>
  <c r="H278" s="1"/>
  <c r="I272"/>
  <c r="I273"/>
  <c r="U483" i="36"/>
  <c r="K515" i="39"/>
  <c r="J517"/>
  <c r="J38" i="45"/>
  <c r="J518" i="39"/>
  <c r="H461"/>
  <c r="H464" s="1"/>
  <c r="G463"/>
  <c r="S1192" i="36"/>
  <c r="T1192"/>
  <c r="U1192"/>
  <c r="G464" i="39"/>
  <c r="G37" i="45"/>
  <c r="R1192" i="36"/>
  <c r="P1192"/>
  <c r="I25" i="45"/>
  <c r="R1174" i="36"/>
  <c r="T767"/>
  <c r="S1175"/>
  <c r="R674"/>
  <c r="P1173"/>
  <c r="N1153"/>
  <c r="P1153"/>
  <c r="R1153"/>
  <c r="S1153"/>
  <c r="T1153"/>
  <c r="U1153"/>
  <c r="V581" l="1"/>
  <c r="K408" i="39" s="1"/>
  <c r="K409" s="1"/>
  <c r="V673" i="36"/>
  <c r="J462" i="39"/>
  <c r="I274"/>
  <c r="J272"/>
  <c r="J273"/>
  <c r="U485" i="36"/>
  <c r="I277" i="39"/>
  <c r="I278" s="1"/>
  <c r="V483" i="36"/>
  <c r="H37" i="45"/>
  <c r="I461" i="39"/>
  <c r="I464" s="1"/>
  <c r="H463"/>
  <c r="K517"/>
  <c r="K38" i="45"/>
  <c r="K518" i="39"/>
  <c r="L24" i="44"/>
  <c r="J25" i="45"/>
  <c r="S1174" i="36"/>
  <c r="P1199"/>
  <c r="U767"/>
  <c r="U1176"/>
  <c r="T1175"/>
  <c r="S674"/>
  <c r="R1173"/>
  <c r="N1171"/>
  <c r="G52" i="42"/>
  <c r="H52"/>
  <c r="I52"/>
  <c r="J52"/>
  <c r="N381" i="36"/>
  <c r="P381"/>
  <c r="E980" i="39" s="1"/>
  <c r="E52" i="42"/>
  <c r="U381" i="36"/>
  <c r="T381"/>
  <c r="S381"/>
  <c r="R381"/>
  <c r="G12" i="42" l="1"/>
  <c r="G158" i="39"/>
  <c r="G159" s="1"/>
  <c r="J12" i="42"/>
  <c r="J158" i="39"/>
  <c r="J159" s="1"/>
  <c r="I12" i="42"/>
  <c r="I158" i="39"/>
  <c r="I159" s="1"/>
  <c r="C12" i="42"/>
  <c r="C158" i="39"/>
  <c r="C159" s="1"/>
  <c r="H12" i="42"/>
  <c r="H158" i="39"/>
  <c r="H159" s="1"/>
  <c r="E12" i="42"/>
  <c r="E158" i="39"/>
  <c r="E159" s="1"/>
  <c r="K462"/>
  <c r="V674" i="36"/>
  <c r="V1175"/>
  <c r="J274" i="39"/>
  <c r="K273"/>
  <c r="V485" i="36"/>
  <c r="K277" i="39" s="1"/>
  <c r="K278" s="1"/>
  <c r="J277"/>
  <c r="J278" s="1"/>
  <c r="K272"/>
  <c r="J461"/>
  <c r="I463"/>
  <c r="I37" i="45"/>
  <c r="K25"/>
  <c r="E38" i="43"/>
  <c r="C170" i="39"/>
  <c r="S404" i="36"/>
  <c r="U404"/>
  <c r="T1174"/>
  <c r="T674"/>
  <c r="T404"/>
  <c r="R404"/>
  <c r="P404"/>
  <c r="N1150"/>
  <c r="P1150"/>
  <c r="R1150"/>
  <c r="S1150"/>
  <c r="T1150"/>
  <c r="U1150"/>
  <c r="M12" i="42" l="1"/>
  <c r="O12" s="1"/>
  <c r="U1152" i="36"/>
  <c r="J171" i="39"/>
  <c r="J172" s="1"/>
  <c r="T1152" i="36"/>
  <c r="I171" i="39"/>
  <c r="I172" s="1"/>
  <c r="R406" i="36"/>
  <c r="G175" i="39" s="1"/>
  <c r="G176" s="1"/>
  <c r="G171"/>
  <c r="G172" s="1"/>
  <c r="P1152" i="36"/>
  <c r="E171" i="39"/>
  <c r="E172" s="1"/>
  <c r="S1152" i="36"/>
  <c r="H171" i="39"/>
  <c r="H172" s="1"/>
  <c r="K274"/>
  <c r="K461"/>
  <c r="J463"/>
  <c r="J37" i="45"/>
  <c r="J464" i="39"/>
  <c r="V1173" i="36"/>
  <c r="R1152"/>
  <c r="U1174"/>
  <c r="N404"/>
  <c r="C52" i="42"/>
  <c r="M52" s="1"/>
  <c r="O52" s="1"/>
  <c r="R1199" i="36"/>
  <c r="S1173"/>
  <c r="U674"/>
  <c r="U1175"/>
  <c r="N1168"/>
  <c r="N1170"/>
  <c r="N1152" l="1"/>
  <c r="C171" i="39"/>
  <c r="C172" s="1"/>
  <c r="S406" i="36"/>
  <c r="K463" i="39"/>
  <c r="K37" i="45"/>
  <c r="K464" i="39"/>
  <c r="V1199" i="36"/>
  <c r="V1174"/>
  <c r="S1199"/>
  <c r="P1171"/>
  <c r="T1173"/>
  <c r="N1151"/>
  <c r="P1151"/>
  <c r="R1151"/>
  <c r="S1151"/>
  <c r="T1151"/>
  <c r="U1151"/>
  <c r="T406" l="1"/>
  <c r="H175" i="39"/>
  <c r="H176" s="1"/>
  <c r="U1199" i="36"/>
  <c r="T1199"/>
  <c r="U1173"/>
  <c r="R1171"/>
  <c r="P1170"/>
  <c r="P1168"/>
  <c r="N1169"/>
  <c r="G241" i="40"/>
  <c r="G26" i="39" s="1"/>
  <c r="C30"/>
  <c r="C992" s="1"/>
  <c r="P263" i="36"/>
  <c r="R263"/>
  <c r="S263"/>
  <c r="T263"/>
  <c r="U263"/>
  <c r="R271"/>
  <c r="S271"/>
  <c r="T271"/>
  <c r="U271"/>
  <c r="P232"/>
  <c r="E177" i="40" s="1"/>
  <c r="G177"/>
  <c r="H177"/>
  <c r="I177"/>
  <c r="J177"/>
  <c r="C141"/>
  <c r="R194" i="36"/>
  <c r="S194"/>
  <c r="T194"/>
  <c r="U194"/>
  <c r="R196"/>
  <c r="S196"/>
  <c r="T196"/>
  <c r="U196"/>
  <c r="R204"/>
  <c r="S204"/>
  <c r="T204"/>
  <c r="U204"/>
  <c r="R207"/>
  <c r="S207"/>
  <c r="T207"/>
  <c r="U207"/>
  <c r="S209"/>
  <c r="T209"/>
  <c r="U209"/>
  <c r="N141"/>
  <c r="E48" i="40"/>
  <c r="G48"/>
  <c r="H48"/>
  <c r="I48"/>
  <c r="J48"/>
  <c r="N127" i="36"/>
  <c r="N128"/>
  <c r="C49" i="40"/>
  <c r="E49"/>
  <c r="R129" i="36"/>
  <c r="G49" i="40" s="1"/>
  <c r="S129" i="36"/>
  <c r="H49" i="40" s="1"/>
  <c r="T129" i="36"/>
  <c r="I49" i="40" s="1"/>
  <c r="U129" i="36"/>
  <c r="J49" i="40" s="1"/>
  <c r="E14"/>
  <c r="R99" i="36"/>
  <c r="G14" i="40" s="1"/>
  <c r="S99" i="36"/>
  <c r="H14" i="40" s="1"/>
  <c r="T99" i="36"/>
  <c r="I14" i="40" s="1"/>
  <c r="U99" i="36"/>
  <c r="J14" i="40" s="1"/>
  <c r="U406" i="36" l="1"/>
  <c r="I175" i="39"/>
  <c r="I176" s="1"/>
  <c r="D50" i="43"/>
  <c r="D78" s="1"/>
  <c r="G985" i="39"/>
  <c r="H208" i="40"/>
  <c r="G208"/>
  <c r="I208"/>
  <c r="J208"/>
  <c r="E208"/>
  <c r="P275" i="36"/>
  <c r="P283" s="1"/>
  <c r="E211" i="40" s="1"/>
  <c r="I142"/>
  <c r="H141"/>
  <c r="H142"/>
  <c r="G141"/>
  <c r="G142"/>
  <c r="J141"/>
  <c r="E141"/>
  <c r="E209"/>
  <c r="J142"/>
  <c r="E142"/>
  <c r="I141"/>
  <c r="F16"/>
  <c r="N283" i="36"/>
  <c r="C211" i="40" s="1"/>
  <c r="C246"/>
  <c r="C139"/>
  <c r="C25" i="39" s="1"/>
  <c r="C984" s="1"/>
  <c r="G50" i="40"/>
  <c r="D50"/>
  <c r="D52" s="1"/>
  <c r="C209"/>
  <c r="C210" s="1"/>
  <c r="E50"/>
  <c r="D112"/>
  <c r="D114" s="1"/>
  <c r="C48"/>
  <c r="C50" s="1"/>
  <c r="N168" i="36"/>
  <c r="C113" i="40" s="1"/>
  <c r="C110"/>
  <c r="C112" s="1"/>
  <c r="D179"/>
  <c r="D181" s="1"/>
  <c r="C142"/>
  <c r="P244" i="36"/>
  <c r="E180" i="40" s="1"/>
  <c r="F179"/>
  <c r="F181" s="1"/>
  <c r="G16"/>
  <c r="C14"/>
  <c r="J50"/>
  <c r="I50"/>
  <c r="N144" i="36"/>
  <c r="C82" i="40" s="1"/>
  <c r="C79"/>
  <c r="C81" s="1"/>
  <c r="N244" i="36"/>
  <c r="C180" i="40" s="1"/>
  <c r="C177"/>
  <c r="C179" s="1"/>
  <c r="I16"/>
  <c r="R244" i="36"/>
  <c r="G180" i="40" s="1"/>
  <c r="G179"/>
  <c r="H16"/>
  <c r="E179"/>
  <c r="H50"/>
  <c r="U244" i="36"/>
  <c r="J180" i="40" s="1"/>
  <c r="J179"/>
  <c r="T244" i="36"/>
  <c r="I180" i="40" s="1"/>
  <c r="I179"/>
  <c r="R275" i="36"/>
  <c r="J16" i="40"/>
  <c r="F50"/>
  <c r="F52" s="1"/>
  <c r="S244" i="36"/>
  <c r="H180" i="40" s="1"/>
  <c r="H179"/>
  <c r="N214" i="36"/>
  <c r="C144" i="40" s="1"/>
  <c r="T132" i="36"/>
  <c r="I51" i="40" s="1"/>
  <c r="R132" i="36"/>
  <c r="G51" i="40" s="1"/>
  <c r="R1254" i="36"/>
  <c r="U109"/>
  <c r="J17" i="40" s="1"/>
  <c r="P109" i="36"/>
  <c r="E17" i="40" s="1"/>
  <c r="T109" i="36"/>
  <c r="I17" i="40" s="1"/>
  <c r="R109" i="36"/>
  <c r="G17" i="40" s="1"/>
  <c r="N109" i="36"/>
  <c r="C17" i="40" s="1"/>
  <c r="U132" i="36"/>
  <c r="J51" i="40" s="1"/>
  <c r="S132" i="36"/>
  <c r="H51" i="40" s="1"/>
  <c r="P132" i="36"/>
  <c r="E51" i="40" s="1"/>
  <c r="S109" i="36"/>
  <c r="H17" i="40" s="1"/>
  <c r="N132" i="36"/>
  <c r="C51" i="40" s="1"/>
  <c r="N326" i="36"/>
  <c r="C247" i="40" s="1"/>
  <c r="S1171" i="36"/>
  <c r="R1170"/>
  <c r="R1168"/>
  <c r="C181" i="40" l="1"/>
  <c r="C114"/>
  <c r="E181"/>
  <c r="G52"/>
  <c r="J18"/>
  <c r="H18"/>
  <c r="I181"/>
  <c r="C83"/>
  <c r="J181"/>
  <c r="I52"/>
  <c r="E52"/>
  <c r="I18"/>
  <c r="G18"/>
  <c r="F18"/>
  <c r="H52"/>
  <c r="C52"/>
  <c r="H181"/>
  <c r="G181"/>
  <c r="J52"/>
  <c r="C212"/>
  <c r="C248"/>
  <c r="V406" i="36"/>
  <c r="J175" i="39"/>
  <c r="J176" s="1"/>
  <c r="H241" i="40"/>
  <c r="H26" i="39" s="1"/>
  <c r="H985" s="1"/>
  <c r="S1218" i="36"/>
  <c r="E210" i="40"/>
  <c r="E212" s="1"/>
  <c r="N329" i="36"/>
  <c r="C994" i="39" s="1"/>
  <c r="E28"/>
  <c r="E987" s="1"/>
  <c r="C16" i="40"/>
  <c r="C27" i="39"/>
  <c r="C986" s="1"/>
  <c r="C28"/>
  <c r="C987" s="1"/>
  <c r="R1255" i="36"/>
  <c r="G139" i="40"/>
  <c r="G25" i="39" s="1"/>
  <c r="R283" i="36"/>
  <c r="G211" i="40" s="1"/>
  <c r="G209"/>
  <c r="G28" i="39" s="1"/>
  <c r="E112" i="40"/>
  <c r="E114" s="1"/>
  <c r="D210"/>
  <c r="D212" s="1"/>
  <c r="F143"/>
  <c r="F145" s="1"/>
  <c r="C143"/>
  <c r="C145" s="1"/>
  <c r="S1254" i="36"/>
  <c r="N1255"/>
  <c r="N1264"/>
  <c r="N1266" s="1"/>
  <c r="D143" i="40"/>
  <c r="D145" s="1"/>
  <c r="E143"/>
  <c r="E145" s="1"/>
  <c r="D246"/>
  <c r="D248" s="1"/>
  <c r="F210"/>
  <c r="F212" s="1"/>
  <c r="E16"/>
  <c r="S275" i="36"/>
  <c r="R214"/>
  <c r="G144" i="40" s="1"/>
  <c r="D16"/>
  <c r="I241"/>
  <c r="I26" i="39" s="1"/>
  <c r="I985" s="1"/>
  <c r="U1171" i="36"/>
  <c r="T1171"/>
  <c r="S1170"/>
  <c r="S1168"/>
  <c r="P1169"/>
  <c r="C18" i="40" l="1"/>
  <c r="C266"/>
  <c r="D18"/>
  <c r="D266"/>
  <c r="E18"/>
  <c r="C49" i="42"/>
  <c r="C78" s="1"/>
  <c r="C32" i="39"/>
  <c r="K175"/>
  <c r="K176" s="1"/>
  <c r="V1170" i="36"/>
  <c r="C993" i="39"/>
  <c r="F50" i="43"/>
  <c r="F78" s="1"/>
  <c r="G987" i="39"/>
  <c r="C50" i="43"/>
  <c r="C78" s="1"/>
  <c r="G984" i="39"/>
  <c r="S1255" i="36"/>
  <c r="R1265"/>
  <c r="R1266" s="1"/>
  <c r="H139" i="40"/>
  <c r="H25" i="39" s="1"/>
  <c r="H984" s="1"/>
  <c r="S283" i="36"/>
  <c r="H211" i="40" s="1"/>
  <c r="H209"/>
  <c r="H28" i="39" s="1"/>
  <c r="H987" s="1"/>
  <c r="D31"/>
  <c r="S214" i="36"/>
  <c r="H144" i="40" s="1"/>
  <c r="C31" i="39"/>
  <c r="T1218" i="36"/>
  <c r="G210" i="40"/>
  <c r="G212" s="1"/>
  <c r="T275" i="36"/>
  <c r="G143" i="40"/>
  <c r="T1170" i="36"/>
  <c r="R1169"/>
  <c r="T1168"/>
  <c r="E11" i="39"/>
  <c r="E969" s="1"/>
  <c r="R316" i="36"/>
  <c r="G242" i="40" s="1"/>
  <c r="S316" i="36"/>
  <c r="H242" i="40" s="1"/>
  <c r="T316" i="36"/>
  <c r="U316"/>
  <c r="G145" i="40" l="1"/>
  <c r="C42" i="39"/>
  <c r="C267" i="40"/>
  <c r="C268" s="1"/>
  <c r="D33" i="39"/>
  <c r="D267" i="40"/>
  <c r="D268" s="1"/>
  <c r="T1254" i="36"/>
  <c r="T1255" s="1"/>
  <c r="C1004" i="39"/>
  <c r="C995"/>
  <c r="C33"/>
  <c r="I242" i="40"/>
  <c r="I27" i="39" s="1"/>
  <c r="I986" s="1"/>
  <c r="J242" i="40"/>
  <c r="J27" i="39" s="1"/>
  <c r="J986" s="1"/>
  <c r="T214" i="36"/>
  <c r="I144" i="40" s="1"/>
  <c r="I139"/>
  <c r="I25" i="39" s="1"/>
  <c r="I984" s="1"/>
  <c r="S1265" i="36"/>
  <c r="S1266" s="1"/>
  <c r="K241" i="40"/>
  <c r="K26" i="39" s="1"/>
  <c r="K985" s="1"/>
  <c r="J241" i="40"/>
  <c r="J26" i="39" s="1"/>
  <c r="J985" s="1"/>
  <c r="T283" i="36"/>
  <c r="I211" i="40" s="1"/>
  <c r="I209"/>
  <c r="I28" i="39" s="1"/>
  <c r="I987" s="1"/>
  <c r="S326" i="36"/>
  <c r="H27" i="39"/>
  <c r="H986" s="1"/>
  <c r="H993" s="1"/>
  <c r="R326" i="36"/>
  <c r="G247" i="40" s="1"/>
  <c r="G27" i="39"/>
  <c r="D42"/>
  <c r="H143" i="40"/>
  <c r="T326" i="36"/>
  <c r="I247" i="40" s="1"/>
  <c r="U1218" i="36"/>
  <c r="H210" i="40"/>
  <c r="H212" s="1"/>
  <c r="E27" i="39"/>
  <c r="E986" s="1"/>
  <c r="E993" s="1"/>
  <c r="S1169" i="36"/>
  <c r="S329" l="1"/>
  <c r="H32" i="39" s="1"/>
  <c r="H247" i="40"/>
  <c r="H145"/>
  <c r="T1265" i="36"/>
  <c r="T1266" s="1"/>
  <c r="U214"/>
  <c r="J144" i="40" s="1"/>
  <c r="U1254" i="36"/>
  <c r="U1265" s="1"/>
  <c r="U1266" s="1"/>
  <c r="E1004" i="39"/>
  <c r="E50" i="43"/>
  <c r="G986" i="39"/>
  <c r="G993" s="1"/>
  <c r="I993"/>
  <c r="T329" i="36"/>
  <c r="J209" i="40"/>
  <c r="J28" i="39" s="1"/>
  <c r="J987" s="1"/>
  <c r="U275" i="36"/>
  <c r="U283" s="1"/>
  <c r="J211" i="40" s="1"/>
  <c r="R329" i="36"/>
  <c r="I143" i="40"/>
  <c r="J139"/>
  <c r="J25" i="39" s="1"/>
  <c r="J984" s="1"/>
  <c r="V326" i="36"/>
  <c r="K247" i="40" s="1"/>
  <c r="V1218" i="36"/>
  <c r="E246" i="40"/>
  <c r="E31" i="39"/>
  <c r="E267" i="40" s="1"/>
  <c r="K246"/>
  <c r="F246"/>
  <c r="V275" i="36"/>
  <c r="I246" i="40"/>
  <c r="I248" s="1"/>
  <c r="I210"/>
  <c r="I212" s="1"/>
  <c r="I31" i="39"/>
  <c r="I267" i="40" s="1"/>
  <c r="P326" i="36"/>
  <c r="E247" i="40" s="1"/>
  <c r="U326" i="36"/>
  <c r="J247" i="40" s="1"/>
  <c r="G246"/>
  <c r="G31" i="39"/>
  <c r="G267" i="40" s="1"/>
  <c r="H31" i="39"/>
  <c r="H267" i="40" s="1"/>
  <c r="H246"/>
  <c r="G15" i="39"/>
  <c r="G973" s="1"/>
  <c r="U1168" i="36"/>
  <c r="U1170"/>
  <c r="T1169"/>
  <c r="C11" i="39"/>
  <c r="C969" s="1"/>
  <c r="H248" i="40" l="1"/>
  <c r="H994" i="39"/>
  <c r="H995" s="1"/>
  <c r="I145" i="40"/>
  <c r="I266"/>
  <c r="I268" s="1"/>
  <c r="K248"/>
  <c r="G248"/>
  <c r="G266"/>
  <c r="G268" s="1"/>
  <c r="F248"/>
  <c r="F266"/>
  <c r="E248"/>
  <c r="E266"/>
  <c r="E268" s="1"/>
  <c r="H49" i="42"/>
  <c r="H78" s="1"/>
  <c r="H266" i="40"/>
  <c r="H268" s="1"/>
  <c r="G32" i="39"/>
  <c r="G33" s="1"/>
  <c r="G994"/>
  <c r="G995" s="1"/>
  <c r="V214" i="36"/>
  <c r="K144" i="40" s="1"/>
  <c r="V1254" i="36"/>
  <c r="V1265" s="1"/>
  <c r="V1266" s="1"/>
  <c r="I32" i="39"/>
  <c r="I33" s="1"/>
  <c r="I994"/>
  <c r="I995" s="1"/>
  <c r="H33"/>
  <c r="H8" i="44"/>
  <c r="O50" i="43"/>
  <c r="J993" i="39"/>
  <c r="G10" i="43"/>
  <c r="G38" s="1"/>
  <c r="G49" i="42"/>
  <c r="G78" s="1"/>
  <c r="I49"/>
  <c r="I78" s="1"/>
  <c r="U329" i="36"/>
  <c r="P329"/>
  <c r="E994" i="39" s="1"/>
  <c r="E995" s="1"/>
  <c r="K139" i="40"/>
  <c r="K25" i="39" s="1"/>
  <c r="K984" s="1"/>
  <c r="J143" i="40"/>
  <c r="U1255" i="36"/>
  <c r="K209" i="40"/>
  <c r="K28" i="39" s="1"/>
  <c r="K987" s="1"/>
  <c r="C18"/>
  <c r="F31"/>
  <c r="J246" i="40"/>
  <c r="J248" s="1"/>
  <c r="J210"/>
  <c r="J212" s="1"/>
  <c r="J31" i="39"/>
  <c r="J267" i="40" s="1"/>
  <c r="H15" i="39"/>
  <c r="H973" s="1"/>
  <c r="N69" i="36"/>
  <c r="C980" i="39" s="1"/>
  <c r="F33" l="1"/>
  <c r="F267" i="40"/>
  <c r="F268" s="1"/>
  <c r="J145"/>
  <c r="J266"/>
  <c r="J268" s="1"/>
  <c r="J32" i="39"/>
  <c r="J33" s="1"/>
  <c r="J994"/>
  <c r="J995" s="1"/>
  <c r="C9" i="42"/>
  <c r="C38" s="1"/>
  <c r="C21" i="39"/>
  <c r="E49" i="42"/>
  <c r="E78" s="1"/>
  <c r="E32" i="39"/>
  <c r="E33" s="1"/>
  <c r="H46" i="44"/>
  <c r="S78" i="43"/>
  <c r="K993" i="39"/>
  <c r="C20"/>
  <c r="C977"/>
  <c r="C979" s="1"/>
  <c r="J49" i="42"/>
  <c r="J78" s="1"/>
  <c r="V283" i="36"/>
  <c r="G11" i="39"/>
  <c r="G969" s="1"/>
  <c r="G979" s="1"/>
  <c r="R69" i="36"/>
  <c r="G980" i="39" s="1"/>
  <c r="V1255" i="36"/>
  <c r="K143" i="40"/>
  <c r="K210"/>
  <c r="H37" i="44"/>
  <c r="D49" i="45"/>
  <c r="D55" s="1"/>
  <c r="E78" i="43"/>
  <c r="O78" s="1"/>
  <c r="O79" s="1"/>
  <c r="L50"/>
  <c r="I15" i="39"/>
  <c r="I973" s="1"/>
  <c r="U1169" i="36"/>
  <c r="N331"/>
  <c r="C998" i="39" s="1"/>
  <c r="K145" i="40" l="1"/>
  <c r="K266"/>
  <c r="V329" i="36"/>
  <c r="K49" i="42" s="1"/>
  <c r="K78" s="1"/>
  <c r="K211" i="40"/>
  <c r="K212" s="1"/>
  <c r="G997" i="39"/>
  <c r="G981"/>
  <c r="C997"/>
  <c r="C999" s="1"/>
  <c r="C981"/>
  <c r="C36"/>
  <c r="G9" i="42"/>
  <c r="G38" s="1"/>
  <c r="F46" i="44" s="1"/>
  <c r="G21" i="39"/>
  <c r="C22"/>
  <c r="C35"/>
  <c r="H47" i="44"/>
  <c r="L78" i="43"/>
  <c r="P50"/>
  <c r="G20" i="39"/>
  <c r="C10" i="43"/>
  <c r="C38" s="1"/>
  <c r="N1149" i="36"/>
  <c r="N1164" s="1"/>
  <c r="K31" i="39"/>
  <c r="K267" i="40" s="1"/>
  <c r="S69" i="36"/>
  <c r="H980" i="39" s="1"/>
  <c r="H11"/>
  <c r="J15"/>
  <c r="J973" s="1"/>
  <c r="E12"/>
  <c r="K994" l="1"/>
  <c r="K995" s="1"/>
  <c r="K32"/>
  <c r="K33" s="1"/>
  <c r="K268" i="40"/>
  <c r="G1001" i="39"/>
  <c r="S38" i="43"/>
  <c r="I11" i="39"/>
  <c r="I969" s="1"/>
  <c r="I979" s="1"/>
  <c r="T1239" i="36"/>
  <c r="T1242" s="1"/>
  <c r="T1246" s="1"/>
  <c r="T1247" s="1"/>
  <c r="C37" i="39"/>
  <c r="H9" i="42"/>
  <c r="H38" s="1"/>
  <c r="H21" i="39"/>
  <c r="M49" i="42"/>
  <c r="M78" s="1"/>
  <c r="N49"/>
  <c r="N78" s="1"/>
  <c r="O10" i="43"/>
  <c r="G22" i="39"/>
  <c r="P78" i="43"/>
  <c r="U78"/>
  <c r="H49" i="44"/>
  <c r="H50" s="1"/>
  <c r="E20" i="39"/>
  <c r="E970"/>
  <c r="E979" s="1"/>
  <c r="H20"/>
  <c r="H969"/>
  <c r="H979" s="1"/>
  <c r="G35"/>
  <c r="F8" i="44"/>
  <c r="E9" i="45"/>
  <c r="E49" s="1"/>
  <c r="S331" i="36"/>
  <c r="H998" i="39" s="1"/>
  <c r="E42"/>
  <c r="K15"/>
  <c r="K973" s="1"/>
  <c r="F20"/>
  <c r="U1239" i="36"/>
  <c r="U1242" s="1"/>
  <c r="U1246" s="1"/>
  <c r="T69"/>
  <c r="I980" i="39" s="1"/>
  <c r="G1004" l="1"/>
  <c r="E997"/>
  <c r="E981"/>
  <c r="H997"/>
  <c r="H981"/>
  <c r="I997"/>
  <c r="I981"/>
  <c r="U1247" i="36"/>
  <c r="I20" i="39"/>
  <c r="I35" s="1"/>
  <c r="I9" i="42"/>
  <c r="I38" s="1"/>
  <c r="I21" i="39"/>
  <c r="H36"/>
  <c r="O78" i="42"/>
  <c r="O49"/>
  <c r="H35" i="39"/>
  <c r="H22"/>
  <c r="F35"/>
  <c r="F22"/>
  <c r="E35"/>
  <c r="E22"/>
  <c r="S1149" i="36"/>
  <c r="S1164" s="1"/>
  <c r="J11" i="39"/>
  <c r="T331" i="36"/>
  <c r="I998" i="39" s="1"/>
  <c r="D38" i="43"/>
  <c r="O38" s="1"/>
  <c r="O39" s="1"/>
  <c r="M10"/>
  <c r="U69" i="36"/>
  <c r="J980" i="39" s="1"/>
  <c r="D20"/>
  <c r="D22" s="1"/>
  <c r="E9" i="42"/>
  <c r="I999" i="39" l="1"/>
  <c r="H1001"/>
  <c r="H999"/>
  <c r="I22"/>
  <c r="K11"/>
  <c r="K969" s="1"/>
  <c r="K979" s="1"/>
  <c r="V1239" i="36"/>
  <c r="V1242" s="1"/>
  <c r="V1246" s="1"/>
  <c r="V1247" s="1"/>
  <c r="J9" i="42"/>
  <c r="J38" s="1"/>
  <c r="J21" i="39"/>
  <c r="I36"/>
  <c r="I37" s="1"/>
  <c r="H37"/>
  <c r="E38" i="42"/>
  <c r="F39" i="39"/>
  <c r="F37"/>
  <c r="D35"/>
  <c r="D37" s="1"/>
  <c r="M38" i="43"/>
  <c r="P10"/>
  <c r="J20" i="39"/>
  <c r="J969"/>
  <c r="J979" s="1"/>
  <c r="T1149" i="36"/>
  <c r="T1164" s="1"/>
  <c r="V69"/>
  <c r="F37" i="44"/>
  <c r="J8"/>
  <c r="U331" i="36"/>
  <c r="J998" i="39" s="1"/>
  <c r="R331" i="36"/>
  <c r="G998" i="39" s="1"/>
  <c r="G999" s="1"/>
  <c r="K21" l="1"/>
  <c r="K980"/>
  <c r="K981" s="1"/>
  <c r="H1004"/>
  <c r="I1001"/>
  <c r="K997"/>
  <c r="J997"/>
  <c r="J981"/>
  <c r="K20"/>
  <c r="G36"/>
  <c r="G37" s="1"/>
  <c r="J36"/>
  <c r="D8" i="44"/>
  <c r="D37" s="1"/>
  <c r="N37" s="1"/>
  <c r="F41" i="39"/>
  <c r="F42"/>
  <c r="F9" i="45"/>
  <c r="F49" s="1"/>
  <c r="D42" i="44" s="1"/>
  <c r="G39" i="39"/>
  <c r="J35"/>
  <c r="J22"/>
  <c r="P38" i="43"/>
  <c r="U38"/>
  <c r="F49" i="44"/>
  <c r="F50" s="1"/>
  <c r="F47"/>
  <c r="R333" i="36"/>
  <c r="V331"/>
  <c r="K998" i="39" s="1"/>
  <c r="K9" i="42"/>
  <c r="U1149" i="36"/>
  <c r="U1164" s="1"/>
  <c r="R1149"/>
  <c r="R1164" s="1"/>
  <c r="J37" i="44"/>
  <c r="K999" i="39" l="1"/>
  <c r="K22"/>
  <c r="G40"/>
  <c r="G41" s="1"/>
  <c r="G1002"/>
  <c r="G1003" s="1"/>
  <c r="J1001"/>
  <c r="J999"/>
  <c r="I1004"/>
  <c r="K35"/>
  <c r="N9" i="42"/>
  <c r="N38" s="1"/>
  <c r="K36" i="39"/>
  <c r="K38" i="42"/>
  <c r="M9"/>
  <c r="M38" s="1"/>
  <c r="L8" i="44"/>
  <c r="L37" s="1"/>
  <c r="O37" s="1"/>
  <c r="G42" i="39"/>
  <c r="F55" i="45"/>
  <c r="P37" i="44"/>
  <c r="D44"/>
  <c r="H39" i="39"/>
  <c r="G9" i="45"/>
  <c r="G49" s="1"/>
  <c r="L43" i="44" s="1"/>
  <c r="J37" i="39"/>
  <c r="V1149" i="36"/>
  <c r="S333"/>
  <c r="N1167"/>
  <c r="H40" i="39" l="1"/>
  <c r="H41" s="1"/>
  <c r="H1002"/>
  <c r="H1003" s="1"/>
  <c r="K1001"/>
  <c r="J1004"/>
  <c r="K37"/>
  <c r="O38" i="42"/>
  <c r="O9"/>
  <c r="L44" i="44"/>
  <c r="Q37"/>
  <c r="H42" i="39"/>
  <c r="I39"/>
  <c r="H9" i="45"/>
  <c r="H49" s="1"/>
  <c r="N1182" i="36"/>
  <c r="V1164"/>
  <c r="T333"/>
  <c r="N334"/>
  <c r="I40" i="39" l="1"/>
  <c r="I41" s="1"/>
  <c r="I1002"/>
  <c r="I1003" s="1"/>
  <c r="K1004"/>
  <c r="C54" i="45"/>
  <c r="C55" s="1"/>
  <c r="I9"/>
  <c r="I49" s="1"/>
  <c r="J39" i="39"/>
  <c r="I42"/>
  <c r="U333" i="36"/>
  <c r="P331"/>
  <c r="E998" i="39" s="1"/>
  <c r="E999" s="1"/>
  <c r="J40" l="1"/>
  <c r="J41" s="1"/>
  <c r="J1002"/>
  <c r="J1003" s="1"/>
  <c r="E36"/>
  <c r="E37" s="1"/>
  <c r="J42"/>
  <c r="K39"/>
  <c r="J9" i="45"/>
  <c r="J49" s="1"/>
  <c r="V333" i="36"/>
  <c r="P1149"/>
  <c r="P1164" s="1"/>
  <c r="K40" i="39" l="1"/>
  <c r="K41" s="1"/>
  <c r="K1002"/>
  <c r="K1003" s="1"/>
  <c r="K9" i="45"/>
  <c r="K49" s="1"/>
  <c r="K42" i="39"/>
  <c r="R334" i="36"/>
  <c r="P1167"/>
  <c r="P1182" s="1"/>
  <c r="P334"/>
  <c r="E54" i="45" l="1"/>
  <c r="E55" s="1"/>
  <c r="V334" i="36"/>
  <c r="V1167"/>
  <c r="R1167"/>
  <c r="R1182" l="1"/>
  <c r="V1182"/>
  <c r="S334"/>
  <c r="S1167"/>
  <c r="G54" i="45" l="1"/>
  <c r="G55" s="1"/>
  <c r="K54"/>
  <c r="K55" s="1"/>
  <c r="S1182" i="36"/>
  <c r="T334"/>
  <c r="T1167"/>
  <c r="H54" i="45" l="1"/>
  <c r="H55" s="1"/>
  <c r="T1182" i="36"/>
  <c r="U1167"/>
  <c r="U334"/>
  <c r="I54" i="45" l="1"/>
  <c r="I55" s="1"/>
  <c r="U1182" i="36"/>
  <c r="J54" i="45" l="1"/>
  <c r="J55" s="1"/>
</calcChain>
</file>

<file path=xl/sharedStrings.xml><?xml version="1.0" encoding="utf-8"?>
<sst xmlns="http://schemas.openxmlformats.org/spreadsheetml/2006/main" count="3448" uniqueCount="1519">
  <si>
    <t>Description</t>
  </si>
  <si>
    <t>Actual</t>
  </si>
  <si>
    <t>ELECTRIC UTILITY TAX</t>
  </si>
  <si>
    <t>HOTEL TAX</t>
  </si>
  <si>
    <t>CABLE FRANCHISE FEES</t>
  </si>
  <si>
    <t>FEDERAL GRANTS</t>
  </si>
  <si>
    <t>INVESTMENT EARNINGS</t>
  </si>
  <si>
    <t>MISCELLANEOUS INCOME</t>
  </si>
  <si>
    <t>RETIREMENT PLAN CONTRIBUTION</t>
  </si>
  <si>
    <t>FICA CONTRIBUTION</t>
  </si>
  <si>
    <t>PROFESSIONAL SERVICES</t>
  </si>
  <si>
    <t>OFFICE SUPPLIES</t>
  </si>
  <si>
    <t>OTHER SERVICES</t>
  </si>
  <si>
    <t>OPERATING SUPPLIES</t>
  </si>
  <si>
    <t>GROUP HEALTH INSURANCE</t>
  </si>
  <si>
    <t>MISCELLANEOUS</t>
  </si>
  <si>
    <t>PUBLIC RELATIONS</t>
  </si>
  <si>
    <t>COMMUNITY EVENTS</t>
  </si>
  <si>
    <t>OVERTIME</t>
  </si>
  <si>
    <t>ECONOMIC DEVELOPMENT</t>
  </si>
  <si>
    <t>SMALL TOOLS &amp; EQUIPMENT</t>
  </si>
  <si>
    <t>UTILITIES</t>
  </si>
  <si>
    <t>BAD DEBT</t>
  </si>
  <si>
    <t>FY 2011</t>
  </si>
  <si>
    <t>Projected</t>
  </si>
  <si>
    <t>01-000-40-00-4000</t>
  </si>
  <si>
    <t>MUNICIPAL SALES TAX</t>
  </si>
  <si>
    <t>01-000-40-00-4030</t>
  </si>
  <si>
    <t>01-000-40-00-4040</t>
  </si>
  <si>
    <t>01-000-40-00-4041</t>
  </si>
  <si>
    <t>01-000-40-00-4075</t>
  </si>
  <si>
    <t>01-000-40-00-4070</t>
  </si>
  <si>
    <t>01-000-40-00-4065</t>
  </si>
  <si>
    <t>01-000-40-00-4060</t>
  </si>
  <si>
    <t>01-000-40-00-4050</t>
  </si>
  <si>
    <t>01-000-40-00-4045</t>
  </si>
  <si>
    <t>01-000-40-00-4043</t>
  </si>
  <si>
    <t>AUTO RENTAL TAX</t>
  </si>
  <si>
    <t>ADMISSIONS TAX</t>
  </si>
  <si>
    <t>AMUSEMENT TAX</t>
  </si>
  <si>
    <t>TELEPHONE UTILITY TAX</t>
  </si>
  <si>
    <t>NATURAL GAS UTILITY TAX</t>
  </si>
  <si>
    <t>01-000-41-00-4170</t>
  </si>
  <si>
    <t>01-000-41-00-4160</t>
  </si>
  <si>
    <t>01-000-41-00-4120</t>
  </si>
  <si>
    <t>01-000-41-00-4110</t>
  </si>
  <si>
    <t>01-000-41-00-4105</t>
  </si>
  <si>
    <t>01-000-41-00-4100</t>
  </si>
  <si>
    <t>STATE GRANTS</t>
  </si>
  <si>
    <t xml:space="preserve">PERSONAL PROPERTY TAX                       </t>
  </si>
  <si>
    <t xml:space="preserve">STATE INCOME TAX                                       </t>
  </si>
  <si>
    <t>01-000-42-00-4210</t>
  </si>
  <si>
    <t>01-000-42-00-4205</t>
  </si>
  <si>
    <t>01-000-42-00-4200</t>
  </si>
  <si>
    <t>FILING FEES</t>
  </si>
  <si>
    <t>BUILDING PERMITS</t>
  </si>
  <si>
    <t>LIQUOR LICENSE</t>
  </si>
  <si>
    <t>01-000-43-00-4325</t>
  </si>
  <si>
    <t>01-000-43-00-4320</t>
  </si>
  <si>
    <t>01-000-43-00-4310</t>
  </si>
  <si>
    <t>POLICE TOWS</t>
  </si>
  <si>
    <t>01-000-44-00-4414</t>
  </si>
  <si>
    <t>01-000-44-00-4405</t>
  </si>
  <si>
    <t>01-000-44-00-4400</t>
  </si>
  <si>
    <t>DEVELOPMENT FEES</t>
  </si>
  <si>
    <t>COLLECTION FEE - YBSD</t>
  </si>
  <si>
    <t>GARBAGE SURCHARGE</t>
  </si>
  <si>
    <t>01-000-45-00-4500</t>
  </si>
  <si>
    <t>01-000-46-00-4690</t>
  </si>
  <si>
    <t>01-000-46-00-4680</t>
  </si>
  <si>
    <t>01-000-46-00-4670</t>
  </si>
  <si>
    <t>01-000-46-00-4650</t>
  </si>
  <si>
    <t>01-000-46-00-4601</t>
  </si>
  <si>
    <t>REIMB - MISCELLANEOUS</t>
  </si>
  <si>
    <t>REIMB - TRAFFIC SIGNAL</t>
  </si>
  <si>
    <t>REIMB - LEGAL EXPENSES</t>
  </si>
  <si>
    <t>01-000-48-00-4850</t>
  </si>
  <si>
    <t>01-110-50-00-5020</t>
  </si>
  <si>
    <t>01-110-50-00-5005</t>
  </si>
  <si>
    <t>01-110-50-00-5004</t>
  </si>
  <si>
    <t>01-110-50-00-5003</t>
  </si>
  <si>
    <t>01-110-50-00-5002</t>
  </si>
  <si>
    <t>01-110-50-00-5001</t>
  </si>
  <si>
    <t>PART-TIME SALARIES</t>
  </si>
  <si>
    <t>SALARIES - ADMINISTRATION</t>
  </si>
  <si>
    <t>SALARIES - ALDERMAN</t>
  </si>
  <si>
    <t>SALARIES - CITY TREASURER</t>
  </si>
  <si>
    <t>SALARIES - CITY CLERK</t>
  </si>
  <si>
    <t>SALARIES - LIQUOR COMM</t>
  </si>
  <si>
    <t>SALARIES - MAYOR</t>
  </si>
  <si>
    <t>01-110-52-00-5214</t>
  </si>
  <si>
    <t>01-110-52-00-5212</t>
  </si>
  <si>
    <t>01-110-54-00-5480</t>
  </si>
  <si>
    <t>01-110-54-00-5473</t>
  </si>
  <si>
    <t>01-110-54-00-5462</t>
  </si>
  <si>
    <t>01-110-54-00-5452</t>
  </si>
  <si>
    <t>01-110-54-00-5440</t>
  </si>
  <si>
    <t>01-110-54-00-5430</t>
  </si>
  <si>
    <t>01-110-54-00-5426</t>
  </si>
  <si>
    <t>01-110-54-00-5423</t>
  </si>
  <si>
    <t>01-110-54-00-5415</t>
  </si>
  <si>
    <t>01-110-54-00-5412</t>
  </si>
  <si>
    <t>RENTAL &amp; LEASE PURCHASE</t>
  </si>
  <si>
    <t>KENDALL COUNTY PARATRANSIT</t>
  </si>
  <si>
    <t>OFFICE CLEANING</t>
  </si>
  <si>
    <t>CODIFICATION</t>
  </si>
  <si>
    <t>POSTAGE &amp; SHIPPING</t>
  </si>
  <si>
    <t>PUBLISHING &amp; ADVERTISING</t>
  </si>
  <si>
    <t>TRAINING &amp; CONFERENCES</t>
  </si>
  <si>
    <t>TUITION REIMBURSEMENT</t>
  </si>
  <si>
    <t>01-110-56-00-5640</t>
  </si>
  <si>
    <t>01-110-56-00-5635</t>
  </si>
  <si>
    <t>01-110-56-00-5610</t>
  </si>
  <si>
    <t>CONTINGENCIES</t>
  </si>
  <si>
    <t>WEARING APPAREL</t>
  </si>
  <si>
    <t>01-120-50-00-5010</t>
  </si>
  <si>
    <t>01-120-52-00-5214</t>
  </si>
  <si>
    <t>01-120-52-00-5212</t>
  </si>
  <si>
    <t>01-120-54-00-5495</t>
  </si>
  <si>
    <t>01-120-54-00-5485</t>
  </si>
  <si>
    <t>01-120-54-00-5462</t>
  </si>
  <si>
    <t>01-120-54-00-5452</t>
  </si>
  <si>
    <t>01-120-54-00-5440</t>
  </si>
  <si>
    <t>01-120-54-00-5430</t>
  </si>
  <si>
    <t>01-130-54-00-5426</t>
  </si>
  <si>
    <t>01-120-54-00-5415</t>
  </si>
  <si>
    <t>01-120-54-00-5412</t>
  </si>
  <si>
    <t>AUDITING SERVICES</t>
  </si>
  <si>
    <t>01-120-56-00-5635</t>
  </si>
  <si>
    <t>01-120-56-00-5630</t>
  </si>
  <si>
    <t>01-120-56-00-5610</t>
  </si>
  <si>
    <t>01-130-50-00-5010</t>
  </si>
  <si>
    <t>01-130-52-00-5212</t>
  </si>
  <si>
    <t>01-130-54-00-5440</t>
  </si>
  <si>
    <t>01-130-56-00-5610</t>
  </si>
  <si>
    <t>COMMUNITY RELATIONS</t>
  </si>
  <si>
    <t>01-150-50-00-5020</t>
  </si>
  <si>
    <t>01-150-50-00-5010</t>
  </si>
  <si>
    <t>01-150-52-00-5214</t>
  </si>
  <si>
    <t>01-150-52-00-5212</t>
  </si>
  <si>
    <t>01-150-54-00-5495</t>
  </si>
  <si>
    <t>01-150-54-00-5462</t>
  </si>
  <si>
    <t>01-150-54-00-5452</t>
  </si>
  <si>
    <t>01-150-54-00-5440</t>
  </si>
  <si>
    <t>01-150-54-00-5415</t>
  </si>
  <si>
    <t>01-150-56-00-5645</t>
  </si>
  <si>
    <t>01-150-56-00-5635</t>
  </si>
  <si>
    <t>01-150-56-00-5622</t>
  </si>
  <si>
    <t>01-150-56-00-5610</t>
  </si>
  <si>
    <t>ENGINEERING SUPPLIES</t>
  </si>
  <si>
    <t>01-210-50-00-5020</t>
  </si>
  <si>
    <t>01-210-50-00-5017</t>
  </si>
  <si>
    <t>01-210-50-00-5015</t>
  </si>
  <si>
    <t>01-210-50-00-5014</t>
  </si>
  <si>
    <t>01-210-50-00-5013</t>
  </si>
  <si>
    <t>01-210-50-00-5012</t>
  </si>
  <si>
    <t>CADET PROGRAM</t>
  </si>
  <si>
    <t>SALARIES - CROSSING GUARD</t>
  </si>
  <si>
    <t>SALARIES - POLICE CLERKS</t>
  </si>
  <si>
    <t>SALARIES - POLICE OFFICERS</t>
  </si>
  <si>
    <t>01-210-52-00-5214</t>
  </si>
  <si>
    <t>01-210-52-00-5213</t>
  </si>
  <si>
    <t>01-210-52-00-5212</t>
  </si>
  <si>
    <t>01-210-54-00-5469</t>
  </si>
  <si>
    <t>01-210-54-00-5467</t>
  </si>
  <si>
    <t>01-210-54-00-5466</t>
  </si>
  <si>
    <t>01-210-54-00-5462</t>
  </si>
  <si>
    <t>01-210-54-00-5452</t>
  </si>
  <si>
    <t>01-210-54-00-5440</t>
  </si>
  <si>
    <t>01-210-54-00-5430</t>
  </si>
  <si>
    <t>01-210-54-00-5426</t>
  </si>
  <si>
    <t>01-210-54-00-5415</t>
  </si>
  <si>
    <t>NEW WORLD LIVE SCAN</t>
  </si>
  <si>
    <t>LEGAL SERVICES</t>
  </si>
  <si>
    <t>TRAINING &amp; CONFERENCE</t>
  </si>
  <si>
    <t>01-210-56-00-5696</t>
  </si>
  <si>
    <t>01-210-56-00-5695</t>
  </si>
  <si>
    <t>01-210-56-00-5635</t>
  </si>
  <si>
    <t>01-210-56-00-5620</t>
  </si>
  <si>
    <t>01-210-56-00-5610</t>
  </si>
  <si>
    <t>01-210-56-00-5600</t>
  </si>
  <si>
    <t>AMMUNITION</t>
  </si>
  <si>
    <t>GASOLINE</t>
  </si>
  <si>
    <t>KENDALL CO. JUVE PROBATION</t>
  </si>
  <si>
    <t>01-220-50-00-5010</t>
  </si>
  <si>
    <t>01-220-52-00-5214</t>
  </si>
  <si>
    <t>01-220-52-00-5212</t>
  </si>
  <si>
    <t>01-220-54-00-5466</t>
  </si>
  <si>
    <t>01-220-54-00-5462</t>
  </si>
  <si>
    <t>01-220-54-00-5452</t>
  </si>
  <si>
    <t>01-220-54-00-5440</t>
  </si>
  <si>
    <t>01-220-54-00-5430</t>
  </si>
  <si>
    <t>01-220-54-00-5426</t>
  </si>
  <si>
    <t>01-220-54-00-5415</t>
  </si>
  <si>
    <t>01-220-54-00-5412</t>
  </si>
  <si>
    <t>01-220-56-00-5645</t>
  </si>
  <si>
    <t>01-220-56-00-5635</t>
  </si>
  <si>
    <t>01-220-56-00-5630</t>
  </si>
  <si>
    <t>01-220-56-00-5620</t>
  </si>
  <si>
    <t>01-220-56-00-5610</t>
  </si>
  <si>
    <t>01-410-50-00-5020</t>
  </si>
  <si>
    <t>01-410-50-00-5010</t>
  </si>
  <si>
    <t>01-410-52-00-5214</t>
  </si>
  <si>
    <t>01-410-52-00-5212</t>
  </si>
  <si>
    <t>01-410-54-00-5485</t>
  </si>
  <si>
    <t>01-410-54-00-5480</t>
  </si>
  <si>
    <t>01-410-54-00-5462</t>
  </si>
  <si>
    <t>01-410-54-00-5440</t>
  </si>
  <si>
    <t>01-410-54-00-5412</t>
  </si>
  <si>
    <t>01-410-56-00-5695</t>
  </si>
  <si>
    <t>01-410-56-00-5656</t>
  </si>
  <si>
    <t>01-410-56-00-5626</t>
  </si>
  <si>
    <t>01-410-56-00-5620</t>
  </si>
  <si>
    <t>01-410-56-00-5600</t>
  </si>
  <si>
    <t>MOSQUITO CONTROL</t>
  </si>
  <si>
    <t>TREE &amp; STUMP REMOVAL</t>
  </si>
  <si>
    <t>HANGING BASKETS</t>
  </si>
  <si>
    <t>SIDEWALK CONSTRUCTION</t>
  </si>
  <si>
    <t>01-540-54-00-5443</t>
  </si>
  <si>
    <t>01-540-54-00-5442</t>
  </si>
  <si>
    <t>LEAF PICKUP</t>
  </si>
  <si>
    <t>GARBAGE SERVICES</t>
  </si>
  <si>
    <t>01-640-52-00-5231</t>
  </si>
  <si>
    <t>01-640-52-00-5230</t>
  </si>
  <si>
    <t>01-640-52-00-5224</t>
  </si>
  <si>
    <t>01-640-52-00-5223</t>
  </si>
  <si>
    <t>01-640-52-00-5222</t>
  </si>
  <si>
    <t>UNEMPLOYMENT INSURANCE</t>
  </si>
  <si>
    <t>EMPLOYEE ASSISTANCE</t>
  </si>
  <si>
    <t>GROUP LIFE INSURANCE</t>
  </si>
  <si>
    <t>01-640-54-00-5494</t>
  </si>
  <si>
    <t>01-640-54-00-5493</t>
  </si>
  <si>
    <t>01-640-54-00-5492</t>
  </si>
  <si>
    <t>01-640-54-00-5491</t>
  </si>
  <si>
    <t>01-640-54-00-5475</t>
  </si>
  <si>
    <t>01-640-54-00-5463</t>
  </si>
  <si>
    <t>01-640-54-00-5461</t>
  </si>
  <si>
    <t>SALES TAX REBATE</t>
  </si>
  <si>
    <t>CABLE CONSORTIUM FEE</t>
  </si>
  <si>
    <t>SPECIAL COUNSEL</t>
  </si>
  <si>
    <t>LITIGATION COUNSEL</t>
  </si>
  <si>
    <t>CORPORATE COUNSEL</t>
  </si>
  <si>
    <t>01-640-54-00-5499</t>
  </si>
  <si>
    <t>01-640-70-00-7799</t>
  </si>
  <si>
    <r>
      <t xml:space="preserve">ROAD &amp; BRIDGE TAX                            </t>
    </r>
    <r>
      <rPr>
        <b/>
        <sz val="11"/>
        <rFont val="Times New Roman"/>
        <family val="1"/>
      </rPr>
      <t xml:space="preserve">  </t>
    </r>
  </si>
  <si>
    <t xml:space="preserve">PROPERTY TAXES - CORPORATE LEVY                                  </t>
  </si>
  <si>
    <t xml:space="preserve">PROPERTY TAXES - POLICE PENSION                                    </t>
  </si>
  <si>
    <t>01-000-40-00-4010</t>
  </si>
  <si>
    <t>01-640-99-00-9923</t>
  </si>
  <si>
    <t>01-640-99-00-9942</t>
  </si>
  <si>
    <t>01-640-99-00-9952</t>
  </si>
  <si>
    <t>01-640-99-00-9979</t>
  </si>
  <si>
    <t>01-000-42-00-4214</t>
  </si>
  <si>
    <t>FY 2012</t>
  </si>
  <si>
    <t>01-110-54-00-5451</t>
  </si>
  <si>
    <t>01-110-54-00-5488</t>
  </si>
  <si>
    <t>01-120-54-00-5414</t>
  </si>
  <si>
    <t>01-120-54-00-5460</t>
  </si>
  <si>
    <t>01-130-54-00-5452</t>
  </si>
  <si>
    <t>01-130-54-00-5462</t>
  </si>
  <si>
    <t>01-130-56-00-5692</t>
  </si>
  <si>
    <t>01-150-54-00-5430</t>
  </si>
  <si>
    <t>01-150-54-00-5460</t>
  </si>
  <si>
    <t>01-210-54-00-5410</t>
  </si>
  <si>
    <t>01-210-54-00-5412</t>
  </si>
  <si>
    <t>01-210-54-00-5484</t>
  </si>
  <si>
    <t>01-210-54-00-5460</t>
  </si>
  <si>
    <t>01-220-54-00-5486</t>
  </si>
  <si>
    <t>01-220-54-00-5460</t>
  </si>
  <si>
    <t>01-640-52-00-5216</t>
  </si>
  <si>
    <t>01-640-54-00-5456</t>
  </si>
  <si>
    <t>01-640-54-00-5481</t>
  </si>
  <si>
    <t>TRANSFER TO CITYWIDE CAPITAL</t>
  </si>
  <si>
    <t>TRANSFER TO DEBT SERVICE</t>
  </si>
  <si>
    <t>TRANSFER TO WATER</t>
  </si>
  <si>
    <t>TRANSFER TO SEWER</t>
  </si>
  <si>
    <t>TRANSFER FROM SEWER</t>
  </si>
  <si>
    <t>01-000-46-00-4685</t>
  </si>
  <si>
    <t>REIMB - CABLE CONSORTIUM</t>
  </si>
  <si>
    <t>01-210-56-00-5640</t>
  </si>
  <si>
    <t>01-210-54-00-5495</t>
  </si>
  <si>
    <t>01-410-56-00-5640</t>
  </si>
  <si>
    <t xml:space="preserve">LOCAL USE TAX                                              </t>
  </si>
  <si>
    <t>01-000-48-00-4845</t>
  </si>
  <si>
    <t>DONATIONS</t>
  </si>
  <si>
    <t>01-000-41-00-4182</t>
  </si>
  <si>
    <t>MISC INTERGOVERNMENTAL</t>
  </si>
  <si>
    <t>01-210-56-00-5690</t>
  </si>
  <si>
    <t>SUPPLIES - GRANT REIMBURSABLE</t>
  </si>
  <si>
    <t>01-220-56-00-5690</t>
  </si>
  <si>
    <t>ADMINISTRATIVE ADJUDICATION</t>
  </si>
  <si>
    <t>REIMB - LIABILITY INSURANCE</t>
  </si>
  <si>
    <t>01-000-48-00-4820</t>
  </si>
  <si>
    <t>RENTAL INCOME</t>
  </si>
  <si>
    <t>TELECOMMUNICATIONS</t>
  </si>
  <si>
    <t>EMPLOYER CONTRI - POLICE PENSION</t>
  </si>
  <si>
    <t>01-410-56-00-5630</t>
  </si>
  <si>
    <t>01-220-54-00-5459</t>
  </si>
  <si>
    <t>INSPECTIONS</t>
  </si>
  <si>
    <t>01-410-54-00-5458</t>
  </si>
  <si>
    <t>LIABILITY INSURANCE</t>
  </si>
  <si>
    <t xml:space="preserve">POLICE COMMISSION </t>
  </si>
  <si>
    <t>01-210-54-00-5411</t>
  </si>
  <si>
    <t>01-410-54-00-5455</t>
  </si>
  <si>
    <t>COMPUTER EQUIPMENT &amp; SOFTWARE</t>
  </si>
  <si>
    <t>01-000-40-00-4080</t>
  </si>
  <si>
    <t>PARA-MUTUEL TAX</t>
  </si>
  <si>
    <t>01-000-44-00-4474</t>
  </si>
  <si>
    <t>POLICE SPECIAL DETAIL</t>
  </si>
  <si>
    <t>01-640-50-00-5092</t>
  </si>
  <si>
    <t>POLICE SPECIAL DETAIL WAGES</t>
  </si>
  <si>
    <t>ADMISSIONS TAX REBATE</t>
  </si>
  <si>
    <t>FY 2013</t>
  </si>
  <si>
    <t>FY 2014</t>
  </si>
  <si>
    <t>01-000-46-00-4681</t>
  </si>
  <si>
    <t>REIMB - WORKERS COMP</t>
  </si>
  <si>
    <t>01-000-46-00-4671</t>
  </si>
  <si>
    <t>REIMB - LIFE INSURANCE</t>
  </si>
  <si>
    <t>01-150-56-00-5690</t>
  </si>
  <si>
    <t>01-000-46-00-4668</t>
  </si>
  <si>
    <t>01-000-46-00-4669</t>
  </si>
  <si>
    <t>CITY PROPERTY TAX REBATE</t>
  </si>
  <si>
    <t xml:space="preserve">PROPERTY TAXES - FOX INDUSTRIAL TIF                         </t>
  </si>
  <si>
    <t>REIMB - EMPLOYEE INS CONTRIBUTIONS</t>
  </si>
  <si>
    <t>01-640-56-00-5625</t>
  </si>
  <si>
    <t>REIMBURSABLE REPAIRS</t>
  </si>
  <si>
    <t>REIMB - COBRA CONTRIBUTIONS</t>
  </si>
  <si>
    <t>REIMB - RETIREE INS CONTRIBUTIONS</t>
  </si>
  <si>
    <t>01-210-54-00-5472</t>
  </si>
  <si>
    <t>FY 2015</t>
  </si>
  <si>
    <t>BAD DEBT RECOVERY</t>
  </si>
  <si>
    <t>01-000-48-00-4821</t>
  </si>
  <si>
    <t>FY 2016</t>
  </si>
  <si>
    <t>FY 2017</t>
  </si>
  <si>
    <t>01-640-54-00-5465</t>
  </si>
  <si>
    <t>ENGINEERING SERVICES</t>
  </si>
  <si>
    <t>01-000-40-00-4035</t>
  </si>
  <si>
    <t>12-000-40-00-4012</t>
  </si>
  <si>
    <t xml:space="preserve">PROPERTY TAXES - SUNFLOWER SSA                               </t>
  </si>
  <si>
    <t>12-112-54-00-5495</t>
  </si>
  <si>
    <t>11-000-40-00-4011</t>
  </si>
  <si>
    <t xml:space="preserve">PROPERTY TAXES - FOX HILL SSA                               </t>
  </si>
  <si>
    <t>11-111-54-00-5495</t>
  </si>
  <si>
    <t>15-000-41-00-4112</t>
  </si>
  <si>
    <t xml:space="preserve">MOTOR FUEL TAX </t>
  </si>
  <si>
    <t>15-000-41-00-4113</t>
  </si>
  <si>
    <t>MFT HIGH GROWTH</t>
  </si>
  <si>
    <t>15-000-41-00-4172</t>
  </si>
  <si>
    <t>ILLINOIS JOBS NOW PROCEEDS</t>
  </si>
  <si>
    <t>15-000-45-00-4500</t>
  </si>
  <si>
    <t>15-000-46-00-4605</t>
  </si>
  <si>
    <t>REIMB - OLD JAIL/DWTWN PARKING LOT</t>
  </si>
  <si>
    <t>15-000-48-00-4850</t>
  </si>
  <si>
    <t>TRANSFER FROM GENERAL</t>
  </si>
  <si>
    <t>15-155-54-00-5462</t>
  </si>
  <si>
    <t>15-155-54-00-5495</t>
  </si>
  <si>
    <t>15-155-56-00-5618</t>
  </si>
  <si>
    <t>SALT</t>
  </si>
  <si>
    <t>15-155-56-00-5619</t>
  </si>
  <si>
    <t>SIGNS</t>
  </si>
  <si>
    <t>15-155-56-00-5632</t>
  </si>
  <si>
    <t>PATCHING</t>
  </si>
  <si>
    <t>15-155-56-00-5633</t>
  </si>
  <si>
    <t>COLD PATCH</t>
  </si>
  <si>
    <t>15-155-56-00-5634</t>
  </si>
  <si>
    <t>HOT PATCH</t>
  </si>
  <si>
    <t>15-155-56-00-5640</t>
  </si>
  <si>
    <t>15-155-60-00-6072</t>
  </si>
  <si>
    <t>DOWNTOWN PARKING LOT</t>
  </si>
  <si>
    <t>15-155-60-00-6073</t>
  </si>
  <si>
    <t>GAME FARM ROAD PROJECT</t>
  </si>
  <si>
    <t>15-155-60-00-6074</t>
  </si>
  <si>
    <t>FOX ROAD PROJECT</t>
  </si>
  <si>
    <t>15-155-60-00-6079</t>
  </si>
  <si>
    <t>ROUTE 47 EXPANSION</t>
  </si>
  <si>
    <t>15-155-99-00-9923</t>
  </si>
  <si>
    <t>TRANSFER TO CITY-WIDE CAPITAL</t>
  </si>
  <si>
    <t>16-000-42-00-4214</t>
  </si>
  <si>
    <t>WEATHER WARNING SIREN FEES</t>
  </si>
  <si>
    <t>DUI FINES</t>
  </si>
  <si>
    <t>EQUIPMENT</t>
  </si>
  <si>
    <t>VEHICLES</t>
  </si>
  <si>
    <t>MOWING INCOME</t>
  </si>
  <si>
    <t>TRANSFER FROM PARK &amp; REC CAPITAL</t>
  </si>
  <si>
    <t>INTEREST PAYMENT</t>
  </si>
  <si>
    <t>RAINTREE PARK</t>
  </si>
  <si>
    <t>BASEBALL FIELD CONSTRUCTION</t>
  </si>
  <si>
    <t>TRANSFER TO PUBLIC WORKS CAPITAL</t>
  </si>
  <si>
    <t>23-000-42-00-4210</t>
  </si>
  <si>
    <t>23-000-42-00-4213</t>
  </si>
  <si>
    <t>ENGINEERING CAPITAL FEE</t>
  </si>
  <si>
    <t>23-000-42-00-4214</t>
  </si>
  <si>
    <t>23-000-42-00-4222</t>
  </si>
  <si>
    <r>
      <t xml:space="preserve">ROAD CONTRIBUTION FEE                            </t>
    </r>
    <r>
      <rPr>
        <b/>
        <sz val="11"/>
        <rFont val="Times New Roman"/>
        <family val="1"/>
      </rPr>
      <t xml:space="preserve"> </t>
    </r>
  </si>
  <si>
    <t>23-000-45-00-4500</t>
  </si>
  <si>
    <t>23-000-46-00-4690</t>
  </si>
  <si>
    <t>23-000-49-00-4900</t>
  </si>
  <si>
    <t>BOND PROCEEDS</t>
  </si>
  <si>
    <t>23-000-49-00-4901</t>
  </si>
  <si>
    <t>23-000-49-00-4915</t>
  </si>
  <si>
    <t>TRANSFER FROM MOTOR FUEL TAX</t>
  </si>
  <si>
    <t>23-230-54-00-5462</t>
  </si>
  <si>
    <t>23-230-60-00-6023</t>
  </si>
  <si>
    <t>OLD JAIL PURCHASE</t>
  </si>
  <si>
    <t>23-230-60-00-6041</t>
  </si>
  <si>
    <t>23-230-60-00-6073</t>
  </si>
  <si>
    <t>23-230-60-00-6075</t>
  </si>
  <si>
    <t>RIVER ROAD BRIDGE PROJECT</t>
  </si>
  <si>
    <t>23-230-60-00-6092</t>
  </si>
  <si>
    <t>SAFE ROUTE TO SCHOOL PROJECT</t>
  </si>
  <si>
    <t>23-230-97-00-8000</t>
  </si>
  <si>
    <t>42-000-40-00-4006</t>
  </si>
  <si>
    <t xml:space="preserve">PROPERTY TAXES - 2005A BOND                  </t>
  </si>
  <si>
    <t>42-000-42-00-4208</t>
  </si>
  <si>
    <t>RECAPTURE FEES - WATER &amp; SEWER</t>
  </si>
  <si>
    <t>42-000-49-00-4901</t>
  </si>
  <si>
    <t>42-420-54-00-5498</t>
  </si>
  <si>
    <t>PAYING AGENT FEES</t>
  </si>
  <si>
    <t>42-420-81-00-8000</t>
  </si>
  <si>
    <t>42-420-81-00-8050</t>
  </si>
  <si>
    <t>42-420-82-00-8000</t>
  </si>
  <si>
    <t>42-420-82-00-8050</t>
  </si>
  <si>
    <t>51-000-40-00-4007</t>
  </si>
  <si>
    <t xml:space="preserve">PROPERTY TAXES - 2007A BOND             </t>
  </si>
  <si>
    <t>51-000-44-00-4424</t>
  </si>
  <si>
    <t>WATER SALES</t>
  </si>
  <si>
    <t>51-000-44-00-4425</t>
  </si>
  <si>
    <t>BULK WATER SALES</t>
  </si>
  <si>
    <t>51-000-44-00-4430</t>
  </si>
  <si>
    <t>WATER METER SALES</t>
  </si>
  <si>
    <t>51-000-44-00-4440</t>
  </si>
  <si>
    <t>WATER INFRASTRUCTURE FEE</t>
  </si>
  <si>
    <t>51-000-44-00-4450</t>
  </si>
  <si>
    <t>WATER CONNECTION FEES</t>
  </si>
  <si>
    <t>51-000-44-00-4473</t>
  </si>
  <si>
    <t>RECAPTURE FEES</t>
  </si>
  <si>
    <t>51-000-45-00-4500</t>
  </si>
  <si>
    <t>51-000-48-00-4850</t>
  </si>
  <si>
    <t>51-000-49-00-4952</t>
  </si>
  <si>
    <t>51-510-50-00-5010</t>
  </si>
  <si>
    <t>51-510-50-00-5020</t>
  </si>
  <si>
    <t>51-510-52-00-5212</t>
  </si>
  <si>
    <t>51-510-52-00-5214</t>
  </si>
  <si>
    <t>51-510-54-00-5412</t>
  </si>
  <si>
    <t>51-510-54-00-5415</t>
  </si>
  <si>
    <t>51-510-54-00-5426</t>
  </si>
  <si>
    <t>51-510-54-00-5429</t>
  </si>
  <si>
    <t>WATER SAMPLES</t>
  </si>
  <si>
    <t>51-510-54-00-5430</t>
  </si>
  <si>
    <t>51-510-54-00-5440</t>
  </si>
  <si>
    <t>51-510-54-00-5452</t>
  </si>
  <si>
    <t>51-510-54-00-5460</t>
  </si>
  <si>
    <t>51-510-54-00-5462</t>
  </si>
  <si>
    <t>51-510-54-00-5466</t>
  </si>
  <si>
    <t>51-510-54-00-5480</t>
  </si>
  <si>
    <t>51-510-54-00-5483</t>
  </si>
  <si>
    <t>JULIE SERVICES</t>
  </si>
  <si>
    <t>51-510-54-00-5485</t>
  </si>
  <si>
    <t>51-510-54-00-5499</t>
  </si>
  <si>
    <t>51-510-56-00-5600</t>
  </si>
  <si>
    <t>51-510-56-00-5620</t>
  </si>
  <si>
    <t>51-510-56-00-5630</t>
  </si>
  <si>
    <t>51-510-56-00-5635</t>
  </si>
  <si>
    <t>51-510-56-00-5638</t>
  </si>
  <si>
    <t>TREATMENT FACILITY SUPPLIES</t>
  </si>
  <si>
    <t>51-510-56-00-5640</t>
  </si>
  <si>
    <t>51-510-56-00-5664</t>
  </si>
  <si>
    <t>51-510-56-00-5695</t>
  </si>
  <si>
    <t>51-510-60-00-6079</t>
  </si>
  <si>
    <t>51-510-75-00-7502</t>
  </si>
  <si>
    <t>GRANDE RESERVE COURT ORDER</t>
  </si>
  <si>
    <t>Debt Service - 2007A Bond</t>
  </si>
  <si>
    <t>51-510-83-00-8000</t>
  </si>
  <si>
    <t>51-510-83-00-8050</t>
  </si>
  <si>
    <t>Debt Service - 2002 Capital Appreciation Debt Certificates</t>
  </si>
  <si>
    <t>51-510-85-00-8000</t>
  </si>
  <si>
    <t>51-510-85-00-8050</t>
  </si>
  <si>
    <t>Debt Service - 2003 Debt Certificates</t>
  </si>
  <si>
    <t>51-510-86-00-8000</t>
  </si>
  <si>
    <t>51-510-86-00-8050</t>
  </si>
  <si>
    <t>Debt Service - 2006A Refunding Debt Certificates</t>
  </si>
  <si>
    <t>51-510-87-00-8000</t>
  </si>
  <si>
    <t>51-510-87-00-8050</t>
  </si>
  <si>
    <t>Debt Service - 2005C Bond</t>
  </si>
  <si>
    <t>51-510-88-00-8000</t>
  </si>
  <si>
    <t>51-510-88-00-8050</t>
  </si>
  <si>
    <t>Debt Service - IEPA Loan L17-156300</t>
  </si>
  <si>
    <t>51-510-89-00-8000</t>
  </si>
  <si>
    <t>51-510-89-00-8050</t>
  </si>
  <si>
    <t>TRANSFER TO GENERAL</t>
  </si>
  <si>
    <t>52-000-40-00-4009</t>
  </si>
  <si>
    <t xml:space="preserve">PROPERTY TAXES - 2004B BOND            </t>
  </si>
  <si>
    <t>52-000-40-00-4013</t>
  </si>
  <si>
    <t xml:space="preserve">PROPERTY TAXES - 2005D BOND            </t>
  </si>
  <si>
    <t>52-000-40-00-4014</t>
  </si>
  <si>
    <t xml:space="preserve">PROPERTY TAXES - 2008 BOND            </t>
  </si>
  <si>
    <t>52-000-44-00-4435</t>
  </si>
  <si>
    <t>SEWER MAINTENANCE FEES</t>
  </si>
  <si>
    <t>52-000-44-00-4455</t>
  </si>
  <si>
    <t>SW CONNECTION FEES - OPERATIONS</t>
  </si>
  <si>
    <t>52-000-44-00-4456</t>
  </si>
  <si>
    <t>SW CONNECTION FEES - CAPITAL</t>
  </si>
  <si>
    <t>52-000-44-00-4457</t>
  </si>
  <si>
    <t>SW CONNECTION FEES - ROB ROY</t>
  </si>
  <si>
    <t>52-000-44-00-4465</t>
  </si>
  <si>
    <t>RIVER CROSSING FEES</t>
  </si>
  <si>
    <t>52-000-44-00-4473</t>
  </si>
  <si>
    <t>52-000-45-00-4500</t>
  </si>
  <si>
    <t>52-000-46-00-4690</t>
  </si>
  <si>
    <t>52-000-49-00-4901</t>
  </si>
  <si>
    <t>52-520-50-00-5010</t>
  </si>
  <si>
    <t>52-520-50-00-5020</t>
  </si>
  <si>
    <t>52-520-52-00-5212</t>
  </si>
  <si>
    <t>52-520-52-00-5214</t>
  </si>
  <si>
    <t>52-520-54-00-5412</t>
  </si>
  <si>
    <t>52-520-54-00-5415</t>
  </si>
  <si>
    <t>52-520-54-00-5440</t>
  </si>
  <si>
    <t>52-520-54-00-5462</t>
  </si>
  <si>
    <t>52-520-54-00-5480</t>
  </si>
  <si>
    <t>52-520-54-00-5485</t>
  </si>
  <si>
    <t>52-520-56-00-5600</t>
  </si>
  <si>
    <t>52-520-56-00-5610</t>
  </si>
  <si>
    <t>52-520-56-00-5613</t>
  </si>
  <si>
    <t>LIFT STATION MAINTENANCE</t>
  </si>
  <si>
    <t>52-520-56-00-5620</t>
  </si>
  <si>
    <t>52-520-56-00-5630</t>
  </si>
  <si>
    <t>52-520-56-00-5635</t>
  </si>
  <si>
    <t>52-520-56-00-5640</t>
  </si>
  <si>
    <t>52-520-56-00-5695</t>
  </si>
  <si>
    <t>52-520-60-00-6079</t>
  </si>
  <si>
    <t>52-520-75-00-7500</t>
  </si>
  <si>
    <t>LENNAR - RAINTREE SEWER RECPATURE</t>
  </si>
  <si>
    <t>Debt Service - 2004B Bond</t>
  </si>
  <si>
    <t>52-520-84-00-8000</t>
  </si>
  <si>
    <t>52-520-84-00-8050</t>
  </si>
  <si>
    <t>Debt Service - 2003 IRBB Debt Certificates</t>
  </si>
  <si>
    <t>52-520-90-00-8000</t>
  </si>
  <si>
    <t>52-520-90-00-8050</t>
  </si>
  <si>
    <t>Debt Service - 2004A Bond</t>
  </si>
  <si>
    <t>52-520-91-00-8000</t>
  </si>
  <si>
    <t>52-520-91-00-8050</t>
  </si>
  <si>
    <t>Debt Service - 2005D Bond</t>
  </si>
  <si>
    <t>52-520-93-00-8000</t>
  </si>
  <si>
    <t>52-520-93-00-8050</t>
  </si>
  <si>
    <t>Debt Service - 2008 Refunding Bond</t>
  </si>
  <si>
    <t>52-520-94-00-8000</t>
  </si>
  <si>
    <t>52-520-94-00-8050</t>
  </si>
  <si>
    <t>Debt Service - 2011 Refunding Bond</t>
  </si>
  <si>
    <t>Debt Service - IEPA Loan L17-013000</t>
  </si>
  <si>
    <t>52-520-95-00-8000</t>
  </si>
  <si>
    <t>52-520-95-00-8050</t>
  </si>
  <si>
    <t>Debt Service - IEPA Loan L17-115300</t>
  </si>
  <si>
    <t>52-520-96-00-8000</t>
  </si>
  <si>
    <t>52-520-96-00-8050</t>
  </si>
  <si>
    <t>72-000-41-00-4170</t>
  </si>
  <si>
    <t>72-000-47-00-4702</t>
  </si>
  <si>
    <t>WHISPERING MEADOWS (K HILL)</t>
  </si>
  <si>
    <t>72-000-47-00-4703</t>
  </si>
  <si>
    <t>AUTUMN CREEK</t>
  </si>
  <si>
    <t>72-000-47-00-4704</t>
  </si>
  <si>
    <t>BLACKBERRY WOODS</t>
  </si>
  <si>
    <t>72-000-47-00-4705</t>
  </si>
  <si>
    <t>BRISTOL BAY</t>
  </si>
  <si>
    <t>72-000-47-00-4706</t>
  </si>
  <si>
    <t>CALEDONIA</t>
  </si>
  <si>
    <t>72-000-47-00-4707</t>
  </si>
  <si>
    <t>RIVER'S EDGE</t>
  </si>
  <si>
    <t>72-720-60-00-6032</t>
  </si>
  <si>
    <t>MOSIER HOLDING COSTS</t>
  </si>
  <si>
    <t>72-720-60-00-6036</t>
  </si>
  <si>
    <t>RAINTREE VILLAGE</t>
  </si>
  <si>
    <t>72-720-60-00-6038</t>
  </si>
  <si>
    <t>WHEATON WOODS NATURE TRAIL</t>
  </si>
  <si>
    <t>72-720-60-00-6039</t>
  </si>
  <si>
    <t>BRISTOL BAY - PARK A</t>
  </si>
  <si>
    <t>72-720-60-00-6043</t>
  </si>
  <si>
    <t>BRISTOL BAY REGIONAL PARK</t>
  </si>
  <si>
    <t>72-720-60-00-6044</t>
  </si>
  <si>
    <t>72-720-60-00-6045</t>
  </si>
  <si>
    <t>RIVERFRONT PARK</t>
  </si>
  <si>
    <t>PROGRAM FEES</t>
  </si>
  <si>
    <t>79-000-44-00-4441</t>
  </si>
  <si>
    <t>CONCESSION REVENUE</t>
  </si>
  <si>
    <t>HOMETOWN DAYS</t>
  </si>
  <si>
    <t>79-000-45-00-4500</t>
  </si>
  <si>
    <t>79-000-48-00-4820</t>
  </si>
  <si>
    <t>79-000-48-00-4846</t>
  </si>
  <si>
    <t>79-000-48-00-4850</t>
  </si>
  <si>
    <t>79-000-49-00-4901</t>
  </si>
  <si>
    <t>79-790-50-00-5010</t>
  </si>
  <si>
    <t>79-790-50-00-5015</t>
  </si>
  <si>
    <t>79-790-50-00-5020</t>
  </si>
  <si>
    <t>79-790-52-00-5212</t>
  </si>
  <si>
    <t>79-790-52-00-5214</t>
  </si>
  <si>
    <t>79-790-54-00-5412</t>
  </si>
  <si>
    <t>79-790-54-00-5415</t>
  </si>
  <si>
    <t>79-790-54-00-5440</t>
  </si>
  <si>
    <t>79-790-54-00-5462</t>
  </si>
  <si>
    <t>79-790-54-00-5466</t>
  </si>
  <si>
    <t>79-790-54-00-5485</t>
  </si>
  <si>
    <t>79-790-56-00-5600</t>
  </si>
  <si>
    <t>79-790-56-00-5610</t>
  </si>
  <si>
    <t>79-790-56-00-5620</t>
  </si>
  <si>
    <t>79-790-56-00-5630</t>
  </si>
  <si>
    <t>79-790-56-00-5635</t>
  </si>
  <si>
    <t>79-790-56-00-5640</t>
  </si>
  <si>
    <t>CONCESSION WAGES</t>
  </si>
  <si>
    <t>PRE-SCHOOL WAGES</t>
  </si>
  <si>
    <t>INSTRUCTORS WAGES</t>
  </si>
  <si>
    <t>SCHOLARSHIPS</t>
  </si>
  <si>
    <t>PROGRAM REFUNDS</t>
  </si>
  <si>
    <t>HOMETOWN DAYS SUPPLIES</t>
  </si>
  <si>
    <t>PROGRAM SUPPLIES</t>
  </si>
  <si>
    <t>CONCESSION SUPPLIES</t>
  </si>
  <si>
    <t>80-000-44-00-4441</t>
  </si>
  <si>
    <t>80-000-44-00-4444</t>
  </si>
  <si>
    <t>MEMBERSHIP FEES</t>
  </si>
  <si>
    <t>80-000-44-00-4445</t>
  </si>
  <si>
    <t>GUEST FEES</t>
  </si>
  <si>
    <t>80-000-44-00-4446</t>
  </si>
  <si>
    <t>SWIM CLASS FEES</t>
  </si>
  <si>
    <t>80-000-44-00-4447</t>
  </si>
  <si>
    <t>PERSONAL TRAINING FEES</t>
  </si>
  <si>
    <t>80-000-44-00-4448</t>
  </si>
  <si>
    <t>TANNING SESSION FEES</t>
  </si>
  <si>
    <t>80-000-48-00-4820</t>
  </si>
  <si>
    <t>80-000-48-00-4846</t>
  </si>
  <si>
    <t>80-000-48-00-4850</t>
  </si>
  <si>
    <t>80-800-50-00-5010</t>
  </si>
  <si>
    <t>80-800-50-00-5015</t>
  </si>
  <si>
    <t>80-800-50-00-5046</t>
  </si>
  <si>
    <t>80-800-50-00-5052</t>
  </si>
  <si>
    <t>80-800-52-00-5212</t>
  </si>
  <si>
    <t>80-800-52-00-5214</t>
  </si>
  <si>
    <t>80-800-54-00-5412</t>
  </si>
  <si>
    <t>80-800-54-00-5415</t>
  </si>
  <si>
    <t>80-800-54-00-5426</t>
  </si>
  <si>
    <t>80-800-54-00-5440</t>
  </si>
  <si>
    <t>80-800-54-00-5447</t>
  </si>
  <si>
    <t>80-800-54-00-5452</t>
  </si>
  <si>
    <t>80-800-54-00-5462</t>
  </si>
  <si>
    <t>80-800-54-00-5480</t>
  </si>
  <si>
    <t>80-800-54-00-5485</t>
  </si>
  <si>
    <t>80-800-54-00-5495</t>
  </si>
  <si>
    <t>80-800-54-00-5496</t>
  </si>
  <si>
    <t>80-800-54-00-5497</t>
  </si>
  <si>
    <t>PROPERTY TAX PAYMENT</t>
  </si>
  <si>
    <t>80-800-56-00-5606</t>
  </si>
  <si>
    <t>80-800-56-00-5607</t>
  </si>
  <si>
    <t>80-800-56-00-5610</t>
  </si>
  <si>
    <t>80-800-56-00-5620</t>
  </si>
  <si>
    <t>80-800-56-00-5630</t>
  </si>
  <si>
    <t>80-800-56-00-5635</t>
  </si>
  <si>
    <t>80-800-56-00-5640</t>
  </si>
  <si>
    <t>80-800-56-00-5645</t>
  </si>
  <si>
    <t>80-800-56-00-5695</t>
  </si>
  <si>
    <t>82-000-40-00-4005</t>
  </si>
  <si>
    <t xml:space="preserve">PROPERTY TAXES - LIBRARY                         </t>
  </si>
  <si>
    <t>82-000-40-00-4015</t>
  </si>
  <si>
    <t xml:space="preserve">PROPERTY TAXES - DEBT SERVICE                   </t>
  </si>
  <si>
    <t>82-000-41-00-4120</t>
  </si>
  <si>
    <t>82-000-41-00-4170</t>
  </si>
  <si>
    <t>82-000-42-00-4211</t>
  </si>
  <si>
    <t>DEVELOPMENT FEES - BOOKS</t>
  </si>
  <si>
    <t>82-000-42-00-4212</t>
  </si>
  <si>
    <t>DEVELOPMENT FEES - BUILDING</t>
  </si>
  <si>
    <t>82-000-43-00-4330</t>
  </si>
  <si>
    <t>LIBRARY FINES</t>
  </si>
  <si>
    <t>82-000-44-00-4401</t>
  </si>
  <si>
    <t>LIBRARY SUBSCRIPTION CARDS</t>
  </si>
  <si>
    <t>82-000-44-00-4422</t>
  </si>
  <si>
    <t>COPY FEES</t>
  </si>
  <si>
    <t>82-000-44-00-4440</t>
  </si>
  <si>
    <t>82-000-45-00-4500</t>
  </si>
  <si>
    <t>82-000-48-00-4820</t>
  </si>
  <si>
    <t>82-000-48-00-4824</t>
  </si>
  <si>
    <t>DVD RENTAL INCOME</t>
  </si>
  <si>
    <t>82-000-48-00-4832</t>
  </si>
  <si>
    <t>MEMORIALS</t>
  </si>
  <si>
    <t>82-000-48-00-4850</t>
  </si>
  <si>
    <t>82-000-48-00-4881</t>
  </si>
  <si>
    <t>SALE OF BOOKS</t>
  </si>
  <si>
    <t>82-820-50-00-5010</t>
  </si>
  <si>
    <t>82-820-50-00-5015</t>
  </si>
  <si>
    <t>82-820-52-00-5212</t>
  </si>
  <si>
    <t>82-820-52-00-5214</t>
  </si>
  <si>
    <t>82-820-52-00-5216</t>
  </si>
  <si>
    <t>82-820-52-00-5222</t>
  </si>
  <si>
    <t>82-820-52-00-5223</t>
  </si>
  <si>
    <t>82-820-54-00-5412</t>
  </si>
  <si>
    <t>82-820-54-00-5415</t>
  </si>
  <si>
    <t>82-820-54-00-5423</t>
  </si>
  <si>
    <t>82-820-54-00-5426</t>
  </si>
  <si>
    <t>82-820-54-00-5440</t>
  </si>
  <si>
    <t>82-820-54-00-5452</t>
  </si>
  <si>
    <t>82-820-54-00-5460</t>
  </si>
  <si>
    <t>82-820-54-00-5462</t>
  </si>
  <si>
    <t>82-820-54-00-5466</t>
  </si>
  <si>
    <t>82-820-54-00-5468</t>
  </si>
  <si>
    <t>AUTOMATION</t>
  </si>
  <si>
    <t>82-820-54-00-5480</t>
  </si>
  <si>
    <t>82-820-54-00-5485</t>
  </si>
  <si>
    <t>82-820-54-00-5495</t>
  </si>
  <si>
    <t>82-820-56-00-5610</t>
  </si>
  <si>
    <t>82-820-56-00-5620</t>
  </si>
  <si>
    <t>82-820-56-00-5635</t>
  </si>
  <si>
    <t>82-820-56-00-5640</t>
  </si>
  <si>
    <t>82-820-56-00-5671</t>
  </si>
  <si>
    <t>LIBRARY PROGRAMMING</t>
  </si>
  <si>
    <t>82-820-56-00-5676</t>
  </si>
  <si>
    <t>EMPLOYEE RECOGNITION</t>
  </si>
  <si>
    <t>82-820-56-00-5680</t>
  </si>
  <si>
    <t>ADULT BOOKS</t>
  </si>
  <si>
    <t>82-820-56-00-5681</t>
  </si>
  <si>
    <t>JUVENILE BOOKS</t>
  </si>
  <si>
    <t>82-820-56-00-5682</t>
  </si>
  <si>
    <t>REFERENCE BOOKS</t>
  </si>
  <si>
    <t>82-820-56-00-5683</t>
  </si>
  <si>
    <t>AUDIO BOOKS</t>
  </si>
  <si>
    <t>82-820-56-00-5684</t>
  </si>
  <si>
    <t>82-820-56-00-5685</t>
  </si>
  <si>
    <t>DVD'S</t>
  </si>
  <si>
    <t>82-820-56-00-5686</t>
  </si>
  <si>
    <t>82-820-56-00-5698</t>
  </si>
  <si>
    <t>82-820-56-00-5699</t>
  </si>
  <si>
    <t>82-820-70-00-7799</t>
  </si>
  <si>
    <t>Debt Service - 2005B Bond</t>
  </si>
  <si>
    <t>82-820-83-00-8000</t>
  </si>
  <si>
    <t>82-820-83-00-8050</t>
  </si>
  <si>
    <t>Debt Service - 2006 Bond</t>
  </si>
  <si>
    <t>82-820-84-00-8000</t>
  </si>
  <si>
    <t>82-820-84-00-8050</t>
  </si>
  <si>
    <t>82-820-99-00-9984</t>
  </si>
  <si>
    <t>83-000-40-00-4015</t>
  </si>
  <si>
    <t>Library Debt Service</t>
  </si>
  <si>
    <t>85-000-40-00-4085</t>
  </si>
  <si>
    <t xml:space="preserve">PROPERTY TAXES - FOX INDUSTRIAL TIF                             </t>
  </si>
  <si>
    <t>85-000-45-00-4500</t>
  </si>
  <si>
    <t>85-850-54-00-5420</t>
  </si>
  <si>
    <t>ADMINISTRATIVE FEES</t>
  </si>
  <si>
    <t>Debt Service - 2002 Bond</t>
  </si>
  <si>
    <t>85-850-98-00-8000</t>
  </si>
  <si>
    <t>85-850-98-00-8050</t>
  </si>
  <si>
    <t>85-850-99-00-9901</t>
  </si>
  <si>
    <t>87-000-40-00-4087</t>
  </si>
  <si>
    <t xml:space="preserve">PROPERTY TAXES - COUNTRYSIDE TIF                             </t>
  </si>
  <si>
    <t>87-000-45-00-4500</t>
  </si>
  <si>
    <t>Countryside TIF</t>
  </si>
  <si>
    <t>87-870-54-00-5420</t>
  </si>
  <si>
    <t>87-870-54-00-5498</t>
  </si>
  <si>
    <t>Debt Service - 2005 Bond</t>
  </si>
  <si>
    <t>87-870-80-00-8000</t>
  </si>
  <si>
    <t>87-870-80-00-8050</t>
  </si>
  <si>
    <t>88-000-40-00-4088</t>
  </si>
  <si>
    <t xml:space="preserve">PROPERTY TAXES - DOWNTOWN TIF                             </t>
  </si>
  <si>
    <t>Downtown TIF</t>
  </si>
  <si>
    <t>88-880-54-00-5420</t>
  </si>
  <si>
    <t>88-880-60-00-6079</t>
  </si>
  <si>
    <t>Revenue</t>
  </si>
  <si>
    <t>Finance</t>
  </si>
  <si>
    <t>Police</t>
  </si>
  <si>
    <t>Expenditures</t>
  </si>
  <si>
    <t>Surplus(Deficit)</t>
  </si>
  <si>
    <t>Expenses</t>
  </si>
  <si>
    <t>Fund Balance</t>
  </si>
  <si>
    <t>01-640-99-00-9982</t>
  </si>
  <si>
    <t>TRANSFER TO LIBRARY OPERATIONS</t>
  </si>
  <si>
    <t>82-000-49-00-4901</t>
  </si>
  <si>
    <t>83-830-83-00-8000</t>
  </si>
  <si>
    <t>83-830-83-00-8050</t>
  </si>
  <si>
    <t>83-830-84-00-8000</t>
  </si>
  <si>
    <t>83-830-84-00-8050</t>
  </si>
  <si>
    <t>Administration</t>
  </si>
  <si>
    <t>Community Relations</t>
  </si>
  <si>
    <t>Engineering</t>
  </si>
  <si>
    <t>Street Operations</t>
  </si>
  <si>
    <t>Fund Balance Equiv</t>
  </si>
  <si>
    <t>Recreation Center</t>
  </si>
  <si>
    <t>GENERAL FUND - 01</t>
  </si>
  <si>
    <t>Fox Hill SSA - 11</t>
  </si>
  <si>
    <t>Sunflower SSA - 12</t>
  </si>
  <si>
    <t>Municipal Building - 16</t>
  </si>
  <si>
    <t>City-Wide Capital - 23</t>
  </si>
  <si>
    <t>Debt Service - 42</t>
  </si>
  <si>
    <t>Land Cash - 72</t>
  </si>
  <si>
    <t>Parks and Recreation - 79</t>
  </si>
  <si>
    <t>Water - 51</t>
  </si>
  <si>
    <t>Sewer - 52</t>
  </si>
  <si>
    <t>51-510-52-00-5231</t>
  </si>
  <si>
    <t>52-520-52-00-5231</t>
  </si>
  <si>
    <t>51-510-52-00-5230</t>
  </si>
  <si>
    <t>52-520-52-00-5230</t>
  </si>
  <si>
    <t>01-110-52-00-5216</t>
  </si>
  <si>
    <t>01-110-52-00-5222</t>
  </si>
  <si>
    <t>01-110-52-00-5223</t>
  </si>
  <si>
    <t>01-120-52-00-5216</t>
  </si>
  <si>
    <t>01-120-52-00-5222</t>
  </si>
  <si>
    <t>01-120-52-00-5223</t>
  </si>
  <si>
    <t>01-210-52-00-5216</t>
  </si>
  <si>
    <t>01-210-52-00-5222</t>
  </si>
  <si>
    <t>01-210-52-00-5223</t>
  </si>
  <si>
    <t>01-220-52-00-5216</t>
  </si>
  <si>
    <t>01-220-52-00-5222</t>
  </si>
  <si>
    <t>01-220-52-00-5223</t>
  </si>
  <si>
    <t>01-410-52-00-5216</t>
  </si>
  <si>
    <t>01-410-52-00-5222</t>
  </si>
  <si>
    <t>01-410-52-00-5223</t>
  </si>
  <si>
    <t>51-510-52-00-5216</t>
  </si>
  <si>
    <t>51-510-52-00-5222</t>
  </si>
  <si>
    <t>51-510-52-00-5223</t>
  </si>
  <si>
    <t>52-520-52-00-5216</t>
  </si>
  <si>
    <t>52-520-52-00-5222</t>
  </si>
  <si>
    <t>52-520-52-00-5223</t>
  </si>
  <si>
    <t>79-790-52-00-5216</t>
  </si>
  <si>
    <t>79-790-52-00-5222</t>
  </si>
  <si>
    <t>79-790-52-00-5223</t>
  </si>
  <si>
    <t>80-800-52-00-5216</t>
  </si>
  <si>
    <t>80-800-52-00-5222</t>
  </si>
  <si>
    <t>80-800-52-00-5223</t>
  </si>
  <si>
    <t>DENTAL INSURANCE</t>
  </si>
  <si>
    <t>01-110-52-00-5224</t>
  </si>
  <si>
    <t>VISION INSURANCE</t>
  </si>
  <si>
    <t>01-640-52-00-5225</t>
  </si>
  <si>
    <t>01-120-52-00-5224</t>
  </si>
  <si>
    <t>01-210-52-00-5224</t>
  </si>
  <si>
    <t>01-220-52-00-5224</t>
  </si>
  <si>
    <t>01-410-52-00-5224</t>
  </si>
  <si>
    <t>51-510-52-00-5224</t>
  </si>
  <si>
    <t>52-520-52-00-5224</t>
  </si>
  <si>
    <t>79-790-52-00-5224</t>
  </si>
  <si>
    <t>80-800-52-00-5224</t>
  </si>
  <si>
    <t>82-820-52-00-5224</t>
  </si>
  <si>
    <t>Parks Department</t>
  </si>
  <si>
    <t>Recreation Department</t>
  </si>
  <si>
    <t>01-000-46-00-4672</t>
  </si>
  <si>
    <t>REIMB - LIBRARY INSURANCE</t>
  </si>
  <si>
    <t>51-000-46-00-4670</t>
  </si>
  <si>
    <t>52-000-46-00-4670</t>
  </si>
  <si>
    <t>79-000-46-00-4670</t>
  </si>
  <si>
    <t>82-000-46-00-4670</t>
  </si>
  <si>
    <t>Administrative Services</t>
  </si>
  <si>
    <t>Library Operations</t>
  </si>
  <si>
    <t>Community Development</t>
  </si>
  <si>
    <t>51-000-46-00-4671</t>
  </si>
  <si>
    <t>82-000-46-00-4671</t>
  </si>
  <si>
    <t>01-000-49-00-4984</t>
  </si>
  <si>
    <t>84-000-49-00-4982</t>
  </si>
  <si>
    <t>TRANSFER FROM LIBRARY OPS</t>
  </si>
  <si>
    <t>84-840-99-00-9901</t>
  </si>
  <si>
    <t>SPECIAL ENGINEERING SERVICES</t>
  </si>
  <si>
    <t>01-640-54-00-5453</t>
  </si>
  <si>
    <t>RETIREMENT PLAN CONTRIBUTION-ERI</t>
  </si>
  <si>
    <t>52-520-75-00-7501</t>
  </si>
  <si>
    <t>WINDETT RIDGE - SEWER RECAPTURE</t>
  </si>
  <si>
    <t>Cash Flow - Surplus(Deficit)</t>
  </si>
  <si>
    <t>General</t>
  </si>
  <si>
    <t>Fox Hill</t>
  </si>
  <si>
    <t>Sunflower</t>
  </si>
  <si>
    <t>Water</t>
  </si>
  <si>
    <t>Sewer</t>
  </si>
  <si>
    <t>Land Cash</t>
  </si>
  <si>
    <t>NON-HOME RULE SALES TAX</t>
  </si>
  <si>
    <t>01-220-50-00-5015</t>
  </si>
  <si>
    <t>85-850-56-00-5619</t>
  </si>
  <si>
    <t>2004C Bond</t>
  </si>
  <si>
    <t>2005A Bond</t>
  </si>
  <si>
    <t>Clark Property</t>
  </si>
  <si>
    <t>2015 Bond</t>
  </si>
  <si>
    <t>01-410-54-00-5454</t>
  </si>
  <si>
    <t>SIDEWALK PROGRAM</t>
  </si>
  <si>
    <t>52-520-99-00-9999</t>
  </si>
  <si>
    <t>79-795-50-00-5010</t>
  </si>
  <si>
    <t>79-795-50-00-5015</t>
  </si>
  <si>
    <t>79-795-50-00-5020</t>
  </si>
  <si>
    <t>79-795-50-00-5045</t>
  </si>
  <si>
    <t>79-795-50-00-5046</t>
  </si>
  <si>
    <t>79-795-50-00-5052</t>
  </si>
  <si>
    <t>79-795-52-00-5212</t>
  </si>
  <si>
    <t>79-795-52-00-5214</t>
  </si>
  <si>
    <t>79-795-52-00-5216</t>
  </si>
  <si>
    <t>79-795-52-00-5222</t>
  </si>
  <si>
    <t>79-795-52-00-5223</t>
  </si>
  <si>
    <t>79-795-52-00-5224</t>
  </si>
  <si>
    <t>79-795-54-00-5412</t>
  </si>
  <si>
    <t>79-795-54-00-5415</t>
  </si>
  <si>
    <t>79-795-54-00-5426</t>
  </si>
  <si>
    <t>79-795-54-00-5440</t>
  </si>
  <si>
    <t>79-795-54-00-5447</t>
  </si>
  <si>
    <t>79-795-54-00-5452</t>
  </si>
  <si>
    <t>79-795-54-00-5462</t>
  </si>
  <si>
    <t>79-795-54-00-5480</t>
  </si>
  <si>
    <t>79-795-54-00-5485</t>
  </si>
  <si>
    <t>79-795-54-00-5495</t>
  </si>
  <si>
    <t>79-795-54-00-5496</t>
  </si>
  <si>
    <t>79-795-56-00-5602</t>
  </si>
  <si>
    <t>79-795-56-00-5606</t>
  </si>
  <si>
    <t>79-795-56-00-5607</t>
  </si>
  <si>
    <t>79-795-56-00-5610</t>
  </si>
  <si>
    <t>79-795-56-00-5620</t>
  </si>
  <si>
    <t>79-795-56-00-5630</t>
  </si>
  <si>
    <t>79-795-56-00-5635</t>
  </si>
  <si>
    <t>79-795-56-00-5640</t>
  </si>
  <si>
    <t>79-795-56-00-5645</t>
  </si>
  <si>
    <t>79-795-56-00-5690</t>
  </si>
  <si>
    <t>79-795-56-00-5695</t>
  </si>
  <si>
    <t>SEIZED VEHICLE PROCEEDS</t>
  </si>
  <si>
    <t>15-155-60-00-6075</t>
  </si>
  <si>
    <t>OTHER LICENSES &amp; PERMITS</t>
  </si>
  <si>
    <t>01-110-54-00-5485</t>
  </si>
  <si>
    <t>01-150-54-00-5485</t>
  </si>
  <si>
    <t>01-210-54-00-5485</t>
  </si>
  <si>
    <t>01-220-54-00-5485</t>
  </si>
  <si>
    <t>11-000-45-00-4500</t>
  </si>
  <si>
    <t>12-000-45-00-4500</t>
  </si>
  <si>
    <t>42-000-45-00-4500</t>
  </si>
  <si>
    <t>51-000-46-00-4690</t>
  </si>
  <si>
    <t>01-000-40-00-4044</t>
  </si>
  <si>
    <t>23-230-60-00-6094</t>
  </si>
  <si>
    <t>KENCOM</t>
  </si>
  <si>
    <t>01-640-54-00-5449</t>
  </si>
  <si>
    <t>88-880-54-00-5466</t>
  </si>
  <si>
    <t>88-880-60-00-6000</t>
  </si>
  <si>
    <t>PROJECT COSTS</t>
  </si>
  <si>
    <t>72-000-41-00-4171</t>
  </si>
  <si>
    <t>72-000-41-00-4173</t>
  </si>
  <si>
    <t>72-000-41-00-4174</t>
  </si>
  <si>
    <t>72-000-41-00-4175</t>
  </si>
  <si>
    <t>01-640-54-00-5450</t>
  </si>
  <si>
    <t>INFORMATION TECHNOLOGY SERVICES</t>
  </si>
  <si>
    <t>GRANDE RESERVE PARK A</t>
  </si>
  <si>
    <t>GRANDE RESERVE PARK B</t>
  </si>
  <si>
    <t>72-720-60-00-6046</t>
  </si>
  <si>
    <t>72-720-60-00-6047</t>
  </si>
  <si>
    <t>79-000-48-00-4825</t>
  </si>
  <si>
    <t>79-790-54-00-5495</t>
  </si>
  <si>
    <t>88-000-45-00-4500</t>
  </si>
  <si>
    <t>23-000-41-00-4176</t>
  </si>
  <si>
    <t>83-000-45-00-4500</t>
  </si>
  <si>
    <t>84-000-45-00-4500</t>
  </si>
  <si>
    <t>82-820-52-00-5231</t>
  </si>
  <si>
    <t>CITY</t>
  </si>
  <si>
    <t>Park &amp; Recreation</t>
  </si>
  <si>
    <t xml:space="preserve">Park &amp; Rec </t>
  </si>
  <si>
    <t>Rec Ctr</t>
  </si>
  <si>
    <t>Library</t>
  </si>
  <si>
    <t>Library Ops</t>
  </si>
  <si>
    <t>TIF LIQUIDATION</t>
  </si>
  <si>
    <t>01-220-56-00-5695</t>
  </si>
  <si>
    <t>OSLAD GRANT - PRAIRIE MEADOWS</t>
  </si>
  <si>
    <t>OSLAD GRANT - RAINTREE</t>
  </si>
  <si>
    <t>OSLAD GRANT - RIVERFRONT GRANT</t>
  </si>
  <si>
    <t>85-850-99-00-9942</t>
  </si>
  <si>
    <t>42-000-49-00-4985</t>
  </si>
  <si>
    <t>TRANSFER FROM FOX INDUSTRIAL TIF</t>
  </si>
  <si>
    <t>42-420-98-00-8000</t>
  </si>
  <si>
    <t>42-420-98-00-8050</t>
  </si>
  <si>
    <t>51-000-48-00-4821</t>
  </si>
  <si>
    <t>79-000-46-00-4690</t>
  </si>
  <si>
    <t>01-640-54-00-5462</t>
  </si>
  <si>
    <t>52-520-54-00-5430</t>
  </si>
  <si>
    <t>51-510-60-00-6060</t>
  </si>
  <si>
    <t>Liability Insurance</t>
  </si>
  <si>
    <t>Unemployment Ins</t>
  </si>
  <si>
    <t>Health Insurance</t>
  </si>
  <si>
    <t>Dental Insurance</t>
  </si>
  <si>
    <t>Vision Insurance</t>
  </si>
  <si>
    <t>82-820-52-00-5230</t>
  </si>
  <si>
    <t>Debt Service</t>
  </si>
  <si>
    <t>51-510-54-00-5498</t>
  </si>
  <si>
    <t>52-520-54-00-5499</t>
  </si>
  <si>
    <t>52-520-54-00-5498</t>
  </si>
  <si>
    <t>51-510-54-00-5448</t>
  </si>
  <si>
    <t>HOTEL TAX REBATE</t>
  </si>
  <si>
    <t>01-000-46-00-4604</t>
  </si>
  <si>
    <t>REIMB - ENGINEERING EXPENSES</t>
  </si>
  <si>
    <t>01-110-54-00-5448</t>
  </si>
  <si>
    <t>01-640-54-00-5479</t>
  </si>
  <si>
    <t>82-820-54-00-5498</t>
  </si>
  <si>
    <t>82-820-99-00-9983</t>
  </si>
  <si>
    <t>TRANSFER TO LIBRARY DEBT SERVICE</t>
  </si>
  <si>
    <t>83-000-49-00-4982</t>
  </si>
  <si>
    <t>84-840-60-00-6020</t>
  </si>
  <si>
    <t>BUILDINGS &amp; STRUCTURES</t>
  </si>
  <si>
    <t>Non-Abatement of Debt Service</t>
  </si>
  <si>
    <t>Fox Industrial TIF</t>
  </si>
  <si>
    <t>STATE GRANTS - SAFE ROUTE TO SCHOOL</t>
  </si>
  <si>
    <t>23-000-41-00-4178</t>
  </si>
  <si>
    <t>Budget</t>
  </si>
  <si>
    <t xml:space="preserve">DEVELOPMENT FEES </t>
  </si>
  <si>
    <t>84-000-42-00-4214</t>
  </si>
  <si>
    <t>23-000-41-00-4179</t>
  </si>
  <si>
    <t>STATE GRANTS - DCEO TAP OLD JAIL</t>
  </si>
  <si>
    <t>01-410-54-00-5446</t>
  </si>
  <si>
    <t>PROPERTY &amp; BLDG MAINT SERVICES</t>
  </si>
  <si>
    <t>PROPERTY &amp; BLDG MAINT SUPPLIES</t>
  </si>
  <si>
    <t>51-510-54-00-5445</t>
  </si>
  <si>
    <t>TREATMENT FACILITY SERVICES</t>
  </si>
  <si>
    <t>52-520-54-00-5444</t>
  </si>
  <si>
    <t>LIFT STATION SERVICES</t>
  </si>
  <si>
    <t>01-110-52-00-5235</t>
  </si>
  <si>
    <t>01-110-52-00-5236</t>
  </si>
  <si>
    <t>01-110-52-00-5237</t>
  </si>
  <si>
    <t>01-110-52-00-5238</t>
  </si>
  <si>
    <t>01-540-54-00-5441</t>
  </si>
  <si>
    <t>GARBAGE SERVICES - SENIOR SUBSIDY</t>
  </si>
  <si>
    <t>01-210-50-00-5011</t>
  </si>
  <si>
    <t>SALARIES - POLICE CHIEF &amp; DEPUTIES</t>
  </si>
  <si>
    <t>SALARIES - SERGEANTS</t>
  </si>
  <si>
    <t>01-210-50-00-5006</t>
  </si>
  <si>
    <t>SALARIES - LIEUT/SERGEANTS/CHIEFS</t>
  </si>
  <si>
    <t>.</t>
  </si>
  <si>
    <t>MDT - ALERTS FEE</t>
  </si>
  <si>
    <t>01-210-56-00-5650</t>
  </si>
  <si>
    <t>COMMUNITY SERVICES</t>
  </si>
  <si>
    <t>OFFENDER REGISTRATION FEES</t>
  </si>
  <si>
    <t>ELECTED OFFICIAL - GROUP HEALTH INSURANCE</t>
  </si>
  <si>
    <t>ELECTED OFFICIAL - GROUP LIFE INSURANCE</t>
  </si>
  <si>
    <t>ELECTED OFFICIAL - DENTAL INSURANCE</t>
  </si>
  <si>
    <t>ELECTED OFFICIAL - VISION INSURANCE</t>
  </si>
  <si>
    <t>Motor Fuel Tax</t>
  </si>
  <si>
    <t>Municipal Bldg</t>
  </si>
  <si>
    <t>Police Capital</t>
  </si>
  <si>
    <t>City Wide Capital</t>
  </si>
  <si>
    <t>City</t>
  </si>
  <si>
    <t>EE Ins Contributions</t>
  </si>
  <si>
    <t>Net Ins Costs</t>
  </si>
  <si>
    <t>COBRA Contri</t>
  </si>
  <si>
    <t>Retiree Contri</t>
  </si>
  <si>
    <t>Lib</t>
  </si>
  <si>
    <t>01-640-52-00-5240</t>
  </si>
  <si>
    <t>01-640-52-00-5241</t>
  </si>
  <si>
    <t>01-640-52-00-5242</t>
  </si>
  <si>
    <t>RETIREES - GROUP HEALTH INSURANCE</t>
  </si>
  <si>
    <t>RETIREES - DENTAL INSURANCE</t>
  </si>
  <si>
    <t>RETIREES - VISION INSURANCE</t>
  </si>
  <si>
    <t>01-640-52-00-5250</t>
  </si>
  <si>
    <t>01-640-52-00-5251</t>
  </si>
  <si>
    <t>01-640-52-00-5252</t>
  </si>
  <si>
    <t>COBRA - GROUP HEALTH INSURANCE</t>
  </si>
  <si>
    <t>COBRA - DENTAL INSURANCE</t>
  </si>
  <si>
    <t>COBRA - VISION INSURANCE</t>
  </si>
  <si>
    <t>Allocated Items - Aggregated</t>
  </si>
  <si>
    <t>GENERAL FUND (01)</t>
  </si>
  <si>
    <t xml:space="preserve">The General Fund is the City’s primary operating fund.  It accounts for major tax revenue used to support administrative and public safety functions.    </t>
  </si>
  <si>
    <t>FY2011</t>
  </si>
  <si>
    <t>Adopted</t>
  </si>
  <si>
    <t xml:space="preserve">Revenue </t>
  </si>
  <si>
    <t>Taxes</t>
  </si>
  <si>
    <t>Intergovernmental</t>
  </si>
  <si>
    <t>Licenses &amp; Permits</t>
  </si>
  <si>
    <t>Fines &amp; Forfeits</t>
  </si>
  <si>
    <t>Charges for Service</t>
  </si>
  <si>
    <t>Investment Earnings</t>
  </si>
  <si>
    <t>Reimbursements</t>
  </si>
  <si>
    <t>Miscellaneous</t>
  </si>
  <si>
    <t>Other Financing Sources</t>
  </si>
  <si>
    <t>Total Revenue</t>
  </si>
  <si>
    <t>Salaries</t>
  </si>
  <si>
    <t>Benefits</t>
  </si>
  <si>
    <t>Contractual Services</t>
  </si>
  <si>
    <t>Supplies</t>
  </si>
  <si>
    <t>Capital Outlay</t>
  </si>
  <si>
    <t>Contingencies</t>
  </si>
  <si>
    <t>Other Financing Uses</t>
  </si>
  <si>
    <t>Total Expenditures</t>
  </si>
  <si>
    <t>Surplus (Deficit)</t>
  </si>
  <si>
    <t>Ending Fund Balance</t>
  </si>
  <si>
    <t>Fox Hill SSA Fund (11)</t>
  </si>
  <si>
    <t>This fund was created for the purpose of maintaining the common areas of the Fox Hill Estates (SSA 2004-201) subdivision.  All money for the fund is derived from property taxes levied on homeowners in the subdivision.</t>
  </si>
  <si>
    <t>Sunflower SSA Fund (12)</t>
  </si>
  <si>
    <t>This fund was created for the purpose of maintaining the common areas of the Sunflower Estates (SSA 2006-119) subdivision.  All money for the fund is derived from property taxes levied on homeowners in the subdivision.</t>
  </si>
  <si>
    <t>Motor Fuel Tax Fund (15)</t>
  </si>
  <si>
    <t>Municipal Building Fund (16)</t>
  </si>
  <si>
    <t>City-Wide Capital Fund (23)</t>
  </si>
  <si>
    <t>Debt Service Fund (42)</t>
  </si>
  <si>
    <t>Water Fund (51)</t>
  </si>
  <si>
    <t xml:space="preserve">The Water Fund is an enterprise fund which is comprised of both a capital and operational budget. The capital portion is used for the improvement and expansion of water infrastructure, while the operational side is used to service and maintain City water systems.   </t>
  </si>
  <si>
    <t>Developer Commitments</t>
  </si>
  <si>
    <t>Total Expenses</t>
  </si>
  <si>
    <t>Ending Fund Balance Equivalent</t>
  </si>
  <si>
    <t>Sewer Fund (52)</t>
  </si>
  <si>
    <t>The Sewer Fund is an enterprise fund which is comprised of both a capital and operational budget.  The capital portion is used for improvement and expansion of the sanitary sewer infrastructure while the operational side allows the City to service and maintain sanitary sewer systems.</t>
  </si>
  <si>
    <t>Land Cash Fund (72)</t>
  </si>
  <si>
    <t xml:space="preserve">Land-Cash funds are dedicated by developers through the contribution ordinance to serve the immediate and future needs of park and recreation of residents in new subdivisions. Land for park development and cash spent on recreational facilities is often matched through grant funding to meet the community’s recreation needs at a lower cost to the City. </t>
  </si>
  <si>
    <t>Land Cash Contributions</t>
  </si>
  <si>
    <t>Parks and Recreation Fund (79)</t>
  </si>
  <si>
    <t>This fund accounts for the daily operations of the  Parks and Recreation Department.  Programs, classes, special events and maintenance of City wide park land and public facilities make up the day to day operations.  Programs and classes consist of a wide variety of options serving children through senior citizens.  Special events range from Music Under the Stars to Home Town Days.  City wide maintenance consists of over two hundred acres at more than fifty sites including buildings, boulevards, parks, utility locations and natural areas.</t>
  </si>
  <si>
    <t>Recreation Center Fund (80)</t>
  </si>
  <si>
    <t>Library Operations Fund (82)</t>
  </si>
  <si>
    <t>The Yorkville Public Library provides the people of the community, from pre-school through maturity, with access to a collection of books and other materials which will serve their educational, cultural and recreational needs.  The Library board and staff strive to provide the community an environment that promotes the love of reading.</t>
  </si>
  <si>
    <t>Library Debt Service Fund (83)</t>
  </si>
  <si>
    <t xml:space="preserve">The Library Debt Service Fund accumulates monies for payment of the 2005B and 2006 bonds, which were issued to finance construction of the Library building.  </t>
  </si>
  <si>
    <t>Library Capital Fund (84)</t>
  </si>
  <si>
    <t>Fox Industrial TIF Fund (85)</t>
  </si>
  <si>
    <t>Countryside TIF Fund (87)</t>
  </si>
  <si>
    <t>The Countryside TIF was created in February of 2005, with the intent of constructing a future retail development at Countryside Center.  This TIF is located at the northwest corner of US Route 34 and IL Route 47.</t>
  </si>
  <si>
    <t>Downtown TIF Fund (88)</t>
  </si>
  <si>
    <t>The Downtown TIF was created in 2006, in order to finance a mixed use development in the downtown area.</t>
  </si>
  <si>
    <t>The Fox Industrial TIF was created in 2001, in order to finance public infrastructure improvements for the Fox Industrial area.  This TIF was closed out in fiscal year 2012.</t>
  </si>
  <si>
    <t>ADMINISTRATION DEPARTMENT</t>
  </si>
  <si>
    <t>Total Administration</t>
  </si>
  <si>
    <t>FINANCE DEPARTMENT</t>
  </si>
  <si>
    <t>The Finance Department is responsible for the accounting, internal controls, external reporting and auditing of all financial transactions.   The Finance Department is in charge of the annual audit, utility billing, payables and payroll and works with administration in the preparation of the annual budget.  Personnel are budgeted in the General and Water funds.</t>
  </si>
  <si>
    <t>Total Community Relations</t>
  </si>
  <si>
    <t>ENGINEERING DEPARTMENT</t>
  </si>
  <si>
    <t>POLICE DEPARTMENT</t>
  </si>
  <si>
    <t>The mission of the Yorkville Police Department is to work in partnership with the community to protect life and property, assist neighborhoods with solving their problems and enhance the quality of life in our city.</t>
  </si>
  <si>
    <t>COMMUNITY DEVELOPMENT DEPARTMENT</t>
  </si>
  <si>
    <t>The primary focus of the Community Development Department is to ensure that all existing and new construction is consistent with the overall development goals of the City which entails short and long-range planning, administration of zoning regulations, building permits issuance and code enforcement. The department also provides staff support to the City Council, Plan Commission, Zoning Board of Appeals and Park Board and assists in the review of all development plans proposed within the United City of Yorkville.</t>
  </si>
  <si>
    <t>Total Community Development</t>
  </si>
  <si>
    <t>PUBLIC WORKS DEPARTMENT</t>
  </si>
  <si>
    <t>The Public Works Department is an integral part of the United City of Yorkville.  We provide high quality drinking water, efficient disposal of sanitary waste and maintain a comprehensive road and storm sewer network to ensure the safety and quality of life for the citizens of Yorkville.</t>
  </si>
  <si>
    <t>ADMINISTRATIVE SERVICES DEPARTMENT</t>
  </si>
  <si>
    <t>United City of Yorkville</t>
  </si>
  <si>
    <t>Revenue Budget Summary - All Funds</t>
  </si>
  <si>
    <t>FUND</t>
  </si>
  <si>
    <t>General Fund</t>
  </si>
  <si>
    <t>Special Revenue Funds</t>
  </si>
  <si>
    <t>Parks and Recreation</t>
  </si>
  <si>
    <t>Fox Hill SSA</t>
  </si>
  <si>
    <t>Sunflower SSA</t>
  </si>
  <si>
    <t>Debt Service Fund</t>
  </si>
  <si>
    <t>Capital Project Funds</t>
  </si>
  <si>
    <t>Municipal Building</t>
  </si>
  <si>
    <t>Public Works Capital</t>
  </si>
  <si>
    <t>City-Wide Capital</t>
  </si>
  <si>
    <t>Enterprise Funds</t>
  </si>
  <si>
    <t>Library Funds</t>
  </si>
  <si>
    <t>Library Capital</t>
  </si>
  <si>
    <t>Expenditure Budget Summary - All Funds</t>
  </si>
  <si>
    <t>Library Fund</t>
  </si>
  <si>
    <t>Revenues by Category</t>
  </si>
  <si>
    <t xml:space="preserve">Other </t>
  </si>
  <si>
    <t>Inter-</t>
  </si>
  <si>
    <t>Licenses &amp;</t>
  </si>
  <si>
    <t>Fines &amp;</t>
  </si>
  <si>
    <t xml:space="preserve">Charges </t>
  </si>
  <si>
    <t>Investment</t>
  </si>
  <si>
    <t>Reimb-</t>
  </si>
  <si>
    <t>Miscel-</t>
  </si>
  <si>
    <t>Land</t>
  </si>
  <si>
    <t xml:space="preserve">Financing </t>
  </si>
  <si>
    <t>Fund</t>
  </si>
  <si>
    <t>governmental</t>
  </si>
  <si>
    <t>Permits</t>
  </si>
  <si>
    <t>Forfeits</t>
  </si>
  <si>
    <t>for Services</t>
  </si>
  <si>
    <t>Earnings</t>
  </si>
  <si>
    <t>ursements</t>
  </si>
  <si>
    <t>laneous</t>
  </si>
  <si>
    <t>Cash</t>
  </si>
  <si>
    <t>Sources</t>
  </si>
  <si>
    <t>Total</t>
  </si>
  <si>
    <t>Expenditures by Category</t>
  </si>
  <si>
    <t>Contractual</t>
  </si>
  <si>
    <t>Capital</t>
  </si>
  <si>
    <t xml:space="preserve">Developer </t>
  </si>
  <si>
    <t>Debt</t>
  </si>
  <si>
    <t>Financing</t>
  </si>
  <si>
    <t>Services</t>
  </si>
  <si>
    <t>Outlay</t>
  </si>
  <si>
    <t>Commitments</t>
  </si>
  <si>
    <t>Service</t>
  </si>
  <si>
    <t>Uses</t>
  </si>
  <si>
    <t>Fund Balance Summary</t>
  </si>
  <si>
    <t>Beginning</t>
  </si>
  <si>
    <t>Budgeted</t>
  </si>
  <si>
    <t xml:space="preserve">Budgeted </t>
  </si>
  <si>
    <t>Surplus</t>
  </si>
  <si>
    <t>Ending</t>
  </si>
  <si>
    <t>Revenues</t>
  </si>
  <si>
    <t>(Deficit)</t>
  </si>
  <si>
    <t>Totals</t>
  </si>
  <si>
    <t xml:space="preserve">Fund Balance History </t>
  </si>
  <si>
    <t>Enterprise Funds *</t>
  </si>
  <si>
    <t>*</t>
  </si>
  <si>
    <t xml:space="preserve">Full Time </t>
  </si>
  <si>
    <t>Overtime</t>
  </si>
  <si>
    <t>Part Time</t>
  </si>
  <si>
    <t>16-000-42-00-4216</t>
  </si>
  <si>
    <t>BUILD PROGRAM</t>
  </si>
  <si>
    <t>16-160-54-00-5405</t>
  </si>
  <si>
    <t>51-000-42-00-4216</t>
  </si>
  <si>
    <t>51-510-54-00-5405</t>
  </si>
  <si>
    <t>52-000-42-00-4216</t>
  </si>
  <si>
    <t>52-520-54-00-5405</t>
  </si>
  <si>
    <t>Motor Fuel Tax  - 15</t>
  </si>
  <si>
    <t>Cash Flow - Fund Balance</t>
  </si>
  <si>
    <t>TOTAL REVENUES</t>
  </si>
  <si>
    <t>TOTAL EXPENDITURES</t>
  </si>
  <si>
    <t>52-520-92-00-8000</t>
  </si>
  <si>
    <t>52-520-92-00-8050</t>
  </si>
  <si>
    <t xml:space="preserve">KENNEDY RD BIKE TRAIL </t>
  </si>
  <si>
    <t>PARK RENTALS</t>
  </si>
  <si>
    <t>51-000-48-00-4820</t>
  </si>
  <si>
    <t xml:space="preserve">RENTAL INCOME </t>
  </si>
  <si>
    <t>23-230-81-00-8000</t>
  </si>
  <si>
    <t>23-230-81-00-8050</t>
  </si>
  <si>
    <t>2002 Fox Industrial TIF Bond</t>
  </si>
  <si>
    <t>TRANSFER TO 2011 BOND ESCROW</t>
  </si>
  <si>
    <t>52-520-99-00-9951</t>
  </si>
  <si>
    <t>23-000-49-00-4905</t>
  </si>
  <si>
    <t>LOAN PROCEEDS</t>
  </si>
  <si>
    <t>Kendall County Loan - River Road Bridge</t>
  </si>
  <si>
    <t>Route 47 Expansion Project</t>
  </si>
  <si>
    <t>Capital Projects - Aggregated</t>
  </si>
  <si>
    <t>ELECTRONIC CITATION FEES</t>
  </si>
  <si>
    <t>TRANSFER TO LAND CASH</t>
  </si>
  <si>
    <t>84-840-56-00-5683</t>
  </si>
  <si>
    <t>84-840-56-00-5684</t>
  </si>
  <si>
    <t>84-840-56-00-5685</t>
  </si>
  <si>
    <t>84-840-56-00-5635</t>
  </si>
  <si>
    <t>BOOKS</t>
  </si>
  <si>
    <t>84-840-56-00-5686</t>
  </si>
  <si>
    <t>23-000-42-00-4216</t>
  </si>
  <si>
    <t>BUILD PROGRAM PERMITS</t>
  </si>
  <si>
    <t>23-230-54-00-5405</t>
  </si>
  <si>
    <t>79-000-44-00-4402</t>
  </si>
  <si>
    <t>SPECIAL EVENTS</t>
  </si>
  <si>
    <t>79-000-44-00-4403</t>
  </si>
  <si>
    <t>CHILD DEVELOPMENT</t>
  </si>
  <si>
    <t>79-000-44-00-4404</t>
  </si>
  <si>
    <t>MFT</t>
  </si>
  <si>
    <t>79-790-56-00-5695</t>
  </si>
  <si>
    <t>FY 2018</t>
  </si>
  <si>
    <t>CIRCUIT COURT FINES</t>
  </si>
  <si>
    <t>72-000-47-00-4701</t>
  </si>
  <si>
    <t>WHITE OAK UNIT 3 &amp; 4</t>
  </si>
  <si>
    <t>Fiscal Years 2011 - 2018</t>
  </si>
  <si>
    <t>Fiscal Year 2014 Budget</t>
  </si>
  <si>
    <t>01-130-52-00-5214</t>
  </si>
  <si>
    <t>Total Finance</t>
  </si>
  <si>
    <t>Total Engineering</t>
  </si>
  <si>
    <t xml:space="preserve">Total Police </t>
  </si>
  <si>
    <t xml:space="preserve">Total Public Works </t>
  </si>
  <si>
    <t>Total Admin Services &amp; Transfers</t>
  </si>
  <si>
    <t xml:space="preserve">Library Capital </t>
  </si>
  <si>
    <t>Fiscal Year 2014</t>
  </si>
  <si>
    <t>SALARIES &amp; WAGES</t>
  </si>
  <si>
    <t>01-110-50-00-5015</t>
  </si>
  <si>
    <t>EXCISE TAX</t>
  </si>
  <si>
    <t>23-230-60-00-6058</t>
  </si>
  <si>
    <t xml:space="preserve">US 34 (IL 47 / ORCHARD RD) PROJECT </t>
  </si>
  <si>
    <t>23-230-60-00-6059</t>
  </si>
  <si>
    <t>ROUTE 71 (RTE 47 -ORCHARD RD) PROJECT</t>
  </si>
  <si>
    <t>RTP GRANT - CLARK PARK</t>
  </si>
  <si>
    <t>CLARK PARK</t>
  </si>
  <si>
    <t>TRANSFER FROM LIBRARY CAPITAL</t>
  </si>
  <si>
    <t>TRANSFER TO LIBRARY CAPITAL</t>
  </si>
  <si>
    <t xml:space="preserve">TRANSFER TO GENERAL </t>
  </si>
  <si>
    <t>01-150-52-00-5216</t>
  </si>
  <si>
    <t>01-150-52-00-5222</t>
  </si>
  <si>
    <t>01-150-52-00-5223</t>
  </si>
  <si>
    <t>01-150-52-00-5224</t>
  </si>
  <si>
    <t>01-000-44-00-4451</t>
  </si>
  <si>
    <t>01-000-44-00-4452</t>
  </si>
  <si>
    <t>15-000-41-00-4170</t>
  </si>
  <si>
    <t>51-510-54-00-5401</t>
  </si>
  <si>
    <t>52-520-54-00-5401</t>
  </si>
  <si>
    <t>79-000-48-00-4843</t>
  </si>
  <si>
    <t>01-000-44-00-4472</t>
  </si>
  <si>
    <t>WATER CHARGEBACK</t>
  </si>
  <si>
    <t>SEWER CHARGEBACK</t>
  </si>
  <si>
    <t>LAND CASH CHARGEBACK</t>
  </si>
  <si>
    <t>ADMINISTRATIVE CHARGEBACK</t>
  </si>
  <si>
    <t>72-720-54-00-5401</t>
  </si>
  <si>
    <t>TRANSFER TO PARKS &amp; RECREATION</t>
  </si>
  <si>
    <t>16-000-49-00-4901</t>
  </si>
  <si>
    <t>01-640-99-00-9916</t>
  </si>
  <si>
    <t>TRANSFER TO MUNICIPAL BUILDING</t>
  </si>
  <si>
    <t>23-000-42-00-4218</t>
  </si>
  <si>
    <t>DEVELOPMENT FEES - MUNICIPAL BLDG</t>
  </si>
  <si>
    <t>Fund Balance - Municipal Building</t>
  </si>
  <si>
    <t>Fund Balance - City Wide Capital</t>
  </si>
  <si>
    <t>Vehicle &amp; Equipment - 25</t>
  </si>
  <si>
    <t>DEVELOPMENT FEES - POLICE CAPITAL</t>
  </si>
  <si>
    <t>25-000-42-00-4217</t>
  </si>
  <si>
    <t>DEVELOPMENT FEES - PW CAPITAL</t>
  </si>
  <si>
    <t>25-000-42-00-4216</t>
  </si>
  <si>
    <t>25-000-42-00-4215</t>
  </si>
  <si>
    <t>25-000-43-00-4315</t>
  </si>
  <si>
    <t>25-000-43-00-4316</t>
  </si>
  <si>
    <t>25-000-43-00-4340</t>
  </si>
  <si>
    <t>25-000-44-00-4418</t>
  </si>
  <si>
    <t>25-000-49-00-4922</t>
  </si>
  <si>
    <t>25-205-54-00-5462</t>
  </si>
  <si>
    <t>25-205-54-00-5495</t>
  </si>
  <si>
    <t>25-205-56-00-5620</t>
  </si>
  <si>
    <t>25-205-60-00-6060</t>
  </si>
  <si>
    <t>25-205-60-00-6070</t>
  </si>
  <si>
    <t>25-215-54-00-5405</t>
  </si>
  <si>
    <t>25-215-54-00-5448</t>
  </si>
  <si>
    <t>25-215-54-00-5485</t>
  </si>
  <si>
    <t>25-215-56-00-5620</t>
  </si>
  <si>
    <t>25-215-60-00-6060</t>
  </si>
  <si>
    <t>25-215-60-00-6070</t>
  </si>
  <si>
    <t>25-215-92-00-8000</t>
  </si>
  <si>
    <t>25-215-92-00-8050</t>
  </si>
  <si>
    <t>25-225-60-00-6035</t>
  </si>
  <si>
    <t>25-225-60-00-6042</t>
  </si>
  <si>
    <t>25-225-60-00-6060</t>
  </si>
  <si>
    <t>25-225-99-00-9921</t>
  </si>
  <si>
    <t>25-225-99-00-9972</t>
  </si>
  <si>
    <t>25-225-92-00-8000</t>
  </si>
  <si>
    <t>25-225-92-00-8050</t>
  </si>
  <si>
    <t>Vehicle &amp; Equipment</t>
  </si>
  <si>
    <t>Vehicle and Equipment Fund (25)</t>
  </si>
  <si>
    <t xml:space="preserve">This fund is new for fiscal year 2014, consolidating the Police Capital, Public Works Capital and Park &amp; Recreation Capital funds.  This fund primarily derives its revenue from monies collected from building permits and development fees.  The revenue is used to purchase vehicles and equipment for use in the operations of the police, public works and parks departments.  </t>
  </si>
  <si>
    <t>Vehicle &amp; Equip</t>
  </si>
  <si>
    <t>72-000-49-00-4925</t>
  </si>
  <si>
    <t>TRANSFER FROM VEHICLE &amp; EQUIPMENT</t>
  </si>
  <si>
    <t>Police Capital Expenditures</t>
  </si>
  <si>
    <t>Public Works Capital Expenditures</t>
  </si>
  <si>
    <t>Parks Capital Expenditures</t>
  </si>
  <si>
    <t>Police Capital Fund Balance</t>
  </si>
  <si>
    <t>Public Works Capital Fund Balance</t>
  </si>
  <si>
    <t>Parks Capital Fund Balance</t>
  </si>
  <si>
    <t>City-Wide Capital Expenditures</t>
  </si>
  <si>
    <t>Sub-Total Expenditures</t>
  </si>
  <si>
    <t>Total Public Works</t>
  </si>
  <si>
    <t>Account Number</t>
  </si>
  <si>
    <t>The City-Wide Capital fund is used to maintain existing and construct new public infrastructure, and to fund other improvements that benefit the public.  The Municipal Building fund was consolidated into this fund in fiscal year 2014.</t>
  </si>
  <si>
    <t>Municipal Building Fund Balance</t>
  </si>
  <si>
    <t>City-Wide Capital Fund Balance</t>
  </si>
  <si>
    <t>185 Wolf Street Building</t>
  </si>
  <si>
    <t>Parks &amp; Recreation Capital</t>
  </si>
  <si>
    <t>85-850-54-00-5400</t>
  </si>
  <si>
    <t xml:space="preserve">The Engineering Department was closed out at the beginning of fiscal year 2012.  Expenditures are now budgeted out of the administrative services department.  </t>
  </si>
  <si>
    <t>Fund Balance Equivalent</t>
  </si>
  <si>
    <t>87-870-54-00-5425</t>
  </si>
  <si>
    <t>FY 2010</t>
  </si>
  <si>
    <t>FY 2009</t>
  </si>
  <si>
    <t>01-110-54-00-5474</t>
  </si>
  <si>
    <t>SENIOR SERVICE FUNDING</t>
  </si>
  <si>
    <t>01-110-54-00-5460</t>
  </si>
  <si>
    <t>SALE OF FIXED ASSETS - POLICE CAPITAL</t>
  </si>
  <si>
    <t>15-155-54-00-5438</t>
  </si>
  <si>
    <t>SALT STORAGE</t>
  </si>
  <si>
    <t>84-840-54-00-5460</t>
  </si>
  <si>
    <t>25-000-42-00-4218</t>
  </si>
  <si>
    <t>25-000-42-00-4219</t>
  </si>
  <si>
    <t>25-000-42-00-4220</t>
  </si>
  <si>
    <t>DEVELOPMENT FEES - PARK CAPITAL</t>
  </si>
  <si>
    <t>25-000-45-00-4520</t>
  </si>
  <si>
    <t>25-000-45-00-4521</t>
  </si>
  <si>
    <t>25-000-45-00-4522</t>
  </si>
  <si>
    <t>25-000-46-00-4622</t>
  </si>
  <si>
    <t>25-000-48-00-4882</t>
  </si>
  <si>
    <t>25-000-48-00-4883</t>
  </si>
  <si>
    <t>SALE OF FIXED ASSETS - PARKS CAPITAL</t>
  </si>
  <si>
    <t>25-000-48-00-4852</t>
  </si>
  <si>
    <t>25-000-48-00-4854</t>
  </si>
  <si>
    <t>MISCELLANEOUS INCOME - PW CAPITAL</t>
  </si>
  <si>
    <t>INVESTMENT EARNINGS - PW CAPITAL</t>
  </si>
  <si>
    <t>INVESTMENT EARNINGS - PARK CAPITAL</t>
  </si>
  <si>
    <t>REIMB - MISCELLANEOUS - PARK CAPITAL</t>
  </si>
  <si>
    <t>INVESTMENT EARNINGS - POLICE CAPITAL</t>
  </si>
  <si>
    <t>MISCELLANEOUS INCOME - POLICE CAPITAL</t>
  </si>
  <si>
    <t>LATE PENALTIES - GARBAGE</t>
  </si>
  <si>
    <t>15-000-46-00-4690</t>
  </si>
  <si>
    <t>LATE PENALTIES - SEWER</t>
  </si>
  <si>
    <t>72-000-47-00-4708</t>
  </si>
  <si>
    <t>COUNTRY HILLS</t>
  </si>
  <si>
    <t xml:space="preserve">INFORMATIONAL </t>
  </si>
  <si>
    <t>LATE PENALTIES - WATER</t>
  </si>
  <si>
    <t>01-410-54-00-5490</t>
  </si>
  <si>
    <t>VEHICLE MAINTENANCE SERVICES</t>
  </si>
  <si>
    <t>01-410-56-00-5628</t>
  </si>
  <si>
    <t>VEHICLE MAINTENANCE SUPPLIES</t>
  </si>
  <si>
    <t>51-510-54-00-5490</t>
  </si>
  <si>
    <t>51-510-56-00-5628</t>
  </si>
  <si>
    <t>52-520-54-00-5490</t>
  </si>
  <si>
    <t>52-520-56-00-5628</t>
  </si>
  <si>
    <t>51-510-60-00-6070</t>
  </si>
  <si>
    <t>15-155-60-00-6003</t>
  </si>
  <si>
    <t>MATERIAL STORAGE BLDG CONSTRUCTION</t>
  </si>
  <si>
    <t>15-155-60-00-6025</t>
  </si>
  <si>
    <t>15-155-60-00-6089</t>
  </si>
  <si>
    <t>CANNONBALL LAFO PROJECT</t>
  </si>
  <si>
    <t>01-410-54-00-5435</t>
  </si>
  <si>
    <t>TRAFFIC SIGNAL MAINTENANCE</t>
  </si>
  <si>
    <t>ADJUDICATION SERVICES</t>
  </si>
  <si>
    <t>79-795-54-00-5497</t>
  </si>
  <si>
    <t>80-000-49-00-4979</t>
  </si>
  <si>
    <t>TRANSFER FROM PARKS &amp; REC</t>
  </si>
  <si>
    <t>79-795-99-00-9980</t>
  </si>
  <si>
    <t>TRANSFER TO RECREATION CENTER</t>
  </si>
  <si>
    <t>Fund Balance - Police Capital</t>
  </si>
  <si>
    <t>Fund Balance - Public Works Capital</t>
  </si>
  <si>
    <t>Fund Balance - Parks &amp; Rec Capital</t>
  </si>
  <si>
    <t>12-112-54-00-5416</t>
  </si>
  <si>
    <t>POND MAINTENANCE</t>
  </si>
  <si>
    <t>TRAIL MAINTENANCE</t>
  </si>
  <si>
    <t>11-111-54-00-5417</t>
  </si>
  <si>
    <t>01-210-54-00-5422</t>
  </si>
  <si>
    <t>VEHICLE &amp; EQUIPMENT CHARGEBACK</t>
  </si>
  <si>
    <t>25-000-44-00-4420</t>
  </si>
  <si>
    <t>POLICE CHARGEBACK</t>
  </si>
  <si>
    <t>52-520-60-00-6070</t>
  </si>
  <si>
    <t>PUBLIC WORKS CHARGEBACK</t>
  </si>
  <si>
    <t>25-000-44-00-4421</t>
  </si>
  <si>
    <t>01-410-54-00-5422</t>
  </si>
  <si>
    <t>01-640-54-00-5439</t>
  </si>
  <si>
    <t>AMUSEMENT TAX REBATE</t>
  </si>
  <si>
    <t>23-230-54-00-5465</t>
  </si>
  <si>
    <t>Operating Funds</t>
  </si>
  <si>
    <t>51-000-44-00-4426</t>
  </si>
  <si>
    <t>01-000-44-00-4407</t>
  </si>
  <si>
    <t>The Motor Fuel Tax fund is used to maintain existing and construct new City owned roadways, alleys and parking lots.  The fund also purchases materials used in the maintenance and operation of those facilities.</t>
  </si>
  <si>
    <t>01-000-49-00-4916</t>
  </si>
  <si>
    <t>TRANSFER FROM MUNICIPAL BUILDING</t>
  </si>
  <si>
    <t>23-000-48-00-4880</t>
  </si>
  <si>
    <t>SALE OF FIXED ASSETS</t>
  </si>
  <si>
    <t>01-000-43-00-4323</t>
  </si>
  <si>
    <t>23-216-60-00-6020</t>
  </si>
  <si>
    <t>23-216-99-00-9901</t>
  </si>
  <si>
    <t>CW Municipal Building Expenditures</t>
  </si>
  <si>
    <t>PRINCIPAL PAYMENT</t>
  </si>
  <si>
    <t>23-000-44-00-4440</t>
  </si>
  <si>
    <t>ROAD INFRASTRUCTURE FEE</t>
  </si>
  <si>
    <t>TIF INCENTIVE PAYOUT</t>
  </si>
  <si>
    <t>88-880-54-00-5425</t>
  </si>
  <si>
    <t>Debt Service - 2013 Refunding Bond</t>
  </si>
  <si>
    <t>87-870-93-00-8000</t>
  </si>
  <si>
    <t>87-870-93-00-8050</t>
  </si>
  <si>
    <t>52-000-44-00-4440</t>
  </si>
  <si>
    <t>52-000-44-00-4462</t>
  </si>
  <si>
    <t>SEWER INFRASTRUCTURE FEE</t>
  </si>
  <si>
    <t>23-000-48-00-4860</t>
  </si>
  <si>
    <t>PUSH FOR THE PATH PROCEEDS</t>
  </si>
  <si>
    <t>United City of Yorkville - Consolidated Budget</t>
  </si>
  <si>
    <t>Yorkville Public Library - Consolidated Budget</t>
  </si>
  <si>
    <t>Yorkville Parks and Recreation - Consolidated Budget</t>
  </si>
  <si>
    <t>BUSINESS DISTRICT TAX - DOWNTOWN</t>
  </si>
  <si>
    <t>01-000-40-00-4072</t>
  </si>
  <si>
    <t xml:space="preserve">BUSINESS DISTRICT REBATE </t>
  </si>
  <si>
    <t>79-795-54-00-5460</t>
  </si>
  <si>
    <t>The table and graph below present the Library's funds in aggregate, similar to that of a private business (for illustrative purposes only).  All budgeted Library funds are included:  Library Operations (82); Library Debt Service (83); and Library Capital (84).</t>
  </si>
  <si>
    <t>The table and graph below present the City's funds in aggregate, similar to that of a private business (for illustrative purposes only).  All budgeted funds are included except for the following:  Park &amp; Recreation Capital portion of (25) Vehicle and Equipment; Library Operations (82); Library Debt Service (83); Library Capital (84); Park &amp; Recreation (79); and Recreation Center (80).</t>
  </si>
  <si>
    <t>The table and graph below present the Park &amp; Recreation funds in aggregate, similar to that of a private business (for illustrative purposes only).  All budgeted Park &amp; Recreation funds are included:  Parks &amp; Recreation (79); Recreation Center (80); and the Parks &amp; Recreation Capital portion of Vehicle &amp; Equipment (25).</t>
  </si>
  <si>
    <t>23-000-41-00-4181</t>
  </si>
  <si>
    <t>STATE GRANTS - KKCOM STP GAME FARM</t>
  </si>
  <si>
    <t>STATE GRANTS - ITEP KENNEDY RD TRAIL</t>
  </si>
  <si>
    <t>BUSINESS DISTRICT TAX - KNDLL MKTPLCE</t>
  </si>
  <si>
    <t>ties to Budget Detail worksheet</t>
  </si>
  <si>
    <t>Variance</t>
  </si>
  <si>
    <t>Ties to F/B History - FY 13 proj</t>
  </si>
  <si>
    <t>Ties to Budget Summ</t>
  </si>
  <si>
    <t>Ties to Budget Cat Summ</t>
  </si>
  <si>
    <t>foot</t>
  </si>
  <si>
    <t>variance</t>
  </si>
  <si>
    <t>Fund Cover Sheets</t>
  </si>
  <si>
    <t>Ties to</t>
  </si>
  <si>
    <t>footed against Fund Cover numbers</t>
  </si>
  <si>
    <t>cross foot</t>
  </si>
  <si>
    <t>Fund Cover Sums</t>
  </si>
  <si>
    <t xml:space="preserve">Cross Foot </t>
  </si>
  <si>
    <t>Total Budget Summary</t>
  </si>
  <si>
    <t>Ties to F/B History - FY 14 proj</t>
  </si>
  <si>
    <t xml:space="preserve">Beg F/B + </t>
  </si>
  <si>
    <t>Rev - Exp</t>
  </si>
  <si>
    <t>Beg F/B + S(D)</t>
  </si>
  <si>
    <t>Ties to Budget Detail - check figure - HIDE</t>
  </si>
  <si>
    <t>Variance - check figure - HIDE</t>
  </si>
  <si>
    <t>83-830-99-00-8000</t>
  </si>
  <si>
    <t>83-830-99-00-8050</t>
  </si>
  <si>
    <t>STATE GRANTS - ITEP DOWNTOWN</t>
  </si>
  <si>
    <t>23-000-41-00-4183</t>
  </si>
  <si>
    <t>23-230-60-00-6048</t>
  </si>
  <si>
    <t>DOWNTOWN STREETSCAPE IMPROV</t>
  </si>
  <si>
    <t xml:space="preserve">The Debt Service Fund accumulates monies for payment of the 2005A bonds, which were issued to finance road improvement projects.  </t>
  </si>
  <si>
    <t>The Library Capital Fund derives its revenue from monies collected from building permits.  The revenue is used for Library building maintenance and associated capital, contractual and supply purchases.</t>
  </si>
  <si>
    <t>01-110-50-00-5007</t>
  </si>
  <si>
    <t>01-210-50-00-5008</t>
  </si>
  <si>
    <t>01-640-52-00-5211</t>
  </si>
  <si>
    <t>80-800-54-00-5460</t>
  </si>
  <si>
    <t>Property Taxes</t>
  </si>
  <si>
    <t>Corporate</t>
  </si>
  <si>
    <t>Police Pension</t>
  </si>
  <si>
    <t>Total City</t>
  </si>
  <si>
    <t>Total City Capped</t>
  </si>
  <si>
    <t>Building Permits Revenue</t>
  </si>
  <si>
    <t>72-720-60-00-6049</t>
  </si>
  <si>
    <t>RAINTREE PARK C</t>
  </si>
  <si>
    <t>23-230-60-00-6025</t>
  </si>
  <si>
    <t>79-000-44-00-4439</t>
  </si>
  <si>
    <t>80-000-44-00-4439</t>
  </si>
  <si>
    <t>TRAVEL &amp; LODGING</t>
  </si>
  <si>
    <t>PRINTING &amp; DUPLICATING</t>
  </si>
  <si>
    <t>DUES &amp; SUBSCRIPTIONS</t>
  </si>
  <si>
    <t>REPAIR &amp; MAINTENANCE</t>
  </si>
  <si>
    <t>OUTSIDE REPAIR &amp; MAINTENANCE</t>
  </si>
  <si>
    <t>BOOKS &amp; PUBLICATIONS</t>
  </si>
  <si>
    <t>METERS &amp; PARTS</t>
  </si>
  <si>
    <t>ATHLETICS &amp; FITNESS</t>
  </si>
  <si>
    <t>SPONSORSHIPS &amp; DONATIONS</t>
  </si>
  <si>
    <t>SCHOLARSHIPS &amp; DONATIONS</t>
  </si>
  <si>
    <t>COMPACT DISCS &amp; OTHER MUSIC</t>
  </si>
  <si>
    <t>MEMORIALS &amp; GIFTS</t>
  </si>
  <si>
    <t>Health &amp; Sanitation</t>
  </si>
  <si>
    <t>Road to Better Roads Program</t>
  </si>
  <si>
    <t>ROAD TO BETTER ROADS PROGRAM</t>
  </si>
  <si>
    <t>Gen Fd Dept Cover Sheets</t>
  </si>
  <si>
    <t>Gen Fd Cover Sheet</t>
  </si>
  <si>
    <t>Allocated Items - Aggregated (cont.)</t>
  </si>
  <si>
    <t>Water Operations</t>
  </si>
  <si>
    <t>Sewer Operations</t>
  </si>
  <si>
    <t>51-510-60-00-6025</t>
  </si>
  <si>
    <t>Street/Storm/Sidewalk Improv</t>
  </si>
  <si>
    <t>Water Improv</t>
  </si>
  <si>
    <t>Sewer Improv</t>
  </si>
  <si>
    <t>52-520-60-00-6025</t>
  </si>
  <si>
    <t>01-000-40-00-4012</t>
  </si>
  <si>
    <t>82-000-40-00-4012</t>
  </si>
  <si>
    <t xml:space="preserve">The Administration Department includes both elected official and management expenditures.  Elected officials consists of the Mayor, City Council, Treasurer and City Clerk.  The city administrator is hired by the Mayor with the consent of the City Council.  City staff report to the city administrator.  It is the role of the city administrator to direct staff in the daily administration of City services.  </t>
  </si>
  <si>
    <t xml:space="preserve">The Community Relations department was discontinued at the end of fiscal year 2011. </t>
  </si>
  <si>
    <t xml:space="preserve">The Administrative Services Department accounts for expenditures that are shared by all departments within the General Fund.  These expenditures include such items as tax rebates, bad debt, contingencies, corporate legal expenditures and interfund transfers. </t>
  </si>
  <si>
    <t>The Municipal Building Fund was used to maintain existing City owned buildings and to fund land acquisition, design and construction of new buildings.  This fund will be closed out in fiscal year 2014.</t>
  </si>
  <si>
    <t xml:space="preserve">The REC Center is a 38,000 square foot, full-service fitness and recreation facility leased by the City and operated by the Parks and Recreation Department.  This fund will be closed out in fiscal year 2014. </t>
  </si>
</sst>
</file>

<file path=xl/styles.xml><?xml version="1.0" encoding="utf-8"?>
<styleSheet xmlns="http://schemas.openxmlformats.org/spreadsheetml/2006/main">
  <numFmts count="1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409]#,##0"/>
    <numFmt numFmtId="166" formatCode="&quot;$&quot;#,##0.00"/>
    <numFmt numFmtId="167" formatCode="0.0%"/>
    <numFmt numFmtId="168" formatCode="_(&quot;$&quot;* #,##0_);_(&quot;$&quot;* \(#,##0\);_(&quot;$&quot;* &quot;-&quot;??_);_(@_)"/>
    <numFmt numFmtId="169" formatCode="_(* #,##0.00_);_(* \(#,##0.00\);_(* &quot;-&quot;_);_(@_)"/>
  </numFmts>
  <fonts count="42">
    <font>
      <sz val="10"/>
      <color indexed="8"/>
      <name val="ARIAL"/>
      <charset val="1"/>
    </font>
    <font>
      <sz val="10"/>
      <color indexed="8"/>
      <name val="Arial"/>
      <family val="2"/>
    </font>
    <font>
      <sz val="11"/>
      <name val="Times New Roman"/>
      <family val="1"/>
    </font>
    <font>
      <b/>
      <sz val="11"/>
      <name val="Times New Roman"/>
      <family val="1"/>
    </font>
    <font>
      <b/>
      <u/>
      <sz val="9"/>
      <name val="Univers (WN)"/>
    </font>
    <font>
      <sz val="8"/>
      <name val="Univers (WN)"/>
    </font>
    <font>
      <sz val="11"/>
      <color indexed="8"/>
      <name val="Times New Roman"/>
      <family val="1"/>
    </font>
    <font>
      <b/>
      <sz val="11"/>
      <color indexed="8"/>
      <name val="Times New Roman"/>
      <family val="1"/>
    </font>
    <font>
      <b/>
      <sz val="11"/>
      <color indexed="18"/>
      <name val="Times New Roman"/>
      <family val="1"/>
    </font>
    <font>
      <b/>
      <i/>
      <sz val="11"/>
      <color indexed="8"/>
      <name val="Times New Roman"/>
      <family val="1"/>
    </font>
    <font>
      <i/>
      <sz val="11"/>
      <color indexed="8"/>
      <name val="Times New Roman"/>
      <family val="1"/>
    </font>
    <font>
      <sz val="10"/>
      <color indexed="8"/>
      <name val="Arial"/>
      <family val="2"/>
    </font>
    <font>
      <b/>
      <u/>
      <sz val="12"/>
      <color indexed="8"/>
      <name val="Times New Roman"/>
      <family val="1"/>
    </font>
    <font>
      <b/>
      <u/>
      <sz val="11"/>
      <color indexed="8"/>
      <name val="Times New Roman"/>
      <family val="1"/>
    </font>
    <font>
      <b/>
      <sz val="10"/>
      <color indexed="8"/>
      <name val="Arial"/>
      <family val="2"/>
    </font>
    <font>
      <u/>
      <sz val="11"/>
      <color indexed="8"/>
      <name val="Times New Roman"/>
      <family val="1"/>
    </font>
    <font>
      <u val="singleAccounting"/>
      <sz val="11"/>
      <name val="Times New Roman"/>
      <family val="1"/>
    </font>
    <font>
      <u val="singleAccounting"/>
      <sz val="11"/>
      <color indexed="8"/>
      <name val="Times New Roman"/>
      <family val="1"/>
    </font>
    <font>
      <i/>
      <sz val="11"/>
      <name val="Times New Roman"/>
      <family val="1"/>
    </font>
    <font>
      <sz val="10"/>
      <color indexed="8"/>
      <name val="Arial"/>
      <family val="2"/>
    </font>
    <font>
      <b/>
      <sz val="14"/>
      <name val="Times New Roman"/>
      <family val="1"/>
    </font>
    <font>
      <sz val="14"/>
      <name val="Times New Roman"/>
      <family val="1"/>
    </font>
    <font>
      <sz val="12"/>
      <color indexed="8"/>
      <name val="Times New Roman"/>
      <family val="1"/>
    </font>
    <font>
      <sz val="11"/>
      <color rgb="FF000000"/>
      <name val="Times New Roman"/>
      <family val="1"/>
    </font>
    <font>
      <sz val="8"/>
      <name val="Times New Roman"/>
      <family val="1"/>
    </font>
    <font>
      <b/>
      <u/>
      <sz val="11"/>
      <name val="Times New Roman"/>
      <family val="1"/>
    </font>
    <font>
      <b/>
      <sz val="18"/>
      <name val="Times New Roman"/>
      <family val="1"/>
    </font>
    <font>
      <u/>
      <sz val="11"/>
      <name val="Times New Roman"/>
      <family val="1"/>
    </font>
    <font>
      <sz val="12"/>
      <name val="Arial"/>
      <family val="2"/>
    </font>
    <font>
      <sz val="7"/>
      <name val="Univers (WN)"/>
    </font>
    <font>
      <b/>
      <i/>
      <u/>
      <sz val="7"/>
      <name val="Univers (WN)"/>
    </font>
    <font>
      <sz val="10"/>
      <name val="Times New Roman"/>
      <family val="1"/>
    </font>
    <font>
      <b/>
      <u val="singleAccounting"/>
      <sz val="11"/>
      <color indexed="8"/>
      <name val="Times New Roman"/>
      <family val="1"/>
    </font>
    <font>
      <b/>
      <i/>
      <u val="singleAccounting"/>
      <sz val="11"/>
      <color indexed="8"/>
      <name val="Times New Roman"/>
      <family val="1"/>
    </font>
    <font>
      <b/>
      <i/>
      <sz val="11"/>
      <name val="Times New Roman"/>
      <family val="1"/>
    </font>
    <font>
      <i/>
      <sz val="11"/>
      <color rgb="FFFF0000"/>
      <name val="Times New Roman"/>
      <family val="1"/>
    </font>
    <font>
      <i/>
      <u/>
      <sz val="11"/>
      <color indexed="8"/>
      <name val="Times New Roman"/>
      <family val="1"/>
    </font>
    <font>
      <b/>
      <i/>
      <u/>
      <sz val="11"/>
      <color indexed="8"/>
      <name val="Times New Roman"/>
      <family val="1"/>
    </font>
    <font>
      <sz val="10"/>
      <name val="Arial Black"/>
      <family val="2"/>
    </font>
    <font>
      <b/>
      <i/>
      <sz val="10"/>
      <color indexed="8"/>
      <name val="Arial"/>
      <family val="2"/>
    </font>
    <font>
      <b/>
      <i/>
      <u/>
      <sz val="10"/>
      <color indexed="8"/>
      <name val="Times New Roman"/>
      <family val="1"/>
    </font>
    <font>
      <i/>
      <sz val="10"/>
      <color indexed="8"/>
      <name val="Arial"/>
      <family val="2"/>
    </font>
  </fonts>
  <fills count="10">
    <fill>
      <patternFill patternType="none"/>
    </fill>
    <fill>
      <patternFill patternType="gray125"/>
    </fill>
    <fill>
      <patternFill patternType="lightGray"/>
    </fill>
    <fill>
      <patternFill patternType="solid">
        <fgColor indexed="9"/>
        <bgColor indexed="64"/>
      </patternFill>
    </fill>
    <fill>
      <patternFill patternType="solid">
        <fgColor indexed="6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1"/>
        <bgColor indexed="64"/>
      </patternFill>
    </fill>
    <fill>
      <patternFill patternType="solid">
        <fgColor rgb="FF92D050"/>
        <bgColor indexed="64"/>
      </patternFill>
    </fill>
  </fills>
  <borders count="8">
    <border>
      <left/>
      <right/>
      <top/>
      <bottom/>
      <diagonal/>
    </border>
    <border>
      <left/>
      <right/>
      <top style="thin">
        <color theme="0"/>
      </top>
      <bottom style="thin">
        <color theme="0"/>
      </bottom>
      <diagonal/>
    </border>
    <border>
      <left/>
      <right/>
      <top style="thin">
        <color theme="0"/>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style="double">
        <color indexed="64"/>
      </bottom>
      <diagonal/>
    </border>
    <border>
      <left/>
      <right/>
      <top/>
      <bottom style="double">
        <color indexed="64"/>
      </bottom>
      <diagonal/>
    </border>
  </borders>
  <cellStyleXfs count="6">
    <xf numFmtId="0" fontId="0" fillId="0" borderId="0">
      <alignment vertical="top"/>
    </xf>
    <xf numFmtId="0" fontId="4" fillId="0" borderId="0">
      <alignment horizontal="center"/>
    </xf>
    <xf numFmtId="37" fontId="5" fillId="2" borderId="0"/>
    <xf numFmtId="43" fontId="1" fillId="0" borderId="0" applyFont="0" applyFill="0" applyBorder="0" applyAlignment="0" applyProtection="0"/>
    <xf numFmtId="9" fontId="11" fillId="0" borderId="0" applyFont="0" applyFill="0" applyBorder="0" applyAlignment="0" applyProtection="0"/>
    <xf numFmtId="44" fontId="19" fillId="0" borderId="0" applyFont="0" applyFill="0" applyBorder="0" applyAlignment="0" applyProtection="0"/>
  </cellStyleXfs>
  <cellXfs count="547">
    <xf numFmtId="0" fontId="0" fillId="0" borderId="0" xfId="0">
      <alignment vertical="top"/>
    </xf>
    <xf numFmtId="0" fontId="2" fillId="0" borderId="0" xfId="0" applyFont="1" applyFill="1" applyAlignment="1">
      <alignment vertical="center"/>
    </xf>
    <xf numFmtId="164" fontId="2" fillId="0" borderId="0" xfId="3" applyNumberFormat="1" applyFont="1" applyFill="1" applyAlignment="1">
      <alignment vertical="center"/>
    </xf>
    <xf numFmtId="164" fontId="2" fillId="0" borderId="0" xfId="3" applyNumberFormat="1" applyFont="1" applyFill="1" applyBorder="1" applyAlignment="1">
      <alignment vertical="center"/>
    </xf>
    <xf numFmtId="164" fontId="3" fillId="0" borderId="0" xfId="3" applyNumberFormat="1" applyFont="1" applyFill="1" applyBorder="1" applyAlignment="1">
      <alignment vertical="center"/>
    </xf>
    <xf numFmtId="0" fontId="2" fillId="0" borderId="0" xfId="0" applyFont="1" applyFill="1" applyAlignment="1">
      <alignment horizontal="left" vertical="center"/>
    </xf>
    <xf numFmtId="41" fontId="2" fillId="0" borderId="0" xfId="0" applyNumberFormat="1" applyFont="1" applyFill="1" applyAlignment="1">
      <alignment vertical="center"/>
    </xf>
    <xf numFmtId="164" fontId="2" fillId="0" borderId="0" xfId="3" applyNumberFormat="1" applyFont="1" applyFill="1" applyAlignment="1">
      <alignment horizontal="right" vertical="center"/>
    </xf>
    <xf numFmtId="0" fontId="3" fillId="0" borderId="0" xfId="0" applyFont="1" applyFill="1" applyAlignment="1">
      <alignment vertical="center"/>
    </xf>
    <xf numFmtId="164" fontId="16" fillId="0" borderId="0" xfId="3" applyNumberFormat="1" applyFont="1" applyFill="1" applyBorder="1" applyAlignment="1">
      <alignment vertical="center"/>
    </xf>
    <xf numFmtId="0" fontId="18" fillId="0" borderId="0" xfId="0" applyFont="1" applyFill="1" applyAlignment="1">
      <alignment vertical="center"/>
    </xf>
    <xf numFmtId="0" fontId="2" fillId="0" borderId="0" xfId="0" applyFont="1" applyFill="1" applyAlignment="1"/>
    <xf numFmtId="0" fontId="2" fillId="0" borderId="0" xfId="0" applyFont="1" applyFill="1" applyAlignment="1">
      <alignment horizontal="center"/>
    </xf>
    <xf numFmtId="0" fontId="2" fillId="0" borderId="0" xfId="0" applyFont="1" applyFill="1" applyAlignment="1">
      <alignment vertical="center" wrapText="1"/>
    </xf>
    <xf numFmtId="0" fontId="2" fillId="0" borderId="0" xfId="0" applyFont="1" applyFill="1" applyAlignment="1" applyProtection="1">
      <alignment horizontal="center"/>
    </xf>
    <xf numFmtId="0" fontId="2" fillId="0" borderId="4" xfId="0" applyFont="1" applyFill="1" applyBorder="1" applyAlignment="1"/>
    <xf numFmtId="0" fontId="2" fillId="0" borderId="0" xfId="0" applyFont="1" applyFill="1" applyBorder="1" applyAlignment="1"/>
    <xf numFmtId="0" fontId="3" fillId="0" borderId="0" xfId="0" applyFont="1" applyFill="1" applyAlignment="1" applyProtection="1">
      <alignment horizontal="left"/>
    </xf>
    <xf numFmtId="0" fontId="2" fillId="0" borderId="0" xfId="1" applyFont="1" applyFill="1" applyAlignment="1">
      <alignment horizontal="left" indent="1"/>
    </xf>
    <xf numFmtId="0" fontId="2" fillId="0" borderId="0" xfId="0" applyFont="1" applyFill="1" applyAlignment="1">
      <alignment horizontal="left" indent="1"/>
    </xf>
    <xf numFmtId="0" fontId="3" fillId="0" borderId="5" xfId="0" applyFont="1" applyFill="1" applyBorder="1" applyAlignment="1" applyProtection="1">
      <alignment horizontal="left" indent="1"/>
    </xf>
    <xf numFmtId="0" fontId="2" fillId="0" borderId="0" xfId="0" applyFont="1" applyFill="1" applyAlignment="1" applyProtection="1">
      <alignment horizontal="left" indent="1"/>
    </xf>
    <xf numFmtId="0" fontId="2" fillId="0" borderId="0" xfId="0" applyFont="1" applyFill="1" applyBorder="1" applyAlignment="1" applyProtection="1">
      <alignment horizontal="left" indent="1"/>
    </xf>
    <xf numFmtId="0" fontId="3" fillId="0" borderId="0" xfId="0" applyFont="1" applyFill="1" applyBorder="1" applyAlignment="1" applyProtection="1">
      <alignment horizontal="left" indent="1"/>
    </xf>
    <xf numFmtId="0" fontId="3" fillId="0" borderId="0" xfId="1" applyFont="1" applyFill="1" applyBorder="1" applyAlignment="1"/>
    <xf numFmtId="0" fontId="2" fillId="0" borderId="0" xfId="0" applyFont="1" applyFill="1" applyBorder="1" applyAlignment="1" applyProtection="1">
      <alignment horizontal="left"/>
    </xf>
    <xf numFmtId="0" fontId="0" fillId="0" borderId="0" xfId="0" applyAlignment="1">
      <alignment vertical="center" wrapText="1"/>
    </xf>
    <xf numFmtId="0" fontId="0" fillId="0" borderId="0" xfId="0" applyAlignment="1">
      <alignment horizontal="left" vertical="center" wrapText="1"/>
    </xf>
    <xf numFmtId="164" fontId="2" fillId="0" borderId="0" xfId="3" applyNumberFormat="1" applyFont="1" applyFill="1" applyAlignment="1"/>
    <xf numFmtId="164" fontId="2" fillId="0" borderId="0" xfId="3" applyNumberFormat="1" applyFont="1" applyFill="1" applyBorder="1" applyAlignment="1"/>
    <xf numFmtId="0" fontId="2" fillId="0" borderId="0" xfId="0" applyFont="1" applyFill="1" applyBorder="1" applyAlignment="1" applyProtection="1">
      <alignment horizontal="center"/>
    </xf>
    <xf numFmtId="164" fontId="2" fillId="0" borderId="0" xfId="3" applyNumberFormat="1" applyFont="1" applyFill="1" applyAlignment="1">
      <alignment vertical="center" wrapText="1"/>
    </xf>
    <xf numFmtId="164" fontId="2" fillId="0" borderId="0" xfId="3" applyNumberFormat="1" applyFont="1" applyFill="1" applyBorder="1" applyAlignment="1" applyProtection="1">
      <alignment horizontal="center"/>
    </xf>
    <xf numFmtId="164" fontId="0" fillId="0" borderId="0" xfId="3" applyNumberFormat="1" applyFont="1" applyFill="1" applyAlignment="1">
      <alignment vertical="center" wrapText="1"/>
    </xf>
    <xf numFmtId="164" fontId="0" fillId="0" borderId="0" xfId="3" applyNumberFormat="1" applyFont="1" applyAlignment="1">
      <alignment vertical="center" wrapText="1"/>
    </xf>
    <xf numFmtId="164" fontId="0" fillId="0" borderId="0" xfId="3" applyNumberFormat="1" applyFont="1" applyFill="1" applyAlignment="1">
      <alignment vertical="top"/>
    </xf>
    <xf numFmtId="164" fontId="0" fillId="0" borderId="0" xfId="3" applyNumberFormat="1" applyFont="1" applyAlignment="1">
      <alignment vertical="top"/>
    </xf>
    <xf numFmtId="0" fontId="0" fillId="0" borderId="0" xfId="0" applyBorder="1">
      <alignment vertical="top"/>
    </xf>
    <xf numFmtId="0" fontId="2" fillId="0" borderId="0" xfId="0" applyFont="1" applyFill="1" applyBorder="1" applyAlignment="1">
      <alignment horizontal="center"/>
    </xf>
    <xf numFmtId="0" fontId="2" fillId="0" borderId="0" xfId="0" applyFont="1" applyFill="1" applyBorder="1" applyAlignment="1">
      <alignment vertical="center" wrapText="1"/>
    </xf>
    <xf numFmtId="164" fontId="2" fillId="0" borderId="0" xfId="3" applyNumberFormat="1" applyFont="1" applyFill="1" applyBorder="1" applyAlignment="1">
      <alignment vertical="center" wrapText="1"/>
    </xf>
    <xf numFmtId="0" fontId="2" fillId="0" borderId="0" xfId="0" applyFont="1" applyFill="1" applyBorder="1" applyAlignment="1">
      <alignment horizontal="left" vertical="center"/>
    </xf>
    <xf numFmtId="164" fontId="2" fillId="0" borderId="0" xfId="3" applyNumberFormat="1" applyFont="1" applyFill="1" applyBorder="1" applyAlignment="1">
      <alignment horizontal="center"/>
    </xf>
    <xf numFmtId="164" fontId="2" fillId="3" borderId="0" xfId="3" applyNumberFormat="1" applyFont="1" applyFill="1" applyBorder="1" applyAlignment="1" applyProtection="1">
      <alignment horizontal="center"/>
    </xf>
    <xf numFmtId="0" fontId="3" fillId="0" borderId="0" xfId="0" applyFont="1" applyFill="1" applyBorder="1" applyAlignment="1" applyProtection="1">
      <alignment horizontal="left"/>
    </xf>
    <xf numFmtId="0" fontId="2" fillId="0" borderId="0" xfId="1" applyFont="1" applyFill="1" applyBorder="1" applyAlignment="1">
      <alignment horizontal="left" indent="1"/>
    </xf>
    <xf numFmtId="0" fontId="2" fillId="0" borderId="0" xfId="0" applyFont="1" applyFill="1" applyBorder="1" applyAlignment="1">
      <alignment horizontal="left" indent="1"/>
    </xf>
    <xf numFmtId="164" fontId="0" fillId="0" borderId="0" xfId="3" applyNumberFormat="1" applyFont="1" applyFill="1" applyBorder="1" applyAlignment="1">
      <alignment vertical="top"/>
    </xf>
    <xf numFmtId="164" fontId="0" fillId="0" borderId="0" xfId="3" applyNumberFormat="1" applyFont="1" applyBorder="1" applyAlignment="1">
      <alignment vertical="top"/>
    </xf>
    <xf numFmtId="0" fontId="20" fillId="0" borderId="0" xfId="0" applyFont="1" applyAlignment="1">
      <alignment horizontal="center" wrapText="1"/>
    </xf>
    <xf numFmtId="0" fontId="2" fillId="0" borderId="0" xfId="0" applyFont="1" applyAlignment="1"/>
    <xf numFmtId="0" fontId="2" fillId="0" borderId="0" xfId="0" applyFont="1" applyAlignment="1">
      <alignment horizontal="left" vertical="center" wrapText="1" indent="2"/>
    </xf>
    <xf numFmtId="0" fontId="2" fillId="0" borderId="4" xfId="0" applyFont="1" applyFill="1" applyBorder="1" applyAlignment="1">
      <alignment horizontal="center"/>
    </xf>
    <xf numFmtId="0" fontId="3" fillId="0" borderId="0" xfId="0" applyFont="1" applyFill="1" applyAlignment="1">
      <alignment horizontal="left"/>
    </xf>
    <xf numFmtId="0" fontId="2" fillId="0" borderId="3" xfId="0" applyFont="1" applyFill="1" applyBorder="1" applyAlignment="1" applyProtection="1">
      <alignment horizontal="left" indent="1"/>
    </xf>
    <xf numFmtId="0" fontId="2" fillId="0" borderId="0" xfId="0" applyFont="1" applyAlignment="1">
      <alignment horizontal="left" vertical="center" wrapText="1"/>
    </xf>
    <xf numFmtId="0" fontId="22" fillId="0" borderId="0" xfId="0" applyFont="1" applyAlignment="1">
      <alignment vertical="center" wrapText="1"/>
    </xf>
    <xf numFmtId="164" fontId="2" fillId="0" borderId="0" xfId="3" applyNumberFormat="1" applyFont="1" applyFill="1"/>
    <xf numFmtId="0" fontId="2" fillId="0" borderId="0" xfId="0" applyFont="1" applyAlignment="1">
      <alignment vertical="center" wrapText="1"/>
    </xf>
    <xf numFmtId="0" fontId="0" fillId="0" borderId="0" xfId="0" applyAlignment="1">
      <alignment horizontal="left"/>
    </xf>
    <xf numFmtId="0" fontId="2" fillId="0" borderId="0" xfId="0" applyFont="1" applyAlignment="1">
      <alignment horizontal="left" vertical="center" indent="2"/>
    </xf>
    <xf numFmtId="0" fontId="2" fillId="0" borderId="0" xfId="0" applyFont="1" applyFill="1" applyAlignment="1">
      <alignment vertical="top"/>
    </xf>
    <xf numFmtId="0" fontId="2" fillId="0" borderId="0" xfId="0" applyFont="1" applyAlignment="1">
      <alignment horizontal="center"/>
    </xf>
    <xf numFmtId="0" fontId="0" fillId="0" borderId="0" xfId="0" applyAlignment="1">
      <alignment wrapText="1"/>
    </xf>
    <xf numFmtId="0" fontId="25" fillId="0" borderId="0" xfId="0" applyFont="1" applyAlignment="1">
      <alignment vertical="center"/>
    </xf>
    <xf numFmtId="164" fontId="20" fillId="0" borderId="0" xfId="3" applyNumberFormat="1" applyFont="1" applyAlignment="1">
      <alignment horizontal="center" wrapText="1"/>
    </xf>
    <xf numFmtId="164" fontId="21" fillId="0" borderId="0" xfId="3" applyNumberFormat="1" applyFont="1" applyAlignment="1">
      <alignment horizontal="center" wrapText="1"/>
    </xf>
    <xf numFmtId="164" fontId="2" fillId="0" borderId="0" xfId="3" applyNumberFormat="1" applyFont="1" applyAlignment="1"/>
    <xf numFmtId="164" fontId="2" fillId="0" borderId="0" xfId="3" applyNumberFormat="1" applyFont="1" applyAlignment="1">
      <alignment horizontal="left" vertical="center" wrapText="1" indent="2"/>
    </xf>
    <xf numFmtId="164" fontId="2" fillId="0" borderId="0" xfId="3" applyNumberFormat="1" applyFont="1" applyFill="1" applyBorder="1"/>
    <xf numFmtId="164" fontId="2" fillId="0" borderId="0" xfId="3" applyNumberFormat="1" applyFont="1" applyAlignment="1">
      <alignment horizontal="left" vertical="center" wrapText="1"/>
    </xf>
    <xf numFmtId="164" fontId="22" fillId="0" borderId="0" xfId="3" applyNumberFormat="1" applyFont="1" applyAlignment="1">
      <alignment vertical="center" wrapText="1"/>
    </xf>
    <xf numFmtId="164" fontId="2" fillId="0" borderId="0" xfId="3" applyNumberFormat="1" applyFont="1" applyAlignment="1">
      <alignment vertical="center" wrapText="1"/>
    </xf>
    <xf numFmtId="164" fontId="0" fillId="0" borderId="0" xfId="3" applyNumberFormat="1" applyFont="1" applyAlignment="1">
      <alignment horizontal="left"/>
    </xf>
    <xf numFmtId="164" fontId="2" fillId="0" borderId="0" xfId="3" applyNumberFormat="1" applyFont="1" applyAlignment="1">
      <alignment horizontal="left" vertical="center" indent="2"/>
    </xf>
    <xf numFmtId="164" fontId="24" fillId="0" borderId="0" xfId="3" applyNumberFormat="1" applyFont="1" applyAlignment="1">
      <alignment horizontal="left" vertical="center" indent="2"/>
    </xf>
    <xf numFmtId="164" fontId="2" fillId="0" borderId="0" xfId="3" applyNumberFormat="1" applyFont="1" applyFill="1" applyAlignment="1">
      <alignment vertical="top"/>
    </xf>
    <xf numFmtId="164" fontId="0" fillId="0" borderId="0" xfId="3" applyNumberFormat="1" applyFont="1" applyAlignment="1">
      <alignment wrapText="1"/>
    </xf>
    <xf numFmtId="0" fontId="21"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Alignment="1">
      <alignment horizontal="center" vertical="center"/>
    </xf>
    <xf numFmtId="0" fontId="2" fillId="0" borderId="0" xfId="0" applyFont="1" applyFill="1" applyAlignment="1" applyProtection="1">
      <alignment horizontal="center" vertical="center"/>
    </xf>
    <xf numFmtId="0" fontId="2" fillId="0" borderId="4" xfId="0" applyFont="1" applyFill="1" applyBorder="1" applyAlignment="1" applyProtection="1">
      <alignment vertical="center"/>
    </xf>
    <xf numFmtId="0" fontId="2" fillId="0" borderId="4"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27" fillId="0" borderId="0" xfId="0" applyFont="1" applyFill="1" applyAlignment="1" applyProtection="1">
      <alignment vertical="center"/>
    </xf>
    <xf numFmtId="0" fontId="2" fillId="0" borderId="0" xfId="0" applyFont="1" applyAlignment="1">
      <alignment vertical="center"/>
    </xf>
    <xf numFmtId="164" fontId="2" fillId="0" borderId="0" xfId="3" applyNumberFormat="1" applyFont="1" applyFill="1" applyBorder="1" applyAlignment="1" applyProtection="1">
      <alignment vertical="center"/>
    </xf>
    <xf numFmtId="0" fontId="2" fillId="0" borderId="0" xfId="0" applyFont="1" applyBorder="1" applyAlignment="1">
      <alignment vertical="center"/>
    </xf>
    <xf numFmtId="0" fontId="3" fillId="0" borderId="6" xfId="0" applyFont="1" applyFill="1" applyBorder="1" applyAlignment="1" applyProtection="1">
      <alignment vertical="center"/>
    </xf>
    <xf numFmtId="164" fontId="3" fillId="0" borderId="6" xfId="3" applyNumberFormat="1" applyFont="1" applyFill="1" applyBorder="1" applyAlignment="1" applyProtection="1">
      <alignment vertical="center"/>
    </xf>
    <xf numFmtId="37" fontId="2" fillId="0" borderId="0" xfId="0" applyNumberFormat="1" applyFont="1" applyFill="1" applyAlignment="1" applyProtection="1">
      <alignment vertical="center"/>
    </xf>
    <xf numFmtId="0" fontId="28" fillId="0" borderId="0" xfId="0" applyFont="1" applyAlignment="1">
      <alignment horizontal="center" vertical="center"/>
    </xf>
    <xf numFmtId="168" fontId="2" fillId="0" borderId="0" xfId="5" applyNumberFormat="1" applyFont="1" applyFill="1" applyAlignment="1">
      <alignment vertical="center"/>
    </xf>
    <xf numFmtId="37" fontId="2" fillId="0" borderId="4" xfId="2" applyFont="1" applyFill="1" applyBorder="1" applyAlignment="1">
      <alignment horizontal="center" vertical="center"/>
    </xf>
    <xf numFmtId="37" fontId="2" fillId="0" borderId="0" xfId="2" applyFont="1" applyFill="1" applyBorder="1" applyAlignment="1">
      <alignment horizontal="center" vertical="center"/>
    </xf>
    <xf numFmtId="164" fontId="2" fillId="0" borderId="0" xfId="3" applyNumberFormat="1" applyFont="1" applyFill="1" applyAlignment="1">
      <alignment horizontal="center" vertical="center"/>
    </xf>
    <xf numFmtId="164" fontId="2" fillId="0" borderId="0" xfId="3" applyNumberFormat="1" applyFont="1" applyFill="1" applyBorder="1" applyAlignment="1">
      <alignment horizontal="center" vertical="center"/>
    </xf>
    <xf numFmtId="164" fontId="3" fillId="0" borderId="6" xfId="3" applyNumberFormat="1" applyFont="1" applyFill="1" applyBorder="1" applyAlignment="1">
      <alignment vertical="center"/>
    </xf>
    <xf numFmtId="10" fontId="2" fillId="0" borderId="0" xfId="4" applyNumberFormat="1" applyFont="1" applyFill="1" applyAlignment="1">
      <alignment vertical="center"/>
    </xf>
    <xf numFmtId="41" fontId="2" fillId="0" borderId="0" xfId="0" applyNumberFormat="1" applyFont="1" applyFill="1" applyAlignment="1">
      <alignment horizontal="center" vertical="center"/>
    </xf>
    <xf numFmtId="41" fontId="2" fillId="0" borderId="0" xfId="0" applyNumberFormat="1" applyFont="1" applyFill="1" applyBorder="1" applyAlignment="1">
      <alignment vertical="center"/>
    </xf>
    <xf numFmtId="164" fontId="2" fillId="0" borderId="0" xfId="0" applyNumberFormat="1" applyFont="1" applyFill="1" applyAlignment="1">
      <alignment vertical="center"/>
    </xf>
    <xf numFmtId="0" fontId="2" fillId="0" borderId="0" xfId="0" applyFont="1" applyAlignment="1">
      <alignment horizontal="center" vertical="center"/>
    </xf>
    <xf numFmtId="14" fontId="2" fillId="0" borderId="0" xfId="0" applyNumberFormat="1" applyFont="1" applyFill="1" applyAlignment="1">
      <alignment horizontal="center"/>
    </xf>
    <xf numFmtId="0" fontId="2" fillId="0" borderId="4" xfId="0" applyFont="1" applyFill="1" applyBorder="1" applyAlignment="1" applyProtection="1">
      <alignment horizontal="center"/>
    </xf>
    <xf numFmtId="37" fontId="2" fillId="0" borderId="4" xfId="2" applyFont="1" applyFill="1" applyBorder="1" applyAlignment="1">
      <alignment horizontal="center"/>
    </xf>
    <xf numFmtId="37" fontId="2" fillId="0" borderId="0" xfId="2" applyFont="1" applyFill="1" applyBorder="1" applyAlignment="1">
      <alignment horizontal="center"/>
    </xf>
    <xf numFmtId="164" fontId="2" fillId="0" borderId="0" xfId="3" applyNumberFormat="1" applyFont="1" applyFill="1" applyAlignment="1" applyProtection="1">
      <alignment vertical="center"/>
    </xf>
    <xf numFmtId="164" fontId="2" fillId="0" borderId="0" xfId="3" applyNumberFormat="1" applyFont="1" applyAlignment="1">
      <alignment vertical="center"/>
    </xf>
    <xf numFmtId="164" fontId="2" fillId="0" borderId="0" xfId="3" applyNumberFormat="1" applyFont="1" applyAlignment="1">
      <alignment horizontal="center" vertical="center"/>
    </xf>
    <xf numFmtId="41" fontId="2" fillId="0" borderId="0" xfId="0" applyNumberFormat="1" applyFont="1" applyFill="1" applyBorder="1" applyAlignment="1" applyProtection="1">
      <alignment vertical="center"/>
    </xf>
    <xf numFmtId="164" fontId="16" fillId="0" borderId="0" xfId="3" applyNumberFormat="1" applyFont="1" applyFill="1" applyBorder="1" applyAlignment="1" applyProtection="1">
      <alignment vertical="center"/>
    </xf>
    <xf numFmtId="164" fontId="18" fillId="0" borderId="0" xfId="3" applyNumberFormat="1" applyFont="1" applyFill="1" applyBorder="1" applyAlignment="1" applyProtection="1">
      <alignment vertical="center"/>
    </xf>
    <xf numFmtId="164" fontId="18" fillId="0" borderId="0" xfId="3" applyNumberFormat="1" applyFont="1" applyFill="1" applyBorder="1" applyAlignment="1">
      <alignment vertical="center"/>
    </xf>
    <xf numFmtId="0" fontId="3" fillId="4" borderId="6" xfId="0" applyFont="1" applyFill="1" applyBorder="1" applyAlignment="1" applyProtection="1">
      <alignment vertical="center"/>
    </xf>
    <xf numFmtId="41" fontId="3" fillId="4" borderId="6" xfId="0" applyNumberFormat="1" applyFont="1" applyFill="1" applyBorder="1" applyAlignment="1" applyProtection="1">
      <alignment vertical="center"/>
    </xf>
    <xf numFmtId="164" fontId="3" fillId="4" borderId="6" xfId="3" applyNumberFormat="1" applyFont="1" applyFill="1" applyBorder="1" applyAlignment="1" applyProtection="1">
      <alignment vertical="center"/>
    </xf>
    <xf numFmtId="37" fontId="2" fillId="0" borderId="0" xfId="0" applyNumberFormat="1" applyFont="1" applyFill="1" applyAlignment="1" applyProtection="1"/>
    <xf numFmtId="0" fontId="29" fillId="0" borderId="0" xfId="0" applyFont="1" applyAlignment="1"/>
    <xf numFmtId="0" fontId="30" fillId="0" borderId="0" xfId="0" applyFont="1" applyFill="1" applyAlignment="1"/>
    <xf numFmtId="0" fontId="29" fillId="0" borderId="0" xfId="0" applyFont="1" applyFill="1" applyAlignment="1"/>
    <xf numFmtId="0" fontId="20" fillId="0" borderId="0" xfId="0" applyFont="1" applyFill="1" applyAlignment="1">
      <alignment horizontal="center"/>
    </xf>
    <xf numFmtId="0" fontId="27" fillId="0" borderId="0" xfId="0" applyFont="1" applyFill="1" applyAlignment="1" applyProtection="1">
      <alignment horizontal="left"/>
    </xf>
    <xf numFmtId="164" fontId="2" fillId="0" borderId="0" xfId="3" applyNumberFormat="1" applyFont="1"/>
    <xf numFmtId="164" fontId="2" fillId="0" borderId="0" xfId="3" applyNumberFormat="1" applyFont="1" applyBorder="1" applyAlignment="1">
      <alignment vertical="center"/>
    </xf>
    <xf numFmtId="0" fontId="29" fillId="0" borderId="0" xfId="0" applyFont="1" applyBorder="1" applyAlignment="1"/>
    <xf numFmtId="164" fontId="2" fillId="0" borderId="3" xfId="3" applyNumberFormat="1" applyFont="1" applyFill="1" applyBorder="1" applyAlignment="1">
      <alignment vertical="center"/>
    </xf>
    <xf numFmtId="164" fontId="2" fillId="0" borderId="3" xfId="3" applyNumberFormat="1" applyFont="1" applyBorder="1" applyAlignment="1">
      <alignment vertical="center"/>
    </xf>
    <xf numFmtId="0" fontId="31" fillId="0" borderId="0" xfId="0" applyFont="1" applyAlignment="1">
      <alignment horizontal="center"/>
    </xf>
    <xf numFmtId="0" fontId="31" fillId="0" borderId="0" xfId="0" applyFont="1" applyFill="1" applyAlignment="1">
      <alignment vertical="center"/>
    </xf>
    <xf numFmtId="10" fontId="2" fillId="0" borderId="0" xfId="4" applyNumberFormat="1" applyFont="1" applyFill="1" applyBorder="1" applyAlignment="1"/>
    <xf numFmtId="0" fontId="2" fillId="0" borderId="0" xfId="0" applyFont="1" applyFill="1" applyAlignment="1">
      <alignment vertical="center" wrapText="1"/>
    </xf>
    <xf numFmtId="0" fontId="3" fillId="0" borderId="0" xfId="0" applyFont="1" applyFill="1" applyBorder="1" applyAlignment="1"/>
    <xf numFmtId="0" fontId="3" fillId="0" borderId="7" xfId="0" applyFont="1" applyFill="1" applyBorder="1" applyAlignment="1" applyProtection="1">
      <alignment horizontal="left" indent="1"/>
    </xf>
    <xf numFmtId="0" fontId="14" fillId="0" borderId="0" xfId="0" applyFont="1" applyBorder="1">
      <alignment vertical="top"/>
    </xf>
    <xf numFmtId="0" fontId="3" fillId="0" borderId="6" xfId="0" applyFont="1" applyFill="1" applyBorder="1" applyAlignment="1" applyProtection="1">
      <alignment horizontal="left" indent="1"/>
    </xf>
    <xf numFmtId="0" fontId="3" fillId="0" borderId="6" xfId="0" applyFont="1" applyFill="1" applyBorder="1" applyAlignment="1" applyProtection="1">
      <alignment horizontal="left" indent="1" shrinkToFit="1"/>
    </xf>
    <xf numFmtId="164" fontId="18" fillId="0" borderId="0" xfId="3" applyNumberFormat="1" applyFont="1" applyFill="1" applyAlignment="1">
      <alignment vertical="center"/>
    </xf>
    <xf numFmtId="0" fontId="18" fillId="0" borderId="0" xfId="0" applyFont="1" applyAlignment="1"/>
    <xf numFmtId="0" fontId="38" fillId="0" borderId="0" xfId="0" applyFont="1" applyAlignment="1"/>
    <xf numFmtId="0" fontId="38" fillId="0" borderId="0" xfId="0" applyFont="1" applyAlignment="1">
      <alignment horizontal="center"/>
    </xf>
    <xf numFmtId="37" fontId="18" fillId="0" borderId="0" xfId="0" applyNumberFormat="1" applyFont="1" applyFill="1" applyAlignment="1" applyProtection="1">
      <alignment vertical="center"/>
    </xf>
    <xf numFmtId="0" fontId="18" fillId="0" borderId="0" xfId="0" applyFont="1" applyAlignment="1">
      <alignment vertical="center"/>
    </xf>
    <xf numFmtId="0" fontId="18" fillId="0" borderId="0" xfId="0" applyFont="1" applyAlignment="1">
      <alignment horizontal="center" vertical="center"/>
    </xf>
    <xf numFmtId="168" fontId="18" fillId="0" borderId="0" xfId="5" applyNumberFormat="1" applyFont="1" applyFill="1" applyAlignment="1">
      <alignment horizontal="center" vertical="center"/>
    </xf>
    <xf numFmtId="0" fontId="18" fillId="0" borderId="0" xfId="0" applyFont="1" applyFill="1" applyAlignment="1">
      <alignment horizontal="center" vertical="center"/>
    </xf>
    <xf numFmtId="164" fontId="18" fillId="0" borderId="0" xfId="3" applyNumberFormat="1" applyFont="1" applyFill="1" applyAlignment="1">
      <alignment horizontal="center" vertical="center"/>
    </xf>
    <xf numFmtId="0" fontId="2" fillId="5" borderId="0" xfId="0" applyFont="1" applyFill="1" applyAlignment="1"/>
    <xf numFmtId="0" fontId="3" fillId="5" borderId="0" xfId="0" applyFont="1" applyFill="1" applyBorder="1" applyAlignment="1" applyProtection="1">
      <alignment horizontal="left" indent="1"/>
    </xf>
    <xf numFmtId="164" fontId="18" fillId="5" borderId="0" xfId="3" applyNumberFormat="1" applyFont="1" applyFill="1" applyBorder="1" applyAlignment="1"/>
    <xf numFmtId="0" fontId="0" fillId="5" borderId="0" xfId="0" applyFill="1">
      <alignment vertical="top"/>
    </xf>
    <xf numFmtId="0" fontId="2" fillId="5" borderId="0" xfId="1" applyFont="1" applyFill="1" applyBorder="1" applyAlignment="1"/>
    <xf numFmtId="0" fontId="3" fillId="5" borderId="0" xfId="0" applyFont="1" applyFill="1" applyBorder="1" applyAlignment="1" applyProtection="1">
      <alignment horizontal="left"/>
    </xf>
    <xf numFmtId="0" fontId="2" fillId="9" borderId="0" xfId="0" applyFont="1" applyFill="1" applyAlignment="1"/>
    <xf numFmtId="0" fontId="3" fillId="9" borderId="0" xfId="0" applyFont="1" applyFill="1" applyBorder="1" applyAlignment="1" applyProtection="1">
      <alignment horizontal="left" indent="1"/>
    </xf>
    <xf numFmtId="164" fontId="18" fillId="9" borderId="0" xfId="3" applyNumberFormat="1" applyFont="1" applyFill="1" applyBorder="1" applyAlignment="1"/>
    <xf numFmtId="0" fontId="0" fillId="9" borderId="0" xfId="0" applyFill="1">
      <alignment vertical="top"/>
    </xf>
    <xf numFmtId="164" fontId="3" fillId="9" borderId="0" xfId="3" applyNumberFormat="1" applyFont="1" applyFill="1" applyBorder="1" applyAlignment="1"/>
    <xf numFmtId="0" fontId="2" fillId="9" borderId="0" xfId="1" applyFont="1" applyFill="1" applyBorder="1" applyAlignment="1"/>
    <xf numFmtId="0" fontId="3" fillId="9" borderId="0" xfId="0" applyFont="1" applyFill="1" applyBorder="1" applyAlignment="1" applyProtection="1">
      <alignment horizontal="left"/>
    </xf>
    <xf numFmtId="164" fontId="2" fillId="9" borderId="0" xfId="3" applyNumberFormat="1" applyFont="1" applyFill="1" applyBorder="1" applyAlignment="1"/>
    <xf numFmtId="164" fontId="18" fillId="5" borderId="0" xfId="3" applyNumberFormat="1" applyFont="1" applyFill="1" applyBorder="1" applyAlignment="1">
      <alignment vertical="center"/>
    </xf>
    <xf numFmtId="164" fontId="3" fillId="9" borderId="0" xfId="3" applyNumberFormat="1" applyFont="1" applyFill="1" applyBorder="1" applyAlignment="1">
      <alignment vertical="center"/>
    </xf>
    <xf numFmtId="0" fontId="0" fillId="0" borderId="0" xfId="0" applyAlignment="1">
      <alignment vertical="top"/>
    </xf>
    <xf numFmtId="0" fontId="39" fillId="5" borderId="0" xfId="0" applyFont="1" applyFill="1" applyAlignment="1">
      <alignment vertical="top"/>
    </xf>
    <xf numFmtId="0" fontId="39" fillId="9" borderId="0" xfId="0" applyFont="1" applyFill="1" applyAlignment="1">
      <alignment vertical="top"/>
    </xf>
    <xf numFmtId="10" fontId="18" fillId="0" borderId="0" xfId="4" applyNumberFormat="1" applyFont="1" applyFill="1" applyBorder="1" applyAlignment="1"/>
    <xf numFmtId="164" fontId="3" fillId="0" borderId="0" xfId="3" applyNumberFormat="1" applyFont="1" applyFill="1" applyBorder="1"/>
    <xf numFmtId="0" fontId="3" fillId="5" borderId="0" xfId="0" applyFont="1" applyFill="1" applyBorder="1" applyAlignment="1"/>
    <xf numFmtId="164" fontId="18" fillId="5" borderId="0" xfId="3" applyNumberFormat="1" applyFont="1" applyFill="1" applyBorder="1"/>
    <xf numFmtId="0" fontId="14" fillId="5" borderId="0" xfId="0" applyFont="1" applyFill="1" applyBorder="1">
      <alignment vertical="top"/>
    </xf>
    <xf numFmtId="0" fontId="18" fillId="5" borderId="0" xfId="0" applyFont="1" applyFill="1" applyBorder="1" applyAlignment="1" applyProtection="1">
      <alignment horizontal="center"/>
    </xf>
    <xf numFmtId="0" fontId="41" fillId="5" borderId="0" xfId="0" applyFont="1" applyFill="1" applyBorder="1">
      <alignment vertical="top"/>
    </xf>
    <xf numFmtId="164" fontId="18" fillId="5" borderId="0" xfId="3" applyNumberFormat="1" applyFont="1" applyFill="1"/>
    <xf numFmtId="0" fontId="0" fillId="5" borderId="0" xfId="0" applyFill="1" applyBorder="1">
      <alignment vertical="top"/>
    </xf>
    <xf numFmtId="0" fontId="3" fillId="9" borderId="0" xfId="0" applyFont="1" applyFill="1" applyBorder="1" applyAlignment="1"/>
    <xf numFmtId="164" fontId="3" fillId="9" borderId="0" xfId="3" applyNumberFormat="1" applyFont="1" applyFill="1" applyBorder="1"/>
    <xf numFmtId="0" fontId="14" fillId="9" borderId="0" xfId="0" applyFont="1" applyFill="1" applyBorder="1">
      <alignment vertical="top"/>
    </xf>
    <xf numFmtId="0" fontId="2" fillId="9" borderId="0" xfId="0" applyFont="1" applyFill="1" applyBorder="1" applyAlignment="1" applyProtection="1">
      <alignment horizontal="center"/>
    </xf>
    <xf numFmtId="164" fontId="2" fillId="9" borderId="0" xfId="3" applyNumberFormat="1" applyFont="1" applyFill="1" applyBorder="1"/>
    <xf numFmtId="0" fontId="0" fillId="9" borderId="0" xfId="0" applyFill="1" applyBorder="1">
      <alignment vertical="top"/>
    </xf>
    <xf numFmtId="164" fontId="2" fillId="9" borderId="0" xfId="3" applyNumberFormat="1" applyFont="1" applyFill="1"/>
    <xf numFmtId="0" fontId="2" fillId="5" borderId="0" xfId="0" applyFont="1" applyFill="1" applyBorder="1" applyAlignment="1">
      <alignment horizontal="left" indent="1"/>
    </xf>
    <xf numFmtId="164" fontId="2" fillId="5" borderId="0" xfId="3" applyNumberFormat="1" applyFont="1" applyFill="1" applyBorder="1" applyAlignment="1"/>
    <xf numFmtId="0" fontId="2" fillId="9" borderId="0" xfId="0" applyFont="1" applyFill="1" applyBorder="1" applyAlignment="1" applyProtection="1">
      <alignment horizontal="left" indent="1"/>
    </xf>
    <xf numFmtId="0" fontId="2" fillId="0" borderId="0" xfId="0" applyFont="1" applyFill="1" applyAlignment="1">
      <alignment vertical="center" wrapText="1"/>
    </xf>
    <xf numFmtId="164" fontId="3" fillId="0" borderId="5" xfId="3" applyNumberFormat="1" applyFont="1" applyFill="1" applyBorder="1" applyAlignment="1">
      <alignment vertical="center"/>
    </xf>
    <xf numFmtId="0" fontId="2" fillId="0" borderId="0" xfId="1" applyFont="1" applyFill="1" applyBorder="1" applyAlignment="1">
      <alignment vertical="center"/>
    </xf>
    <xf numFmtId="0" fontId="0" fillId="0" borderId="0" xfId="0" applyAlignment="1">
      <alignment vertical="center"/>
    </xf>
    <xf numFmtId="0" fontId="3" fillId="0" borderId="6" xfId="0" applyFont="1" applyFill="1" applyBorder="1" applyAlignment="1" applyProtection="1">
      <alignment horizontal="left" vertical="center"/>
    </xf>
    <xf numFmtId="0" fontId="2" fillId="0" borderId="0" xfId="1" applyFont="1" applyFill="1" applyAlignment="1">
      <alignment horizontal="left" vertical="center"/>
    </xf>
    <xf numFmtId="0" fontId="3" fillId="0" borderId="5" xfId="0" applyFont="1" applyFill="1" applyBorder="1" applyAlignment="1" applyProtection="1">
      <alignment horizontal="left" vertical="center"/>
    </xf>
    <xf numFmtId="0" fontId="0" fillId="5" borderId="0" xfId="0" applyFill="1" applyAlignment="1">
      <alignment vertical="center"/>
    </xf>
    <xf numFmtId="0" fontId="3" fillId="5" borderId="0" xfId="0" applyFont="1" applyFill="1" applyBorder="1" applyAlignment="1" applyProtection="1">
      <alignment horizontal="left" vertical="center"/>
    </xf>
    <xf numFmtId="0" fontId="0" fillId="9" borderId="0" xfId="0" applyFill="1" applyAlignment="1">
      <alignment vertical="center"/>
    </xf>
    <xf numFmtId="0" fontId="3" fillId="9" borderId="0" xfId="0" applyFont="1" applyFill="1" applyBorder="1" applyAlignment="1" applyProtection="1">
      <alignment horizontal="left" vertical="center"/>
    </xf>
    <xf numFmtId="0" fontId="3"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Border="1" applyAlignment="1" applyProtection="1">
      <alignment horizontal="left" vertical="center"/>
    </xf>
    <xf numFmtId="0" fontId="2" fillId="5" borderId="0" xfId="1" applyFont="1" applyFill="1" applyBorder="1" applyAlignment="1">
      <alignment vertical="center"/>
    </xf>
    <xf numFmtId="0" fontId="2" fillId="9" borderId="0" xfId="1" applyFont="1" applyFill="1" applyBorder="1" applyAlignment="1">
      <alignment vertical="center"/>
    </xf>
    <xf numFmtId="164" fontId="18" fillId="9" borderId="0" xfId="3" applyNumberFormat="1" applyFont="1" applyFill="1" applyBorder="1" applyAlignment="1">
      <alignment vertical="center"/>
    </xf>
    <xf numFmtId="0" fontId="3" fillId="0" borderId="0" xfId="1" applyFont="1" applyFill="1" applyBorder="1" applyAlignment="1">
      <alignment vertical="center"/>
    </xf>
    <xf numFmtId="0" fontId="2" fillId="0" borderId="0" xfId="0" applyFont="1" applyFill="1" applyBorder="1" applyAlignment="1" applyProtection="1">
      <alignment horizontal="left" vertical="center"/>
    </xf>
    <xf numFmtId="10" fontId="18" fillId="0" borderId="0" xfId="4" applyNumberFormat="1" applyFont="1" applyFill="1" applyBorder="1" applyAlignment="1">
      <alignment vertical="center"/>
    </xf>
    <xf numFmtId="164" fontId="0" fillId="0" borderId="0" xfId="3" applyNumberFormat="1" applyFont="1" applyFill="1" applyAlignment="1">
      <alignment vertical="center"/>
    </xf>
    <xf numFmtId="164" fontId="0" fillId="0" borderId="0" xfId="3" applyNumberFormat="1" applyFont="1" applyAlignment="1">
      <alignment vertical="center"/>
    </xf>
    <xf numFmtId="0" fontId="2" fillId="0" borderId="4" xfId="0" applyFont="1" applyFill="1" applyBorder="1" applyAlignment="1">
      <alignment vertical="center"/>
    </xf>
    <xf numFmtId="164" fontId="2" fillId="0" borderId="0" xfId="3" applyNumberFormat="1" applyFont="1" applyFill="1" applyBorder="1" applyAlignment="1" applyProtection="1">
      <alignment horizontal="center" vertical="center"/>
    </xf>
    <xf numFmtId="164" fontId="2" fillId="9" borderId="0" xfId="3" applyNumberFormat="1" applyFont="1" applyFill="1" applyBorder="1" applyAlignment="1">
      <alignment vertical="center"/>
    </xf>
    <xf numFmtId="0" fontId="0" fillId="0" borderId="0" xfId="0" applyFill="1" applyAlignment="1">
      <alignment vertical="center"/>
    </xf>
    <xf numFmtId="10" fontId="2" fillId="0" borderId="0" xfId="4" applyNumberFormat="1" applyFont="1" applyFill="1" applyBorder="1" applyAlignment="1">
      <alignment vertical="center"/>
    </xf>
    <xf numFmtId="0" fontId="2" fillId="0" borderId="3" xfId="1" applyFont="1" applyFill="1" applyBorder="1" applyAlignment="1">
      <alignment vertical="center"/>
    </xf>
    <xf numFmtId="0" fontId="18" fillId="0" borderId="0" xfId="1" applyFont="1" applyFill="1" applyBorder="1" applyAlignment="1">
      <alignment vertical="center"/>
    </xf>
    <xf numFmtId="0" fontId="18" fillId="5" borderId="0" xfId="1" applyFont="1" applyFill="1" applyBorder="1" applyAlignment="1">
      <alignment vertical="center"/>
    </xf>
    <xf numFmtId="0" fontId="18" fillId="9" borderId="0" xfId="1" applyFont="1" applyFill="1" applyBorder="1" applyAlignment="1">
      <alignment vertical="center"/>
    </xf>
    <xf numFmtId="164" fontId="18" fillId="0" borderId="5" xfId="3" applyNumberFormat="1" applyFont="1" applyFill="1" applyBorder="1" applyAlignment="1">
      <alignment vertical="center"/>
    </xf>
    <xf numFmtId="167" fontId="2" fillId="0" borderId="0" xfId="4" applyNumberFormat="1" applyFont="1" applyFill="1" applyBorder="1" applyAlignment="1">
      <alignment vertical="center"/>
    </xf>
    <xf numFmtId="0" fontId="2" fillId="5" borderId="0" xfId="0" applyFont="1" applyFill="1" applyAlignment="1">
      <alignment vertical="center"/>
    </xf>
    <xf numFmtId="0" fontId="2" fillId="9" borderId="0" xfId="0" applyFont="1" applyFill="1" applyAlignment="1">
      <alignment vertical="center"/>
    </xf>
    <xf numFmtId="0" fontId="6" fillId="7" borderId="0" xfId="0" applyFont="1" applyFill="1" applyAlignment="1" applyProtection="1">
      <alignment vertical="center"/>
      <protection locked="0"/>
    </xf>
    <xf numFmtId="0" fontId="6" fillId="6" borderId="0" xfId="0" applyFont="1" applyFill="1" applyAlignment="1" applyProtection="1">
      <alignment vertical="center"/>
      <protection locked="0"/>
    </xf>
    <xf numFmtId="0" fontId="6" fillId="5" borderId="0" xfId="0" applyFont="1" applyFill="1" applyAlignment="1" applyProtection="1">
      <alignment vertical="center"/>
      <protection locked="0"/>
    </xf>
    <xf numFmtId="0" fontId="7" fillId="7" borderId="0" xfId="0" applyFont="1" applyFill="1" applyAlignment="1" applyProtection="1">
      <alignment horizontal="center" vertical="center" wrapText="1"/>
      <protection locked="0"/>
    </xf>
    <xf numFmtId="0" fontId="7" fillId="0" borderId="0" xfId="0" applyFont="1" applyFill="1" applyAlignment="1" applyProtection="1">
      <alignment horizontal="center" vertical="center" wrapText="1"/>
      <protection locked="0"/>
    </xf>
    <xf numFmtId="0" fontId="7" fillId="6" borderId="0" xfId="0" applyFont="1" applyFill="1" applyAlignment="1" applyProtection="1">
      <alignment horizontal="center" vertical="center" wrapText="1"/>
      <protection locked="0"/>
    </xf>
    <xf numFmtId="0" fontId="12" fillId="7" borderId="0" xfId="0" applyFont="1" applyFill="1" applyAlignment="1" applyProtection="1">
      <alignment horizontal="left" vertical="center"/>
      <protection locked="0"/>
    </xf>
    <xf numFmtId="164" fontId="6" fillId="7" borderId="0" xfId="3" applyNumberFormat="1" applyFont="1" applyFill="1" applyAlignment="1" applyProtection="1">
      <alignment vertical="center"/>
      <protection locked="0"/>
    </xf>
    <xf numFmtId="41" fontId="2" fillId="7" borderId="0" xfId="3" applyNumberFormat="1" applyFont="1" applyFill="1" applyAlignment="1" applyProtection="1">
      <alignment vertical="center"/>
      <protection locked="0"/>
    </xf>
    <xf numFmtId="41" fontId="2" fillId="0" borderId="0" xfId="3" applyNumberFormat="1" applyFont="1" applyFill="1" applyAlignment="1" applyProtection="1">
      <alignment vertical="center"/>
      <protection locked="0"/>
    </xf>
    <xf numFmtId="41" fontId="2" fillId="6" borderId="0" xfId="3" applyNumberFormat="1" applyFont="1" applyFill="1" applyAlignment="1" applyProtection="1">
      <alignment vertical="center"/>
      <protection locked="0"/>
    </xf>
    <xf numFmtId="0" fontId="10" fillId="0" borderId="0" xfId="0" applyFont="1" applyFill="1" applyAlignment="1" applyProtection="1">
      <alignment vertical="center"/>
      <protection locked="0"/>
    </xf>
    <xf numFmtId="41" fontId="2" fillId="7" borderId="1" xfId="3" applyNumberFormat="1" applyFont="1" applyFill="1" applyBorder="1" applyAlignment="1" applyProtection="1">
      <alignment vertical="center"/>
      <protection locked="0"/>
    </xf>
    <xf numFmtId="41" fontId="2" fillId="0" borderId="1" xfId="3" applyNumberFormat="1" applyFont="1" applyFill="1" applyBorder="1" applyAlignment="1" applyProtection="1">
      <alignment vertical="center"/>
      <protection locked="0"/>
    </xf>
    <xf numFmtId="41" fontId="2" fillId="6" borderId="1" xfId="3" applyNumberFormat="1" applyFont="1" applyFill="1" applyBorder="1" applyAlignment="1" applyProtection="1">
      <alignment vertical="center"/>
      <protection locked="0"/>
    </xf>
    <xf numFmtId="164" fontId="6" fillId="7" borderId="0" xfId="3" applyNumberFormat="1" applyFont="1" applyFill="1" applyAlignment="1" applyProtection="1">
      <alignment horizontal="left" vertical="center"/>
      <protection locked="0"/>
    </xf>
    <xf numFmtId="41" fontId="2" fillId="7" borderId="0" xfId="3" applyNumberFormat="1" applyFont="1" applyFill="1" applyBorder="1" applyAlignment="1" applyProtection="1">
      <alignment vertical="center"/>
      <protection locked="0"/>
    </xf>
    <xf numFmtId="41" fontId="2" fillId="0" borderId="0" xfId="3" applyNumberFormat="1" applyFont="1" applyFill="1" applyBorder="1" applyAlignment="1" applyProtection="1">
      <alignment vertical="center"/>
      <protection locked="0"/>
    </xf>
    <xf numFmtId="41" fontId="2" fillId="7" borderId="2" xfId="3" applyNumberFormat="1" applyFont="1" applyFill="1" applyBorder="1" applyAlignment="1" applyProtection="1">
      <alignment vertical="center"/>
      <protection locked="0"/>
    </xf>
    <xf numFmtId="41" fontId="2" fillId="0" borderId="2" xfId="3" applyNumberFormat="1" applyFont="1" applyFill="1" applyBorder="1" applyAlignment="1" applyProtection="1">
      <alignment vertical="center"/>
      <protection locked="0"/>
    </xf>
    <xf numFmtId="41" fontId="2" fillId="6" borderId="2" xfId="3" applyNumberFormat="1" applyFont="1" applyFill="1" applyBorder="1" applyAlignment="1" applyProtection="1">
      <alignment vertical="center"/>
      <protection locked="0"/>
    </xf>
    <xf numFmtId="41" fontId="2" fillId="6" borderId="0" xfId="3" applyNumberFormat="1" applyFont="1" applyFill="1" applyBorder="1" applyAlignment="1" applyProtection="1">
      <alignment vertical="center"/>
      <protection locked="0"/>
    </xf>
    <xf numFmtId="41" fontId="2" fillId="7" borderId="0" xfId="0" applyNumberFormat="1" applyFont="1" applyFill="1" applyAlignment="1" applyProtection="1">
      <alignment vertical="center"/>
      <protection locked="0"/>
    </xf>
    <xf numFmtId="41" fontId="2" fillId="0" borderId="0" xfId="0" applyNumberFormat="1" applyFont="1" applyFill="1" applyAlignment="1" applyProtection="1">
      <alignment vertical="center"/>
      <protection locked="0"/>
    </xf>
    <xf numFmtId="41" fontId="2" fillId="6" borderId="0" xfId="0" applyNumberFormat="1" applyFont="1" applyFill="1" applyAlignment="1" applyProtection="1">
      <alignment vertical="center"/>
      <protection locked="0"/>
    </xf>
    <xf numFmtId="164" fontId="2" fillId="7" borderId="0" xfId="3" applyNumberFormat="1" applyFont="1" applyFill="1" applyAlignment="1" applyProtection="1">
      <alignment vertical="center"/>
      <protection locked="0"/>
    </xf>
    <xf numFmtId="0" fontId="10" fillId="0" borderId="0" xfId="0" applyFont="1" applyFill="1" applyAlignment="1" applyProtection="1">
      <alignment horizontal="left" vertical="center"/>
      <protection locked="0"/>
    </xf>
    <xf numFmtId="164" fontId="16" fillId="7" borderId="0" xfId="3" applyNumberFormat="1" applyFont="1" applyFill="1" applyAlignment="1" applyProtection="1">
      <alignment vertical="center"/>
      <protection locked="0"/>
    </xf>
    <xf numFmtId="41" fontId="16" fillId="0" borderId="0" xfId="3" applyNumberFormat="1" applyFont="1" applyFill="1" applyAlignment="1" applyProtection="1">
      <alignment vertical="center"/>
      <protection locked="0"/>
    </xf>
    <xf numFmtId="41" fontId="16" fillId="0" borderId="0" xfId="3" applyNumberFormat="1" applyFont="1" applyFill="1" applyBorder="1" applyAlignment="1" applyProtection="1">
      <alignment vertical="center"/>
      <protection locked="0"/>
    </xf>
    <xf numFmtId="41" fontId="16" fillId="6" borderId="0" xfId="3" applyNumberFormat="1" applyFont="1" applyFill="1" applyBorder="1" applyAlignment="1" applyProtection="1">
      <alignment vertical="center"/>
      <protection locked="0"/>
    </xf>
    <xf numFmtId="164" fontId="7" fillId="7" borderId="0" xfId="3" applyNumberFormat="1" applyFont="1" applyFill="1" applyAlignment="1" applyProtection="1">
      <alignment horizontal="left" vertical="center"/>
      <protection locked="0"/>
    </xf>
    <xf numFmtId="41" fontId="6" fillId="0" borderId="0" xfId="0" applyNumberFormat="1" applyFont="1" applyFill="1" applyAlignment="1" applyProtection="1">
      <alignment vertical="center"/>
      <protection locked="0"/>
    </xf>
    <xf numFmtId="41" fontId="6" fillId="6" borderId="0" xfId="0" applyNumberFormat="1" applyFont="1" applyFill="1" applyAlignment="1" applyProtection="1">
      <alignment vertical="center"/>
      <protection locked="0"/>
    </xf>
    <xf numFmtId="0" fontId="7" fillId="0" borderId="0" xfId="0" applyFont="1" applyFill="1" applyAlignment="1" applyProtection="1">
      <alignment vertical="center"/>
      <protection locked="0"/>
    </xf>
    <xf numFmtId="164" fontId="7" fillId="7" borderId="0" xfId="3" applyNumberFormat="1" applyFont="1" applyFill="1" applyAlignment="1" applyProtection="1">
      <alignment vertical="center"/>
      <protection locked="0"/>
    </xf>
    <xf numFmtId="41" fontId="7" fillId="7" borderId="0" xfId="0" applyNumberFormat="1" applyFont="1" applyFill="1" applyAlignment="1" applyProtection="1">
      <alignment vertical="center"/>
      <protection locked="0"/>
    </xf>
    <xf numFmtId="41" fontId="7" fillId="0" borderId="0" xfId="0" applyNumberFormat="1" applyFont="1" applyFill="1" applyAlignment="1" applyProtection="1">
      <alignment vertical="center"/>
      <protection locked="0"/>
    </xf>
    <xf numFmtId="41" fontId="7" fillId="6" borderId="0" xfId="0" applyNumberFormat="1" applyFont="1" applyFill="1" applyAlignment="1" applyProtection="1">
      <alignment vertical="center"/>
      <protection locked="0"/>
    </xf>
    <xf numFmtId="164" fontId="2" fillId="7" borderId="0" xfId="3" applyNumberFormat="1" applyFont="1" applyFill="1" applyAlignment="1" applyProtection="1">
      <alignment horizontal="left" vertical="center" shrinkToFit="1"/>
      <protection locked="0"/>
    </xf>
    <xf numFmtId="41" fontId="16" fillId="7" borderId="0" xfId="3" applyNumberFormat="1" applyFont="1" applyFill="1" applyBorder="1" applyAlignment="1" applyProtection="1">
      <alignment vertical="center"/>
      <protection locked="0"/>
    </xf>
    <xf numFmtId="164" fontId="2" fillId="7" borderId="1" xfId="3" applyNumberFormat="1" applyFont="1" applyFill="1" applyBorder="1" applyAlignment="1" applyProtection="1">
      <alignment vertical="center"/>
      <protection locked="0"/>
    </xf>
    <xf numFmtId="164" fontId="2" fillId="7" borderId="0" xfId="3" applyNumberFormat="1" applyFont="1" applyFill="1" applyAlignment="1" applyProtection="1">
      <alignment horizontal="right" vertical="center"/>
      <protection locked="0"/>
    </xf>
    <xf numFmtId="41" fontId="2" fillId="0" borderId="0" xfId="3" applyNumberFormat="1" applyFont="1" applyFill="1" applyAlignment="1" applyProtection="1">
      <alignment horizontal="right" vertical="center"/>
      <protection locked="0"/>
    </xf>
    <xf numFmtId="41" fontId="2" fillId="6" borderId="0" xfId="3" applyNumberFormat="1" applyFont="1" applyFill="1" applyAlignment="1" applyProtection="1">
      <alignment horizontal="right" vertical="center"/>
      <protection locked="0"/>
    </xf>
    <xf numFmtId="164" fontId="2" fillId="0" borderId="0" xfId="3" applyNumberFormat="1" applyFont="1" applyFill="1" applyAlignment="1" applyProtection="1">
      <alignment vertical="center"/>
      <protection locked="0"/>
    </xf>
    <xf numFmtId="41" fontId="16" fillId="6" borderId="0" xfId="3" applyNumberFormat="1" applyFont="1" applyFill="1" applyAlignment="1" applyProtection="1">
      <alignment vertical="center"/>
      <protection locked="0"/>
    </xf>
    <xf numFmtId="164" fontId="2" fillId="7" borderId="0" xfId="3" applyNumberFormat="1" applyFont="1" applyFill="1" applyBorder="1" applyAlignment="1" applyProtection="1">
      <alignment vertical="center"/>
      <protection locked="0"/>
    </xf>
    <xf numFmtId="164" fontId="16" fillId="7" borderId="1" xfId="3" applyNumberFormat="1" applyFont="1" applyFill="1" applyBorder="1" applyAlignment="1" applyProtection="1">
      <alignment vertical="center"/>
      <protection locked="0"/>
    </xf>
    <xf numFmtId="41" fontId="16" fillId="0" borderId="1" xfId="3" applyNumberFormat="1" applyFont="1" applyFill="1" applyBorder="1" applyAlignment="1" applyProtection="1">
      <alignment vertical="center"/>
      <protection locked="0"/>
    </xf>
    <xf numFmtId="41" fontId="16" fillId="6" borderId="1" xfId="3" applyNumberFormat="1" applyFont="1" applyFill="1" applyBorder="1" applyAlignment="1" applyProtection="1">
      <alignment vertical="center"/>
      <protection locked="0"/>
    </xf>
    <xf numFmtId="41" fontId="3" fillId="6" borderId="0" xfId="3" applyNumberFormat="1" applyFont="1" applyFill="1" applyBorder="1" applyAlignment="1" applyProtection="1">
      <alignment horizontal="right" vertical="center"/>
      <protection locked="0"/>
    </xf>
    <xf numFmtId="41" fontId="3" fillId="0" borderId="0" xfId="3" applyNumberFormat="1" applyFont="1" applyFill="1" applyBorder="1" applyAlignment="1" applyProtection="1">
      <alignment horizontal="right" vertical="center"/>
      <protection locked="0"/>
    </xf>
    <xf numFmtId="164" fontId="6" fillId="7" borderId="0" xfId="3" applyNumberFormat="1" applyFont="1" applyFill="1" applyAlignment="1" applyProtection="1">
      <alignment horizontal="right" vertical="center"/>
      <protection locked="0"/>
    </xf>
    <xf numFmtId="41" fontId="6" fillId="0" borderId="0" xfId="3" applyNumberFormat="1" applyFont="1" applyFill="1" applyAlignment="1" applyProtection="1">
      <alignment horizontal="right" vertical="center"/>
      <protection locked="0"/>
    </xf>
    <xf numFmtId="41" fontId="16" fillId="0" borderId="2" xfId="3" applyNumberFormat="1" applyFont="1" applyFill="1" applyBorder="1" applyAlignment="1" applyProtection="1">
      <alignment vertical="center"/>
      <protection locked="0"/>
    </xf>
    <xf numFmtId="41" fontId="16" fillId="6" borderId="2" xfId="3" applyNumberFormat="1" applyFont="1" applyFill="1" applyBorder="1" applyAlignment="1" applyProtection="1">
      <alignment vertical="center"/>
      <protection locked="0"/>
    </xf>
    <xf numFmtId="164" fontId="2" fillId="7" borderId="2" xfId="3" applyNumberFormat="1" applyFont="1" applyFill="1" applyBorder="1" applyAlignment="1" applyProtection="1">
      <alignment vertical="center"/>
      <protection locked="0"/>
    </xf>
    <xf numFmtId="0" fontId="35" fillId="0" borderId="0" xfId="0" applyFont="1" applyFill="1" applyAlignment="1" applyProtection="1">
      <alignment vertical="center"/>
      <protection locked="0"/>
    </xf>
    <xf numFmtId="164" fontId="6" fillId="0" borderId="0" xfId="3" applyNumberFormat="1" applyFont="1" applyFill="1" applyAlignment="1" applyProtection="1">
      <alignment vertical="center"/>
      <protection locked="0"/>
    </xf>
    <xf numFmtId="164" fontId="2" fillId="0" borderId="1" xfId="3" applyNumberFormat="1" applyFont="1" applyFill="1" applyBorder="1" applyAlignment="1" applyProtection="1">
      <alignment vertical="center"/>
      <protection locked="0"/>
    </xf>
    <xf numFmtId="41" fontId="6" fillId="0" borderId="0" xfId="3" applyNumberFormat="1" applyFont="1" applyFill="1" applyAlignment="1" applyProtection="1">
      <alignment vertical="center"/>
      <protection locked="0"/>
    </xf>
    <xf numFmtId="41" fontId="6" fillId="6" borderId="0" xfId="3" applyNumberFormat="1" applyFont="1" applyFill="1" applyAlignment="1" applyProtection="1">
      <alignment vertical="center"/>
      <protection locked="0"/>
    </xf>
    <xf numFmtId="41" fontId="6" fillId="6" borderId="0" xfId="3" applyNumberFormat="1" applyFont="1" applyFill="1" applyAlignment="1" applyProtection="1">
      <alignment horizontal="right" vertical="center"/>
      <protection locked="0"/>
    </xf>
    <xf numFmtId="164" fontId="16" fillId="7" borderId="0" xfId="3" applyNumberFormat="1" applyFont="1" applyFill="1" applyBorder="1" applyAlignment="1" applyProtection="1">
      <alignment vertical="center"/>
      <protection locked="0"/>
    </xf>
    <xf numFmtId="164" fontId="3" fillId="7" borderId="0" xfId="3" applyNumberFormat="1" applyFont="1" applyFill="1" applyBorder="1" applyAlignment="1" applyProtection="1">
      <alignment horizontal="right" vertical="center"/>
      <protection locked="0"/>
    </xf>
    <xf numFmtId="164" fontId="7" fillId="7" borderId="0" xfId="3" applyNumberFormat="1" applyFont="1" applyFill="1" applyAlignment="1" applyProtection="1">
      <alignment horizontal="center" vertical="center"/>
      <protection locked="0"/>
    </xf>
    <xf numFmtId="164" fontId="2" fillId="0" borderId="0" xfId="3" applyNumberFormat="1" applyFont="1" applyFill="1" applyBorder="1" applyAlignment="1" applyProtection="1">
      <alignment vertical="center"/>
      <protection locked="0"/>
    </xf>
    <xf numFmtId="164" fontId="3" fillId="7" borderId="0" xfId="3" applyNumberFormat="1" applyFont="1" applyFill="1" applyBorder="1" applyAlignment="1" applyProtection="1">
      <alignment vertical="center"/>
      <protection locked="0"/>
    </xf>
    <xf numFmtId="0" fontId="7" fillId="7" borderId="0" xfId="0" applyFont="1" applyFill="1" applyAlignment="1" applyProtection="1">
      <alignment vertical="center"/>
      <protection locked="0"/>
    </xf>
    <xf numFmtId="41" fontId="7" fillId="0" borderId="0" xfId="3" applyNumberFormat="1" applyFont="1" applyFill="1" applyAlignment="1" applyProtection="1">
      <alignment vertical="center"/>
      <protection locked="0"/>
    </xf>
    <xf numFmtId="41" fontId="7" fillId="6" borderId="0" xfId="3" applyNumberFormat="1" applyFont="1" applyFill="1" applyAlignment="1" applyProtection="1">
      <alignment vertical="center"/>
      <protection locked="0"/>
    </xf>
    <xf numFmtId="10" fontId="10" fillId="7" borderId="0" xfId="4" applyNumberFormat="1" applyFont="1" applyFill="1" applyAlignment="1" applyProtection="1">
      <alignment vertical="center"/>
      <protection locked="0"/>
    </xf>
    <xf numFmtId="164" fontId="15" fillId="7" borderId="0" xfId="3" applyNumberFormat="1" applyFont="1" applyFill="1" applyAlignment="1" applyProtection="1">
      <alignment horizontal="left" vertical="center"/>
      <protection locked="0"/>
    </xf>
    <xf numFmtId="164" fontId="15" fillId="7" borderId="0" xfId="3" applyNumberFormat="1" applyFont="1" applyFill="1" applyAlignment="1" applyProtection="1">
      <alignment horizontal="right" vertical="center"/>
      <protection locked="0"/>
    </xf>
    <xf numFmtId="164" fontId="17" fillId="7" borderId="0" xfId="3" applyNumberFormat="1" applyFont="1" applyFill="1" applyAlignment="1" applyProtection="1">
      <alignment horizontal="right" vertical="center"/>
      <protection locked="0"/>
    </xf>
    <xf numFmtId="41" fontId="17" fillId="0" borderId="0" xfId="3" applyNumberFormat="1" applyFont="1" applyFill="1" applyAlignment="1" applyProtection="1">
      <alignment horizontal="right" vertical="center"/>
      <protection locked="0"/>
    </xf>
    <xf numFmtId="41" fontId="17" fillId="6" borderId="0" xfId="3" applyNumberFormat="1" applyFont="1" applyFill="1" applyAlignment="1" applyProtection="1">
      <alignment horizontal="right" vertical="center"/>
      <protection locked="0"/>
    </xf>
    <xf numFmtId="164" fontId="7" fillId="7" borderId="0" xfId="0" applyNumberFormat="1" applyFont="1" applyFill="1" applyAlignment="1" applyProtection="1">
      <alignment vertical="center"/>
      <protection locked="0"/>
    </xf>
    <xf numFmtId="164" fontId="13" fillId="7" borderId="0" xfId="3" applyNumberFormat="1" applyFont="1" applyFill="1" applyAlignment="1" applyProtection="1">
      <alignment vertical="center"/>
      <protection locked="0"/>
    </xf>
    <xf numFmtId="164" fontId="27" fillId="7" borderId="0" xfId="3" applyNumberFormat="1" applyFont="1" applyFill="1" applyAlignment="1" applyProtection="1">
      <alignment vertical="center"/>
      <protection locked="0"/>
    </xf>
    <xf numFmtId="41" fontId="27" fillId="0" borderId="0" xfId="3" applyNumberFormat="1" applyFont="1" applyFill="1" applyBorder="1" applyAlignment="1" applyProtection="1">
      <alignment vertical="center"/>
      <protection locked="0"/>
    </xf>
    <xf numFmtId="41" fontId="27" fillId="6" borderId="0" xfId="3" applyNumberFormat="1" applyFont="1" applyFill="1" applyBorder="1" applyAlignment="1" applyProtection="1">
      <alignment vertical="center"/>
      <protection locked="0"/>
    </xf>
    <xf numFmtId="41" fontId="2" fillId="7" borderId="0" xfId="3" applyNumberFormat="1" applyFont="1" applyFill="1" applyAlignment="1" applyProtection="1">
      <alignment horizontal="right" vertical="center"/>
      <protection locked="0"/>
    </xf>
    <xf numFmtId="41" fontId="16" fillId="7" borderId="2" xfId="3" applyNumberFormat="1" applyFont="1" applyFill="1" applyBorder="1" applyAlignment="1" applyProtection="1">
      <alignment vertical="center"/>
      <protection locked="0"/>
    </xf>
    <xf numFmtId="164" fontId="16" fillId="7" borderId="0" xfId="3" applyNumberFormat="1" applyFont="1" applyFill="1" applyAlignment="1" applyProtection="1">
      <alignment horizontal="right" vertical="center"/>
      <protection locked="0"/>
    </xf>
    <xf numFmtId="41" fontId="16" fillId="0" borderId="0" xfId="3" applyNumberFormat="1" applyFont="1" applyFill="1" applyAlignment="1" applyProtection="1">
      <alignment horizontal="right" vertical="center"/>
      <protection locked="0"/>
    </xf>
    <xf numFmtId="41" fontId="16" fillId="6" borderId="0" xfId="3" applyNumberFormat="1" applyFont="1" applyFill="1" applyAlignment="1" applyProtection="1">
      <alignment horizontal="right" vertical="center"/>
      <protection locked="0"/>
    </xf>
    <xf numFmtId="164" fontId="9" fillId="7" borderId="0" xfId="3" applyNumberFormat="1" applyFont="1" applyFill="1" applyAlignment="1" applyProtection="1">
      <alignment horizontal="left" vertical="center"/>
      <protection locked="0"/>
    </xf>
    <xf numFmtId="164" fontId="10" fillId="0" borderId="0" xfId="3" applyNumberFormat="1" applyFont="1" applyFill="1" applyAlignment="1" applyProtection="1">
      <alignment vertical="center"/>
      <protection locked="0"/>
    </xf>
    <xf numFmtId="41" fontId="10" fillId="6" borderId="0" xfId="4" applyNumberFormat="1" applyFont="1" applyFill="1" applyAlignment="1" applyProtection="1">
      <alignment vertical="center"/>
      <protection locked="0"/>
    </xf>
    <xf numFmtId="41" fontId="10" fillId="0" borderId="0" xfId="4" applyNumberFormat="1" applyFont="1" applyFill="1" applyAlignment="1" applyProtection="1">
      <alignment vertical="center"/>
      <protection locked="0"/>
    </xf>
    <xf numFmtId="164" fontId="16" fillId="7" borderId="2" xfId="3" applyNumberFormat="1" applyFont="1" applyFill="1" applyBorder="1" applyAlignment="1" applyProtection="1">
      <alignment vertical="center"/>
      <protection locked="0"/>
    </xf>
    <xf numFmtId="164" fontId="2" fillId="0" borderId="2" xfId="3" applyNumberFormat="1" applyFont="1" applyFill="1" applyBorder="1" applyAlignment="1" applyProtection="1">
      <alignment vertical="center"/>
      <protection locked="0"/>
    </xf>
    <xf numFmtId="165" fontId="7" fillId="7" borderId="0" xfId="0" applyNumberFormat="1" applyFont="1" applyFill="1" applyAlignment="1" applyProtection="1">
      <alignment vertical="center"/>
      <protection locked="0"/>
    </xf>
    <xf numFmtId="41" fontId="16" fillId="7" borderId="1" xfId="3" applyNumberFormat="1" applyFont="1" applyFill="1" applyBorder="1" applyAlignment="1" applyProtection="1">
      <alignment vertical="center"/>
      <protection locked="0"/>
    </xf>
    <xf numFmtId="164" fontId="10" fillId="7" borderId="0" xfId="3" applyNumberFormat="1" applyFont="1" applyFill="1" applyAlignment="1" applyProtection="1">
      <alignment horizontal="left" vertical="center"/>
      <protection locked="0"/>
    </xf>
    <xf numFmtId="164" fontId="17" fillId="7" borderId="0" xfId="3" applyNumberFormat="1" applyFont="1" applyFill="1" applyAlignment="1" applyProtection="1">
      <alignment vertical="center"/>
      <protection locked="0"/>
    </xf>
    <xf numFmtId="41" fontId="17" fillId="0" borderId="0" xfId="3" applyNumberFormat="1" applyFont="1" applyFill="1" applyAlignment="1" applyProtection="1">
      <alignment vertical="center"/>
      <protection locked="0"/>
    </xf>
    <xf numFmtId="41" fontId="17" fillId="6" borderId="0" xfId="3" applyNumberFormat="1" applyFont="1" applyFill="1" applyAlignment="1" applyProtection="1">
      <alignment vertical="center"/>
      <protection locked="0"/>
    </xf>
    <xf numFmtId="164" fontId="10" fillId="7" borderId="0" xfId="3" applyNumberFormat="1" applyFont="1" applyFill="1" applyAlignment="1" applyProtection="1">
      <alignment vertical="center"/>
      <protection locked="0"/>
    </xf>
    <xf numFmtId="0" fontId="7" fillId="0" borderId="0" xfId="0" applyFont="1" applyFill="1" applyAlignment="1" applyProtection="1">
      <alignment wrapText="1"/>
      <protection locked="0"/>
    </xf>
    <xf numFmtId="43" fontId="6" fillId="7" borderId="0" xfId="3" applyFont="1" applyFill="1" applyAlignment="1" applyProtection="1">
      <alignment vertical="center"/>
      <protection locked="0"/>
    </xf>
    <xf numFmtId="10" fontId="10" fillId="7" borderId="0" xfId="4" applyNumberFormat="1" applyFont="1" applyFill="1" applyAlignment="1" applyProtection="1">
      <alignment horizontal="center" vertical="center"/>
      <protection locked="0"/>
    </xf>
    <xf numFmtId="41" fontId="10" fillId="6" borderId="0" xfId="0" applyNumberFormat="1" applyFont="1" applyFill="1" applyAlignment="1" applyProtection="1">
      <alignment vertical="center"/>
      <protection locked="0"/>
    </xf>
    <xf numFmtId="41" fontId="10" fillId="0" borderId="0" xfId="0" applyNumberFormat="1" applyFont="1" applyFill="1" applyAlignment="1" applyProtection="1">
      <alignment vertical="center"/>
      <protection locked="0"/>
    </xf>
    <xf numFmtId="164" fontId="10" fillId="0" borderId="0" xfId="0" applyNumberFormat="1" applyFont="1" applyFill="1" applyAlignment="1" applyProtection="1">
      <alignment vertical="center"/>
      <protection locked="0"/>
    </xf>
    <xf numFmtId="169" fontId="6" fillId="0" borderId="0" xfId="3" applyNumberFormat="1" applyFont="1" applyFill="1" applyAlignment="1" applyProtection="1">
      <alignment vertical="center"/>
      <protection locked="0"/>
    </xf>
    <xf numFmtId="169" fontId="6" fillId="6" borderId="0" xfId="3" applyNumberFormat="1" applyFont="1" applyFill="1" applyAlignment="1" applyProtection="1">
      <alignment vertical="center"/>
      <protection locked="0"/>
    </xf>
    <xf numFmtId="164" fontId="6" fillId="6" borderId="0" xfId="3" applyNumberFormat="1" applyFont="1" applyFill="1" applyAlignment="1" applyProtection="1">
      <alignment vertical="center"/>
      <protection locked="0"/>
    </xf>
    <xf numFmtId="0" fontId="13" fillId="0" borderId="0" xfId="0" applyFont="1" applyFill="1" applyAlignment="1" applyProtection="1">
      <alignment horizontal="center" vertical="center"/>
      <protection locked="0"/>
    </xf>
    <xf numFmtId="0" fontId="6" fillId="0" borderId="0" xfId="0" applyFont="1" applyFill="1" applyAlignment="1" applyProtection="1">
      <alignment horizontal="center" vertical="center"/>
      <protection locked="0"/>
    </xf>
    <xf numFmtId="0" fontId="6" fillId="0" borderId="0" xfId="0" applyFont="1" applyFill="1" applyAlignment="1" applyProtection="1">
      <alignment horizontal="left" vertical="center"/>
      <protection locked="0"/>
    </xf>
    <xf numFmtId="0" fontId="6" fillId="0" borderId="0" xfId="0" applyFont="1" applyFill="1" applyAlignment="1" applyProtection="1">
      <alignment vertical="center"/>
      <protection locked="0"/>
    </xf>
    <xf numFmtId="0" fontId="7" fillId="0" borderId="0" xfId="0" applyFont="1" applyFill="1" applyAlignment="1" applyProtection="1">
      <alignment horizontal="left" vertical="center" wrapText="1"/>
      <protection locked="0"/>
    </xf>
    <xf numFmtId="0" fontId="6" fillId="0" borderId="0" xfId="0" applyFont="1" applyFill="1" applyAlignment="1" applyProtection="1">
      <alignment vertical="center"/>
    </xf>
    <xf numFmtId="1" fontId="7" fillId="7" borderId="0" xfId="0" applyNumberFormat="1" applyFont="1" applyFill="1" applyBorder="1" applyAlignment="1" applyProtection="1">
      <alignment horizontal="center" vertical="center"/>
    </xf>
    <xf numFmtId="1" fontId="7" fillId="0" borderId="0" xfId="0" applyNumberFormat="1" applyFont="1" applyFill="1" applyBorder="1" applyAlignment="1" applyProtection="1">
      <alignment horizontal="center" vertical="center"/>
    </xf>
    <xf numFmtId="1" fontId="7" fillId="6" borderId="0" xfId="0" applyNumberFormat="1" applyFont="1" applyFill="1" applyBorder="1" applyAlignment="1" applyProtection="1">
      <alignment horizontal="center" vertical="center"/>
    </xf>
    <xf numFmtId="0" fontId="7" fillId="0" borderId="0" xfId="0" applyFont="1" applyFill="1" applyAlignment="1" applyProtection="1">
      <alignment horizontal="left" vertical="center" wrapText="1"/>
    </xf>
    <xf numFmtId="0" fontId="7" fillId="7" borderId="0" xfId="0" applyFont="1" applyFill="1" applyAlignment="1" applyProtection="1">
      <alignment horizontal="center" vertical="center" wrapText="1"/>
    </xf>
    <xf numFmtId="0" fontId="7" fillId="0" borderId="0" xfId="0" applyFont="1" applyFill="1" applyAlignment="1" applyProtection="1">
      <alignment horizontal="center" vertical="center" wrapText="1"/>
    </xf>
    <xf numFmtId="0" fontId="7" fillId="6" borderId="0" xfId="0" applyFont="1" applyFill="1" applyAlignment="1" applyProtection="1">
      <alignment horizontal="center" vertical="center" wrapText="1"/>
    </xf>
    <xf numFmtId="0" fontId="37" fillId="0" borderId="0" xfId="0" applyFont="1" applyFill="1" applyAlignment="1" applyProtection="1">
      <alignment vertical="center"/>
    </xf>
    <xf numFmtId="41" fontId="2" fillId="0" borderId="0" xfId="3" applyNumberFormat="1" applyFont="1" applyFill="1" applyAlignment="1" applyProtection="1">
      <alignment vertical="center"/>
    </xf>
    <xf numFmtId="41" fontId="2" fillId="6" borderId="0" xfId="3" applyNumberFormat="1" applyFont="1" applyFill="1" applyAlignment="1" applyProtection="1">
      <alignment vertical="center"/>
    </xf>
    <xf numFmtId="41" fontId="2" fillId="0" borderId="1" xfId="3" applyNumberFormat="1" applyFont="1" applyFill="1" applyBorder="1" applyAlignment="1" applyProtection="1">
      <alignment vertical="center"/>
    </xf>
    <xf numFmtId="41" fontId="2" fillId="6" borderId="1" xfId="3" applyNumberFormat="1" applyFont="1" applyFill="1" applyBorder="1" applyAlignment="1" applyProtection="1">
      <alignment vertical="center"/>
    </xf>
    <xf numFmtId="41" fontId="2" fillId="0" borderId="0" xfId="3" applyNumberFormat="1" applyFont="1" applyFill="1" applyBorder="1" applyAlignment="1" applyProtection="1">
      <alignment vertical="center"/>
    </xf>
    <xf numFmtId="41" fontId="2" fillId="0" borderId="2" xfId="3" applyNumberFormat="1" applyFont="1" applyFill="1" applyBorder="1" applyAlignment="1" applyProtection="1">
      <alignment vertical="center"/>
    </xf>
    <xf numFmtId="41" fontId="2" fillId="6" borderId="2" xfId="3" applyNumberFormat="1" applyFont="1" applyFill="1" applyBorder="1" applyAlignment="1" applyProtection="1">
      <alignment vertical="center"/>
    </xf>
    <xf numFmtId="41" fontId="2" fillId="6" borderId="0" xfId="3" applyNumberFormat="1" applyFont="1" applyFill="1" applyBorder="1" applyAlignment="1" applyProtection="1">
      <alignment vertical="center"/>
    </xf>
    <xf numFmtId="41" fontId="2" fillId="0" borderId="0" xfId="0" applyNumberFormat="1" applyFont="1" applyFill="1" applyAlignment="1" applyProtection="1">
      <alignment vertical="center"/>
    </xf>
    <xf numFmtId="41" fontId="2" fillId="6" borderId="0" xfId="0" applyNumberFormat="1" applyFont="1" applyFill="1" applyAlignment="1" applyProtection="1">
      <alignment vertical="center"/>
    </xf>
    <xf numFmtId="41" fontId="16" fillId="0" borderId="0" xfId="3" applyNumberFormat="1" applyFont="1" applyFill="1" applyAlignment="1" applyProtection="1">
      <alignment vertical="center"/>
    </xf>
    <xf numFmtId="41" fontId="16" fillId="0" borderId="0" xfId="3" applyNumberFormat="1" applyFont="1" applyFill="1" applyBorder="1" applyAlignment="1" applyProtection="1">
      <alignment vertical="center"/>
    </xf>
    <xf numFmtId="41" fontId="16" fillId="6" borderId="0" xfId="3" applyNumberFormat="1" applyFont="1" applyFill="1" applyBorder="1" applyAlignment="1" applyProtection="1">
      <alignment vertical="center"/>
    </xf>
    <xf numFmtId="41" fontId="6" fillId="0" borderId="0" xfId="0" applyNumberFormat="1" applyFont="1" applyFill="1" applyAlignment="1" applyProtection="1">
      <alignment vertical="center"/>
    </xf>
    <xf numFmtId="41" fontId="6" fillId="6" borderId="0" xfId="0" applyNumberFormat="1" applyFont="1" applyFill="1" applyAlignment="1" applyProtection="1">
      <alignment vertical="center"/>
    </xf>
    <xf numFmtId="41" fontId="7" fillId="0" borderId="0" xfId="0" applyNumberFormat="1" applyFont="1" applyFill="1" applyAlignment="1" applyProtection="1">
      <alignment vertical="center"/>
    </xf>
    <xf numFmtId="41" fontId="7" fillId="6" borderId="0" xfId="0" applyNumberFormat="1" applyFont="1" applyFill="1" applyAlignment="1" applyProtection="1">
      <alignment vertical="center"/>
    </xf>
    <xf numFmtId="41" fontId="3" fillId="0" borderId="2" xfId="3" applyNumberFormat="1" applyFont="1" applyFill="1" applyBorder="1" applyAlignment="1" applyProtection="1">
      <alignment vertical="center"/>
    </xf>
    <xf numFmtId="41" fontId="3" fillId="6" borderId="0" xfId="0" applyNumberFormat="1" applyFont="1" applyFill="1" applyAlignment="1" applyProtection="1">
      <alignment vertical="center"/>
    </xf>
    <xf numFmtId="41" fontId="2" fillId="0" borderId="0" xfId="3" applyNumberFormat="1" applyFont="1" applyFill="1" applyAlignment="1" applyProtection="1">
      <alignment horizontal="right" vertical="center"/>
    </xf>
    <xf numFmtId="41" fontId="2" fillId="6" borderId="0" xfId="3" applyNumberFormat="1" applyFont="1" applyFill="1" applyAlignment="1" applyProtection="1">
      <alignment horizontal="right" vertical="center"/>
    </xf>
    <xf numFmtId="41" fontId="16" fillId="6" borderId="0" xfId="3" applyNumberFormat="1" applyFont="1" applyFill="1" applyAlignment="1" applyProtection="1">
      <alignment vertical="center"/>
    </xf>
    <xf numFmtId="41" fontId="3" fillId="6" borderId="0" xfId="3" applyNumberFormat="1" applyFont="1" applyFill="1" applyAlignment="1" applyProtection="1">
      <alignment vertical="center"/>
    </xf>
    <xf numFmtId="41" fontId="16" fillId="0" borderId="1" xfId="3" applyNumberFormat="1" applyFont="1" applyFill="1" applyBorder="1" applyAlignment="1" applyProtection="1">
      <alignment vertical="center"/>
    </xf>
    <xf numFmtId="41" fontId="16" fillId="6" borderId="1" xfId="3" applyNumberFormat="1" applyFont="1" applyFill="1" applyBorder="1" applyAlignment="1" applyProtection="1">
      <alignment vertical="center"/>
    </xf>
    <xf numFmtId="41" fontId="3" fillId="6" borderId="0" xfId="3" applyNumberFormat="1" applyFont="1" applyFill="1" applyBorder="1" applyAlignment="1" applyProtection="1">
      <alignment horizontal="right" vertical="center"/>
    </xf>
    <xf numFmtId="41" fontId="6" fillId="0" borderId="0" xfId="3" applyNumberFormat="1" applyFont="1" applyFill="1" applyAlignment="1" applyProtection="1">
      <alignment horizontal="right" vertical="center"/>
    </xf>
    <xf numFmtId="41" fontId="16" fillId="0" borderId="2" xfId="3" applyNumberFormat="1" applyFont="1" applyFill="1" applyBorder="1" applyAlignment="1" applyProtection="1">
      <alignment vertical="center"/>
    </xf>
    <xf numFmtId="41" fontId="16" fillId="6" borderId="2" xfId="3" applyNumberFormat="1" applyFont="1" applyFill="1" applyBorder="1" applyAlignment="1" applyProtection="1">
      <alignment vertical="center"/>
    </xf>
    <xf numFmtId="41" fontId="3" fillId="6" borderId="0" xfId="3" applyNumberFormat="1" applyFont="1" applyFill="1" applyAlignment="1" applyProtection="1">
      <alignment horizontal="right" vertical="center"/>
    </xf>
    <xf numFmtId="41" fontId="3" fillId="0" borderId="0" xfId="3" applyNumberFormat="1" applyFont="1" applyFill="1" applyAlignment="1" applyProtection="1">
      <alignment horizontal="right" vertical="center"/>
    </xf>
    <xf numFmtId="41" fontId="6" fillId="0" borderId="0" xfId="3" applyNumberFormat="1" applyFont="1" applyFill="1" applyAlignment="1" applyProtection="1">
      <alignment vertical="center"/>
    </xf>
    <xf numFmtId="41" fontId="6" fillId="6" borderId="0" xfId="3" applyNumberFormat="1" applyFont="1" applyFill="1" applyAlignment="1" applyProtection="1">
      <alignment vertical="center"/>
    </xf>
    <xf numFmtId="41" fontId="6" fillId="6" borderId="0" xfId="3" applyNumberFormat="1" applyFont="1" applyFill="1" applyAlignment="1" applyProtection="1">
      <alignment horizontal="right" vertical="center"/>
    </xf>
    <xf numFmtId="41" fontId="3" fillId="0" borderId="0" xfId="3" applyNumberFormat="1" applyFont="1" applyFill="1" applyAlignment="1" applyProtection="1">
      <alignment vertical="center"/>
    </xf>
    <xf numFmtId="41" fontId="3" fillId="0" borderId="0" xfId="3" applyNumberFormat="1" applyFont="1" applyFill="1" applyBorder="1" applyAlignment="1" applyProtection="1">
      <alignment horizontal="right" vertical="center"/>
    </xf>
    <xf numFmtId="41" fontId="3" fillId="0" borderId="0" xfId="3" applyNumberFormat="1" applyFont="1" applyFill="1" applyBorder="1" applyAlignment="1" applyProtection="1">
      <alignment vertical="center"/>
    </xf>
    <xf numFmtId="41" fontId="7" fillId="0" borderId="0" xfId="3" applyNumberFormat="1" applyFont="1" applyFill="1" applyAlignment="1" applyProtection="1">
      <alignment vertical="center"/>
    </xf>
    <xf numFmtId="41" fontId="7" fillId="6" borderId="0" xfId="3" applyNumberFormat="1" applyFont="1" applyFill="1" applyAlignment="1" applyProtection="1">
      <alignment vertical="center"/>
    </xf>
    <xf numFmtId="10" fontId="10" fillId="0" borderId="0" xfId="4" applyNumberFormat="1" applyFont="1" applyFill="1" applyAlignment="1" applyProtection="1">
      <alignment vertical="center"/>
    </xf>
    <xf numFmtId="10" fontId="10" fillId="6" borderId="0" xfId="4" applyNumberFormat="1" applyFont="1" applyFill="1" applyAlignment="1" applyProtection="1">
      <alignment vertical="center"/>
    </xf>
    <xf numFmtId="41" fontId="17" fillId="0" borderId="0" xfId="3" applyNumberFormat="1" applyFont="1" applyFill="1" applyAlignment="1" applyProtection="1">
      <alignment horizontal="right" vertical="center"/>
    </xf>
    <xf numFmtId="41" fontId="17" fillId="6" borderId="0" xfId="3" applyNumberFormat="1" applyFont="1" applyFill="1" applyAlignment="1" applyProtection="1">
      <alignment horizontal="right" vertical="center"/>
    </xf>
    <xf numFmtId="41" fontId="27" fillId="0" borderId="0" xfId="3" applyNumberFormat="1" applyFont="1" applyFill="1" applyAlignment="1" applyProtection="1">
      <alignment vertical="center"/>
    </xf>
    <xf numFmtId="41" fontId="27" fillId="0" borderId="0" xfId="3" applyNumberFormat="1" applyFont="1" applyFill="1" applyBorder="1" applyAlignment="1" applyProtection="1">
      <alignment vertical="center"/>
    </xf>
    <xf numFmtId="41" fontId="27" fillId="6" borderId="0" xfId="3" applyNumberFormat="1" applyFont="1" applyFill="1" applyBorder="1" applyAlignment="1" applyProtection="1">
      <alignment vertical="center"/>
    </xf>
    <xf numFmtId="41" fontId="16" fillId="0" borderId="0" xfId="3" applyNumberFormat="1" applyFont="1" applyFill="1" applyAlignment="1" applyProtection="1">
      <alignment horizontal="right" vertical="center"/>
    </xf>
    <xf numFmtId="41" fontId="16" fillId="6" borderId="0" xfId="3" applyNumberFormat="1" applyFont="1" applyFill="1" applyAlignment="1" applyProtection="1">
      <alignment horizontal="right" vertical="center"/>
    </xf>
    <xf numFmtId="41" fontId="33" fillId="0" borderId="0" xfId="3" applyNumberFormat="1" applyFont="1" applyFill="1" applyAlignment="1" applyProtection="1">
      <alignment vertical="center"/>
    </xf>
    <xf numFmtId="41" fontId="33" fillId="6" borderId="0" xfId="3" applyNumberFormat="1" applyFont="1" applyFill="1" applyAlignment="1" applyProtection="1">
      <alignment vertical="center"/>
    </xf>
    <xf numFmtId="41" fontId="9" fillId="0" borderId="0" xfId="3" applyNumberFormat="1" applyFont="1" applyFill="1" applyAlignment="1" applyProtection="1">
      <alignment vertical="center"/>
    </xf>
    <xf numFmtId="41" fontId="9" fillId="6" borderId="0" xfId="3" applyNumberFormat="1" applyFont="1" applyFill="1" applyAlignment="1" applyProtection="1">
      <alignment vertical="center"/>
    </xf>
    <xf numFmtId="41" fontId="7" fillId="0" borderId="7" xfId="3" applyNumberFormat="1" applyFont="1" applyFill="1" applyBorder="1" applyAlignment="1" applyProtection="1">
      <alignment vertical="center"/>
    </xf>
    <xf numFmtId="41" fontId="7" fillId="6" borderId="7" xfId="3" applyNumberFormat="1" applyFont="1" applyFill="1" applyBorder="1" applyAlignment="1" applyProtection="1">
      <alignment vertical="center"/>
    </xf>
    <xf numFmtId="41" fontId="10" fillId="6" borderId="0" xfId="4" applyNumberFormat="1" applyFont="1" applyFill="1" applyAlignment="1" applyProtection="1">
      <alignment vertical="center"/>
    </xf>
    <xf numFmtId="41" fontId="10" fillId="0" borderId="0" xfId="4" applyNumberFormat="1" applyFont="1" applyFill="1" applyAlignment="1" applyProtection="1">
      <alignment vertical="center"/>
    </xf>
    <xf numFmtId="41" fontId="17" fillId="0" borderId="0" xfId="3" applyNumberFormat="1" applyFont="1" applyFill="1" applyAlignment="1" applyProtection="1">
      <alignment vertical="center"/>
    </xf>
    <xf numFmtId="41" fontId="17" fillId="6" borderId="0" xfId="3" applyNumberFormat="1" applyFont="1" applyFill="1" applyAlignment="1" applyProtection="1">
      <alignment vertical="center"/>
    </xf>
    <xf numFmtId="41" fontId="3" fillId="6" borderId="0" xfId="3" applyNumberFormat="1" applyFont="1" applyFill="1" applyBorder="1" applyAlignment="1" applyProtection="1">
      <alignment vertical="center"/>
    </xf>
    <xf numFmtId="41" fontId="17" fillId="6" borderId="0" xfId="0" applyNumberFormat="1" applyFont="1" applyFill="1" applyAlignment="1" applyProtection="1">
      <alignment vertical="center"/>
    </xf>
    <xf numFmtId="41" fontId="17" fillId="0" borderId="0" xfId="0" applyNumberFormat="1" applyFont="1" applyFill="1" applyAlignment="1" applyProtection="1">
      <alignment vertical="center"/>
    </xf>
    <xf numFmtId="41" fontId="7" fillId="0" borderId="0" xfId="3" applyNumberFormat="1" applyFont="1" applyFill="1" applyAlignment="1" applyProtection="1">
      <alignment horizontal="center" vertical="center"/>
    </xf>
    <xf numFmtId="41" fontId="7" fillId="6" borderId="0" xfId="3" applyNumberFormat="1" applyFont="1" applyFill="1" applyAlignment="1" applyProtection="1">
      <alignment horizontal="center" vertical="center"/>
    </xf>
    <xf numFmtId="41" fontId="10" fillId="6" borderId="0" xfId="0" applyNumberFormat="1" applyFont="1" applyFill="1" applyAlignment="1" applyProtection="1">
      <alignment vertical="center"/>
    </xf>
    <xf numFmtId="41" fontId="10" fillId="0" borderId="0" xfId="4" applyNumberFormat="1" applyFont="1" applyFill="1" applyAlignment="1" applyProtection="1">
      <alignment horizontal="center" vertical="center"/>
    </xf>
    <xf numFmtId="41" fontId="10" fillId="0" borderId="0" xfId="3" applyNumberFormat="1" applyFont="1" applyFill="1" applyAlignment="1" applyProtection="1">
      <alignment vertical="center"/>
    </xf>
    <xf numFmtId="41" fontId="10" fillId="6" borderId="0" xfId="3" applyNumberFormat="1" applyFont="1" applyFill="1" applyAlignment="1" applyProtection="1">
      <alignment vertical="center"/>
    </xf>
    <xf numFmtId="41" fontId="6" fillId="0" borderId="0" xfId="4" applyNumberFormat="1" applyFont="1" applyFill="1" applyAlignment="1" applyProtection="1">
      <alignment vertical="center"/>
    </xf>
    <xf numFmtId="41" fontId="15" fillId="0" borderId="0" xfId="0" applyNumberFormat="1" applyFont="1" applyFill="1" applyAlignment="1" applyProtection="1">
      <alignment vertical="center"/>
    </xf>
    <xf numFmtId="41" fontId="15" fillId="6" borderId="0" xfId="0" applyNumberFormat="1" applyFont="1" applyFill="1" applyAlignment="1" applyProtection="1">
      <alignment vertical="center"/>
    </xf>
    <xf numFmtId="41" fontId="32" fillId="0" borderId="0" xfId="3" applyNumberFormat="1" applyFont="1" applyFill="1" applyAlignment="1" applyProtection="1">
      <alignment vertical="center"/>
    </xf>
    <xf numFmtId="41" fontId="32" fillId="6" borderId="0" xfId="3" applyNumberFormat="1" applyFont="1" applyFill="1" applyAlignment="1" applyProtection="1">
      <alignment vertical="center"/>
    </xf>
    <xf numFmtId="169" fontId="6" fillId="0" borderId="0" xfId="3" applyNumberFormat="1" applyFont="1" applyFill="1" applyAlignment="1" applyProtection="1">
      <alignment vertical="center"/>
    </xf>
    <xf numFmtId="169" fontId="6" fillId="0" borderId="0" xfId="0" applyNumberFormat="1" applyFont="1" applyFill="1" applyAlignment="1" applyProtection="1">
      <alignment vertical="center"/>
    </xf>
    <xf numFmtId="0" fontId="12" fillId="0" borderId="0" xfId="0" applyFont="1" applyFill="1" applyAlignment="1" applyProtection="1">
      <alignment horizontal="left" vertical="center"/>
    </xf>
    <xf numFmtId="0" fontId="2" fillId="0" borderId="0" xfId="0" applyFont="1" applyFill="1" applyAlignment="1" applyProtection="1">
      <alignment vertical="center"/>
    </xf>
    <xf numFmtId="0" fontId="6" fillId="0" borderId="0" xfId="0" applyFont="1" applyFill="1" applyAlignment="1" applyProtection="1">
      <alignment horizontal="left" vertical="center"/>
    </xf>
    <xf numFmtId="0" fontId="2" fillId="0" borderId="0" xfId="0" applyFont="1" applyFill="1" applyAlignment="1" applyProtection="1">
      <alignment vertical="center" readingOrder="1"/>
    </xf>
    <xf numFmtId="0" fontId="7" fillId="0" borderId="0" xfId="0" applyFont="1" applyFill="1" applyAlignment="1" applyProtection="1">
      <alignment horizontal="left" vertical="center"/>
    </xf>
    <xf numFmtId="0" fontId="7" fillId="0" borderId="0" xfId="0" applyFont="1" applyFill="1" applyAlignment="1" applyProtection="1">
      <alignment vertical="center"/>
    </xf>
    <xf numFmtId="0" fontId="7" fillId="0" borderId="0" xfId="0" applyFont="1" applyFill="1" applyAlignment="1" applyProtection="1">
      <alignment horizontal="center" vertical="center"/>
    </xf>
    <xf numFmtId="0" fontId="3" fillId="0" borderId="0" xfId="0" applyFont="1" applyFill="1" applyAlignment="1" applyProtection="1">
      <alignment vertical="center"/>
    </xf>
    <xf numFmtId="8" fontId="7" fillId="0" borderId="0" xfId="0" applyNumberFormat="1" applyFont="1" applyFill="1" applyAlignment="1" applyProtection="1">
      <alignment vertical="center"/>
    </xf>
    <xf numFmtId="166" fontId="7" fillId="0" borderId="0" xfId="0" applyNumberFormat="1" applyFont="1" applyFill="1" applyAlignment="1" applyProtection="1">
      <alignment vertical="center"/>
    </xf>
    <xf numFmtId="164" fontId="7" fillId="0" borderId="0" xfId="3" applyNumberFormat="1" applyFont="1" applyFill="1" applyAlignment="1" applyProtection="1">
      <alignment vertical="center"/>
    </xf>
    <xf numFmtId="10" fontId="7" fillId="0" borderId="0" xfId="4" applyNumberFormat="1" applyFont="1" applyFill="1" applyAlignment="1" applyProtection="1">
      <alignment vertical="center"/>
    </xf>
    <xf numFmtId="0" fontId="12" fillId="0" borderId="0" xfId="0" applyFont="1" applyFill="1" applyAlignment="1" applyProtection="1">
      <alignment vertical="center"/>
    </xf>
    <xf numFmtId="0" fontId="15" fillId="0" borderId="0" xfId="0" applyFont="1" applyFill="1" applyAlignment="1" applyProtection="1">
      <alignment horizontal="left" vertical="center"/>
    </xf>
    <xf numFmtId="10" fontId="6" fillId="0" borderId="0" xfId="4" applyNumberFormat="1" applyFont="1" applyFill="1" applyAlignment="1" applyProtection="1">
      <alignment vertical="center"/>
    </xf>
    <xf numFmtId="0" fontId="13" fillId="0" borderId="0" xfId="0" applyFont="1" applyFill="1" applyAlignment="1" applyProtection="1">
      <alignment vertical="center"/>
    </xf>
    <xf numFmtId="0" fontId="9" fillId="0" borderId="0" xfId="0" applyFont="1" applyFill="1" applyAlignment="1" applyProtection="1">
      <alignment horizontal="left" vertical="center"/>
    </xf>
    <xf numFmtId="0" fontId="9" fillId="0" borderId="0" xfId="0" applyFont="1" applyFill="1" applyAlignment="1" applyProtection="1">
      <alignment vertical="center"/>
    </xf>
    <xf numFmtId="0" fontId="34" fillId="0" borderId="0" xfId="0" applyFont="1" applyFill="1" applyAlignment="1" applyProtection="1">
      <alignment vertical="center"/>
    </xf>
    <xf numFmtId="0" fontId="8" fillId="0" borderId="0" xfId="0" applyFont="1" applyFill="1" applyAlignment="1" applyProtection="1">
      <alignment horizontal="left" vertical="center" wrapText="1"/>
    </xf>
    <xf numFmtId="0" fontId="10" fillId="0" borderId="0" xfId="0" applyFont="1" applyFill="1" applyAlignment="1" applyProtection="1">
      <alignment horizontal="left" vertical="center"/>
    </xf>
    <xf numFmtId="164" fontId="7" fillId="0" borderId="0" xfId="3" applyNumberFormat="1" applyFont="1" applyFill="1" applyAlignment="1" applyProtection="1">
      <alignment horizontal="left" vertical="center"/>
    </xf>
    <xf numFmtId="0" fontId="2" fillId="0" borderId="0" xfId="0" applyFont="1" applyFill="1" applyAlignment="1" applyProtection="1">
      <alignment horizontal="left" vertical="center" readingOrder="1"/>
    </xf>
    <xf numFmtId="0" fontId="10" fillId="0" borderId="0" xfId="0" applyFont="1" applyFill="1" applyAlignment="1" applyProtection="1">
      <alignment vertical="center"/>
    </xf>
    <xf numFmtId="0" fontId="6" fillId="8" borderId="0" xfId="0" applyFont="1" applyFill="1" applyAlignment="1" applyProtection="1">
      <alignment vertical="center"/>
    </xf>
    <xf numFmtId="0" fontId="10" fillId="0" borderId="0" xfId="0" applyFont="1" applyFill="1" applyAlignment="1" applyProtection="1">
      <alignment horizontal="center" vertical="center"/>
    </xf>
    <xf numFmtId="0" fontId="6" fillId="0" borderId="0" xfId="0" applyFont="1" applyFill="1" applyAlignment="1" applyProtection="1">
      <alignment horizontal="center" vertical="center"/>
    </xf>
    <xf numFmtId="0" fontId="36" fillId="0" borderId="0" xfId="0" applyFont="1" applyFill="1" applyAlignment="1" applyProtection="1">
      <alignment vertical="center"/>
    </xf>
    <xf numFmtId="0" fontId="7" fillId="0" borderId="0" xfId="0" applyFont="1" applyFill="1" applyAlignment="1" applyProtection="1">
      <alignment horizontal="right" vertical="center"/>
    </xf>
    <xf numFmtId="164" fontId="7" fillId="7" borderId="0" xfId="3" applyNumberFormat="1" applyFont="1" applyFill="1" applyAlignment="1" applyProtection="1">
      <alignment vertical="center"/>
    </xf>
    <xf numFmtId="41" fontId="7" fillId="7" borderId="0" xfId="0" applyNumberFormat="1" applyFont="1" applyFill="1" applyAlignment="1" applyProtection="1">
      <alignment vertical="center"/>
    </xf>
    <xf numFmtId="164" fontId="6" fillId="7" borderId="0" xfId="3" applyNumberFormat="1" applyFont="1" applyFill="1" applyAlignment="1" applyProtection="1">
      <alignment vertical="center"/>
    </xf>
    <xf numFmtId="164" fontId="3" fillId="7" borderId="2" xfId="3" applyNumberFormat="1" applyFont="1" applyFill="1" applyBorder="1" applyAlignment="1" applyProtection="1">
      <alignment vertical="center"/>
    </xf>
    <xf numFmtId="41" fontId="3" fillId="0" borderId="0" xfId="0" applyNumberFormat="1" applyFont="1" applyFill="1" applyAlignment="1" applyProtection="1">
      <alignment vertical="center"/>
    </xf>
    <xf numFmtId="164" fontId="3" fillId="7" borderId="0" xfId="3" applyNumberFormat="1" applyFont="1" applyFill="1" applyAlignment="1" applyProtection="1">
      <alignment horizontal="right" vertical="center"/>
    </xf>
    <xf numFmtId="164" fontId="6" fillId="7" borderId="0" xfId="3" applyNumberFormat="1" applyFont="1" applyFill="1" applyAlignment="1" applyProtection="1">
      <alignment horizontal="left" vertical="center"/>
    </xf>
    <xf numFmtId="164" fontId="7" fillId="7" borderId="0" xfId="3" applyNumberFormat="1" applyFont="1" applyFill="1" applyAlignment="1" applyProtection="1">
      <alignment horizontal="left" vertical="center"/>
    </xf>
    <xf numFmtId="164" fontId="3" fillId="7" borderId="0" xfId="3" applyNumberFormat="1" applyFont="1" applyFill="1" applyAlignment="1" applyProtection="1">
      <alignment vertical="center"/>
    </xf>
    <xf numFmtId="164" fontId="3" fillId="7" borderId="0" xfId="3" applyNumberFormat="1" applyFont="1" applyFill="1" applyBorder="1" applyAlignment="1" applyProtection="1">
      <alignment horizontal="right" vertical="center"/>
    </xf>
    <xf numFmtId="164" fontId="7" fillId="7" borderId="0" xfId="3" applyNumberFormat="1" applyFont="1" applyFill="1" applyAlignment="1" applyProtection="1">
      <alignment horizontal="center" vertical="center"/>
    </xf>
    <xf numFmtId="164" fontId="3" fillId="0" borderId="0" xfId="3" applyNumberFormat="1" applyFont="1" applyFill="1" applyBorder="1" applyAlignment="1" applyProtection="1">
      <alignment horizontal="right" vertical="center"/>
    </xf>
    <xf numFmtId="164" fontId="3" fillId="7" borderId="0" xfId="3" applyNumberFormat="1" applyFont="1" applyFill="1" applyBorder="1" applyAlignment="1" applyProtection="1">
      <alignment vertical="center"/>
    </xf>
    <xf numFmtId="164" fontId="2" fillId="7" borderId="0" xfId="3" applyNumberFormat="1" applyFont="1" applyFill="1" applyBorder="1" applyAlignment="1" applyProtection="1">
      <alignment vertical="center"/>
    </xf>
    <xf numFmtId="0" fontId="6" fillId="7" borderId="0" xfId="0" applyFont="1" applyFill="1" applyAlignment="1" applyProtection="1">
      <alignment vertical="center"/>
    </xf>
    <xf numFmtId="0" fontId="7" fillId="7" borderId="0" xfId="0" applyFont="1" applyFill="1" applyAlignment="1" applyProtection="1">
      <alignment vertical="center"/>
    </xf>
    <xf numFmtId="164" fontId="6" fillId="0" borderId="0" xfId="3" applyNumberFormat="1" applyFont="1" applyFill="1" applyAlignment="1" applyProtection="1">
      <alignment vertical="center"/>
    </xf>
    <xf numFmtId="10" fontId="7" fillId="7" borderId="0" xfId="4" applyNumberFormat="1" applyFont="1" applyFill="1" applyAlignment="1" applyProtection="1">
      <alignment vertical="center"/>
    </xf>
    <xf numFmtId="10" fontId="10" fillId="7" borderId="0" xfId="4" applyNumberFormat="1" applyFont="1" applyFill="1" applyAlignment="1" applyProtection="1">
      <alignment vertical="center"/>
    </xf>
    <xf numFmtId="10" fontId="6" fillId="7" borderId="0" xfId="4" applyNumberFormat="1" applyFont="1" applyFill="1" applyAlignment="1" applyProtection="1">
      <alignment vertical="center"/>
    </xf>
    <xf numFmtId="164" fontId="7" fillId="7" borderId="0" xfId="0" applyNumberFormat="1" applyFont="1" applyFill="1" applyAlignment="1" applyProtection="1">
      <alignment vertical="center"/>
    </xf>
    <xf numFmtId="164" fontId="2" fillId="7" borderId="0" xfId="3" applyNumberFormat="1" applyFont="1" applyFill="1" applyAlignment="1" applyProtection="1">
      <alignment vertical="center"/>
    </xf>
    <xf numFmtId="164" fontId="9" fillId="7" borderId="0" xfId="3" applyNumberFormat="1" applyFont="1" applyFill="1" applyAlignment="1" applyProtection="1">
      <alignment horizontal="center" vertical="center"/>
    </xf>
    <xf numFmtId="164" fontId="33" fillId="7" borderId="0" xfId="3" applyNumberFormat="1" applyFont="1" applyFill="1" applyAlignment="1" applyProtection="1">
      <alignment vertical="center"/>
    </xf>
    <xf numFmtId="164" fontId="9" fillId="7" borderId="0" xfId="3" applyNumberFormat="1" applyFont="1" applyFill="1" applyAlignment="1" applyProtection="1">
      <alignment vertical="center"/>
    </xf>
    <xf numFmtId="164" fontId="7" fillId="7" borderId="0" xfId="3" applyNumberFormat="1" applyFont="1" applyFill="1" applyBorder="1" applyAlignment="1" applyProtection="1">
      <alignment vertical="center"/>
    </xf>
    <xf numFmtId="164" fontId="10" fillId="0" borderId="0" xfId="3" applyNumberFormat="1" applyFont="1" applyFill="1" applyAlignment="1" applyProtection="1">
      <alignment vertical="center"/>
    </xf>
    <xf numFmtId="164" fontId="13" fillId="7" borderId="0" xfId="3" applyNumberFormat="1" applyFont="1" applyFill="1" applyAlignment="1" applyProtection="1">
      <alignment vertical="center"/>
    </xf>
    <xf numFmtId="164" fontId="6" fillId="7" borderId="0" xfId="0" applyNumberFormat="1" applyFont="1" applyFill="1" applyAlignment="1" applyProtection="1">
      <alignment vertical="center"/>
    </xf>
    <xf numFmtId="164" fontId="17" fillId="7" borderId="0" xfId="3" applyNumberFormat="1" applyFont="1" applyFill="1" applyAlignment="1" applyProtection="1">
      <alignment vertical="center"/>
    </xf>
    <xf numFmtId="41" fontId="6" fillId="7" borderId="0" xfId="0" applyNumberFormat="1" applyFont="1" applyFill="1" applyAlignment="1" applyProtection="1">
      <alignment vertical="center"/>
    </xf>
    <xf numFmtId="164" fontId="15" fillId="7" borderId="0" xfId="3" applyNumberFormat="1" applyFont="1" applyFill="1" applyAlignment="1" applyProtection="1">
      <alignment vertical="center"/>
    </xf>
    <xf numFmtId="164" fontId="17" fillId="7" borderId="0" xfId="0" applyNumberFormat="1" applyFont="1" applyFill="1" applyAlignment="1" applyProtection="1">
      <alignment vertical="center"/>
    </xf>
    <xf numFmtId="164" fontId="17" fillId="7" borderId="0" xfId="3" applyNumberFormat="1" applyFont="1" applyFill="1" applyAlignment="1" applyProtection="1">
      <alignment horizontal="center" vertical="center"/>
    </xf>
    <xf numFmtId="41" fontId="17" fillId="7" borderId="0" xfId="0" applyNumberFormat="1" applyFont="1" applyFill="1" applyAlignment="1" applyProtection="1">
      <alignment vertical="center"/>
    </xf>
    <xf numFmtId="43" fontId="10" fillId="7" borderId="0" xfId="3" applyFont="1" applyFill="1" applyAlignment="1" applyProtection="1">
      <alignment horizontal="center" vertical="center"/>
    </xf>
    <xf numFmtId="167" fontId="10" fillId="7" borderId="0" xfId="4" applyNumberFormat="1" applyFont="1" applyFill="1" applyAlignment="1" applyProtection="1">
      <alignment vertical="center"/>
    </xf>
    <xf numFmtId="9" fontId="10" fillId="0" borderId="0" xfId="4" applyFont="1" applyFill="1" applyAlignment="1" applyProtection="1">
      <alignment vertical="center"/>
    </xf>
    <xf numFmtId="164" fontId="15" fillId="7" borderId="0" xfId="0" applyNumberFormat="1" applyFont="1" applyFill="1" applyAlignment="1" applyProtection="1">
      <alignment vertical="center"/>
    </xf>
    <xf numFmtId="164" fontId="13" fillId="7" borderId="0" xfId="3" applyNumberFormat="1" applyFont="1" applyFill="1" applyAlignment="1" applyProtection="1">
      <alignment horizontal="center" vertical="center"/>
    </xf>
    <xf numFmtId="164" fontId="10" fillId="7" borderId="0" xfId="3" applyNumberFormat="1" applyFont="1" applyFill="1" applyAlignment="1" applyProtection="1">
      <alignment horizontal="center" vertical="center"/>
    </xf>
    <xf numFmtId="164" fontId="32" fillId="7" borderId="0" xfId="3" applyNumberFormat="1" applyFont="1" applyFill="1" applyAlignment="1" applyProtection="1">
      <alignment vertical="center"/>
    </xf>
    <xf numFmtId="169" fontId="6" fillId="6" borderId="0" xfId="0" applyNumberFormat="1" applyFont="1" applyFill="1" applyAlignment="1" applyProtection="1">
      <alignment vertical="center"/>
    </xf>
    <xf numFmtId="169" fontId="6" fillId="6" borderId="0" xfId="3" applyNumberFormat="1" applyFont="1" applyFill="1" applyAlignment="1" applyProtection="1">
      <alignment vertical="center"/>
    </xf>
    <xf numFmtId="0" fontId="39" fillId="0" borderId="0" xfId="0" applyFont="1" applyFill="1" applyAlignment="1">
      <alignment vertical="top"/>
    </xf>
    <xf numFmtId="0" fontId="0" fillId="0" borderId="0" xfId="0" applyFill="1">
      <alignment vertical="top"/>
    </xf>
    <xf numFmtId="0" fontId="18" fillId="9" borderId="0" xfId="0" applyFont="1" applyFill="1" applyAlignment="1">
      <alignment vertical="center"/>
    </xf>
    <xf numFmtId="37" fontId="18" fillId="9" borderId="0" xfId="0" applyNumberFormat="1" applyFont="1" applyFill="1" applyAlignment="1" applyProtection="1">
      <alignment vertical="center"/>
    </xf>
    <xf numFmtId="43" fontId="18" fillId="9" borderId="0" xfId="3" applyFont="1" applyFill="1" applyAlignment="1" applyProtection="1">
      <alignment vertical="center"/>
    </xf>
    <xf numFmtId="0" fontId="18" fillId="9" borderId="0" xfId="0" applyFont="1" applyFill="1" applyAlignment="1">
      <alignment horizontal="center" vertical="center"/>
    </xf>
    <xf numFmtId="0" fontId="18" fillId="9" borderId="0" xfId="0" applyFont="1" applyFill="1" applyAlignment="1"/>
    <xf numFmtId="164" fontId="18" fillId="9" borderId="0" xfId="3" applyNumberFormat="1" applyFont="1" applyFill="1" applyAlignment="1" applyProtection="1">
      <alignment vertical="center"/>
    </xf>
    <xf numFmtId="164" fontId="18" fillId="9" borderId="0" xfId="0" applyNumberFormat="1" applyFont="1" applyFill="1" applyAlignment="1">
      <alignment vertical="center"/>
    </xf>
    <xf numFmtId="0" fontId="18" fillId="5" borderId="0" xfId="0" applyFont="1" applyFill="1" applyAlignment="1">
      <alignment vertical="center"/>
    </xf>
    <xf numFmtId="37" fontId="18" fillId="5" borderId="0" xfId="0" applyNumberFormat="1" applyFont="1" applyFill="1" applyAlignment="1" applyProtection="1">
      <alignment vertical="center"/>
    </xf>
    <xf numFmtId="164" fontId="18" fillId="5" borderId="0" xfId="3" applyNumberFormat="1" applyFont="1" applyFill="1" applyAlignment="1" applyProtection="1">
      <alignment vertical="center"/>
    </xf>
    <xf numFmtId="164" fontId="18" fillId="5" borderId="0" xfId="3" applyNumberFormat="1" applyFont="1" applyFill="1" applyAlignment="1">
      <alignment vertical="center"/>
    </xf>
    <xf numFmtId="164" fontId="18" fillId="5" borderId="0" xfId="3" applyNumberFormat="1" applyFont="1" applyFill="1" applyAlignment="1">
      <alignment horizontal="center" vertical="center"/>
    </xf>
    <xf numFmtId="0" fontId="18" fillId="5" borderId="0" xfId="0" applyFont="1" applyFill="1" applyAlignment="1"/>
    <xf numFmtId="43" fontId="18" fillId="5" borderId="0" xfId="3" applyFont="1" applyFill="1" applyAlignment="1" applyProtection="1">
      <alignment vertical="center"/>
    </xf>
    <xf numFmtId="0" fontId="18" fillId="5" borderId="0" xfId="0" applyFont="1" applyFill="1" applyAlignment="1">
      <alignment horizontal="center" vertical="center"/>
    </xf>
    <xf numFmtId="0" fontId="18" fillId="5" borderId="0" xfId="0" applyFont="1" applyFill="1" applyAlignment="1">
      <alignment horizontal="center"/>
    </xf>
    <xf numFmtId="164" fontId="2" fillId="5" borderId="0" xfId="0" applyNumberFormat="1" applyFont="1" applyFill="1" applyAlignment="1"/>
    <xf numFmtId="0" fontId="18" fillId="9" borderId="0" xfId="0" applyFont="1" applyFill="1" applyAlignment="1">
      <alignment horizontal="center"/>
    </xf>
    <xf numFmtId="164" fontId="2" fillId="9" borderId="0" xfId="0" applyNumberFormat="1" applyFont="1" applyFill="1" applyAlignment="1"/>
    <xf numFmtId="0" fontId="29" fillId="9" borderId="0" xfId="0" applyFont="1" applyFill="1" applyAlignment="1"/>
    <xf numFmtId="164" fontId="2" fillId="5" borderId="0" xfId="3" applyNumberFormat="1" applyFont="1" applyFill="1"/>
    <xf numFmtId="0" fontId="29" fillId="5" borderId="0" xfId="0" applyFont="1" applyFill="1" applyAlignment="1"/>
    <xf numFmtId="43" fontId="18" fillId="0" borderId="0" xfId="3" applyFont="1" applyFill="1" applyBorder="1" applyAlignment="1">
      <alignment vertical="center"/>
    </xf>
    <xf numFmtId="0" fontId="3" fillId="0" borderId="0" xfId="0" applyFont="1" applyFill="1" applyBorder="1" applyAlignment="1" applyProtection="1">
      <alignment horizontal="center" vertical="center"/>
    </xf>
    <xf numFmtId="0" fontId="20" fillId="0" borderId="0" xfId="0" applyFont="1" applyFill="1" applyAlignment="1">
      <alignment horizontal="center" vertical="center"/>
    </xf>
    <xf numFmtId="0" fontId="26" fillId="0" borderId="0" xfId="0" applyFont="1" applyFill="1" applyAlignment="1">
      <alignment horizontal="center" vertical="center"/>
    </xf>
    <xf numFmtId="0" fontId="22" fillId="0" borderId="0" xfId="0" applyFont="1" applyFill="1" applyAlignment="1">
      <alignment vertical="center" wrapText="1"/>
    </xf>
    <xf numFmtId="0" fontId="20" fillId="0" borderId="0" xfId="0" applyFont="1" applyAlignment="1">
      <alignment horizontal="center" vertical="center" wrapText="1"/>
    </xf>
    <xf numFmtId="0" fontId="20" fillId="0" borderId="0" xfId="0" applyFont="1" applyFill="1" applyAlignment="1">
      <alignment horizontal="center" vertical="center" wrapText="1"/>
    </xf>
    <xf numFmtId="0" fontId="23" fillId="0" borderId="0" xfId="0" applyFont="1" applyAlignment="1">
      <alignment vertical="center" wrapText="1"/>
    </xf>
    <xf numFmtId="0" fontId="2" fillId="0" borderId="0" xfId="0" applyFont="1" applyAlignment="1">
      <alignment vertical="top" wrapText="1"/>
    </xf>
    <xf numFmtId="0" fontId="2" fillId="0" borderId="0" xfId="0" applyFont="1" applyFill="1" applyBorder="1" applyAlignment="1">
      <alignment vertical="center" wrapText="1"/>
    </xf>
    <xf numFmtId="0" fontId="20" fillId="0" borderId="0" xfId="0" applyFont="1" applyFill="1" applyBorder="1" applyAlignment="1">
      <alignment horizontal="center" vertical="center" wrapText="1"/>
    </xf>
    <xf numFmtId="0" fontId="6" fillId="0" borderId="0" xfId="0" applyFont="1" applyBorder="1" applyAlignment="1">
      <alignment vertical="top" wrapText="1"/>
    </xf>
    <xf numFmtId="0" fontId="2" fillId="0" borderId="0" xfId="0" applyFont="1" applyFill="1" applyAlignment="1">
      <alignment vertical="center" wrapText="1"/>
    </xf>
    <xf numFmtId="0" fontId="20" fillId="0" borderId="0" xfId="0" applyFont="1" applyAlignment="1">
      <alignment horizontal="center" vertical="center"/>
    </xf>
    <xf numFmtId="0" fontId="6" fillId="0" borderId="0" xfId="0" applyFont="1" applyAlignment="1">
      <alignment vertical="center" wrapText="1"/>
    </xf>
    <xf numFmtId="0" fontId="10" fillId="7" borderId="0" xfId="0" applyFont="1" applyFill="1" applyAlignment="1" applyProtection="1">
      <alignment horizontal="center" vertical="center"/>
      <protection locked="0"/>
    </xf>
    <xf numFmtId="0" fontId="12" fillId="0" borderId="0" xfId="0" applyFont="1" applyFill="1" applyAlignment="1" applyProtection="1">
      <alignment horizontal="left" vertical="center"/>
    </xf>
    <xf numFmtId="0" fontId="7" fillId="0" borderId="0" xfId="0" applyFont="1" applyFill="1" applyAlignment="1" applyProtection="1">
      <alignment horizontal="left" vertical="center" wrapText="1"/>
    </xf>
    <xf numFmtId="0" fontId="6" fillId="0" borderId="0" xfId="0" applyFont="1" applyFill="1" applyAlignment="1" applyProtection="1">
      <alignment horizontal="left" vertical="center"/>
    </xf>
    <xf numFmtId="0" fontId="6" fillId="0" borderId="0" xfId="0" applyFont="1" applyFill="1" applyAlignment="1" applyProtection="1">
      <alignment horizontal="center" vertical="center"/>
    </xf>
    <xf numFmtId="0" fontId="37" fillId="0" borderId="0" xfId="0" applyFont="1" applyFill="1" applyAlignment="1" applyProtection="1">
      <alignment horizontal="center" vertical="center"/>
    </xf>
    <xf numFmtId="0" fontId="10" fillId="0" borderId="0" xfId="0" applyFont="1" applyFill="1" applyAlignment="1" applyProtection="1">
      <alignment horizontal="center" vertical="center"/>
    </xf>
    <xf numFmtId="0" fontId="7" fillId="0" borderId="0" xfId="0" applyFont="1" applyFill="1" applyAlignment="1" applyProtection="1">
      <alignment horizontal="center" vertical="center"/>
    </xf>
    <xf numFmtId="0" fontId="2" fillId="0" borderId="0" xfId="0" applyFont="1" applyFill="1" applyAlignment="1" applyProtection="1">
      <alignment horizontal="left" vertical="center" shrinkToFit="1"/>
    </xf>
    <xf numFmtId="0" fontId="9" fillId="0" borderId="0" xfId="0" applyFont="1" applyFill="1" applyAlignment="1" applyProtection="1">
      <alignment horizontal="center" vertical="center"/>
    </xf>
    <xf numFmtId="0" fontId="40" fillId="0" borderId="0" xfId="0" applyFont="1" applyFill="1" applyAlignment="1" applyProtection="1">
      <alignment horizontal="center" vertical="center"/>
    </xf>
    <xf numFmtId="0" fontId="13" fillId="0" borderId="0" xfId="0" applyFont="1" applyFill="1" applyAlignment="1" applyProtection="1">
      <alignment horizontal="center" vertical="center"/>
    </xf>
    <xf numFmtId="0" fontId="6" fillId="0" borderId="0" xfId="0" applyFont="1" applyFill="1" applyAlignment="1" applyProtection="1">
      <alignment horizontal="right" vertical="center"/>
    </xf>
    <xf numFmtId="0" fontId="7" fillId="0" borderId="0" xfId="0" applyFont="1" applyFill="1" applyAlignment="1" applyProtection="1">
      <alignment horizontal="center" vertical="center" textRotation="180"/>
    </xf>
    <xf numFmtId="0" fontId="6" fillId="0" borderId="0" xfId="0" applyFont="1" applyFill="1" applyAlignment="1" applyProtection="1">
      <alignment vertical="center"/>
    </xf>
  </cellXfs>
  <cellStyles count="6">
    <cellStyle name="Activity Heading" xfId="1"/>
    <cellStyle name="Comma" xfId="3" builtinId="3"/>
    <cellStyle name="Currency" xfId="5" builtinId="4"/>
    <cellStyle name="Normal" xfId="0" builtinId="0"/>
    <cellStyle name="Percent" xfId="4" builtinId="5"/>
    <cellStyle name="Shading for Budget"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mruColors>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100523184550044"/>
          <c:y val="0.11658398950131239"/>
          <c:w val="0.77880157594904464"/>
          <c:h val="0.76270085272720256"/>
        </c:manualLayout>
      </c:layout>
      <c:lineChart>
        <c:grouping val="standard"/>
        <c:ser>
          <c:idx val="0"/>
          <c:order val="0"/>
          <c:val>
            <c:numRef>
              <c:f>'Gen Fd Cover Sheets'!$C$16:$K$16</c:f>
              <c:numCache>
                <c:formatCode>_(* #,##0_);_(* \(#,##0\);_(* "-"??_);_(@_)</c:formatCode>
                <c:ptCount val="9"/>
                <c:pt idx="0">
                  <c:v>498620</c:v>
                </c:pt>
                <c:pt idx="1">
                  <c:v>476208</c:v>
                </c:pt>
                <c:pt idx="2">
                  <c:v>782327</c:v>
                </c:pt>
                <c:pt idx="3">
                  <c:v>771072</c:v>
                </c:pt>
                <c:pt idx="4">
                  <c:v>796354</c:v>
                </c:pt>
                <c:pt idx="5">
                  <c:v>815975</c:v>
                </c:pt>
                <c:pt idx="6">
                  <c:v>837660</c:v>
                </c:pt>
                <c:pt idx="7">
                  <c:v>852261</c:v>
                </c:pt>
                <c:pt idx="8">
                  <c:v>867730</c:v>
                </c:pt>
              </c:numCache>
            </c:numRef>
          </c:val>
        </c:ser>
        <c:marker val="1"/>
        <c:axId val="92761472"/>
        <c:axId val="92817280"/>
      </c:lineChart>
      <c:catAx>
        <c:axId val="92761472"/>
        <c:scaling>
          <c:orientation val="minMax"/>
        </c:scaling>
        <c:axPos val="b"/>
        <c:tickLblPos val="none"/>
        <c:crossAx val="92817280"/>
        <c:crosses val="autoZero"/>
        <c:auto val="1"/>
        <c:lblAlgn val="ctr"/>
        <c:lblOffset val="100"/>
        <c:tickMarkSkip val="1"/>
      </c:catAx>
      <c:valAx>
        <c:axId val="92817280"/>
        <c:scaling>
          <c:orientation val="minMax"/>
        </c:scaling>
        <c:axPos val="l"/>
        <c:numFmt formatCode="\$#,##0_);\(\$#,##0\)" sourceLinked="0"/>
        <c:tickLblPos val="nextTo"/>
        <c:txPr>
          <a:bodyPr rot="0" vert="horz"/>
          <a:lstStyle/>
          <a:p>
            <a:pPr>
              <a:defRPr/>
            </a:pPr>
            <a:endParaRPr lang="en-US"/>
          </a:p>
        </c:txPr>
        <c:crossAx val="92761472"/>
        <c:crosses val="autoZero"/>
        <c:crossBetween val="between"/>
        <c:dispUnits>
          <c:builtInUnit val="thousands"/>
          <c:dispUnitsLbl>
            <c:layout>
              <c:manualLayout>
                <c:xMode val="edge"/>
                <c:yMode val="edge"/>
                <c:x val="0.14416406675580648"/>
                <c:y val="0.15547287839020121"/>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00" b="1" i="0" u="none" strike="noStrike" baseline="0">
                <a:solidFill>
                  <a:srgbClr val="000000"/>
                </a:solidFill>
                <a:latin typeface="Arial"/>
                <a:ea typeface="Arial"/>
                <a:cs typeface="Arial"/>
              </a:defRPr>
            </a:pPr>
            <a:r>
              <a:rPr lang="en-US"/>
              <a:t>Fund Balance</a:t>
            </a:r>
          </a:p>
        </c:rich>
      </c:tx>
      <c:layout>
        <c:manualLayout>
          <c:xMode val="edge"/>
          <c:yMode val="edge"/>
          <c:x val="0.43732960799261217"/>
          <c:y val="4.9943330947267994E-2"/>
        </c:manualLayout>
      </c:layout>
      <c:spPr>
        <a:noFill/>
        <a:ln w="25400">
          <a:noFill/>
        </a:ln>
      </c:spPr>
    </c:title>
    <c:plotArea>
      <c:layout>
        <c:manualLayout>
          <c:layoutTarget val="inner"/>
          <c:xMode val="edge"/>
          <c:yMode val="edge"/>
          <c:x val="5.9299681139162924E-2"/>
          <c:y val="0.17946974847045624"/>
          <c:w val="0.92473125950354995"/>
          <c:h val="0.53840924541128476"/>
        </c:manualLayout>
      </c:layout>
      <c:lineChart>
        <c:grouping val="standard"/>
        <c:ser>
          <c:idx val="2"/>
          <c:order val="0"/>
          <c:tx>
            <c:v>Fund Balance</c:v>
          </c:tx>
          <c:spPr>
            <a:ln w="3175">
              <a:solidFill>
                <a:srgbClr val="000000"/>
              </a:solidFill>
              <a:prstDash val="solid"/>
            </a:ln>
          </c:spPr>
          <c:marker>
            <c:symbol val="triangle"/>
            <c:size val="7"/>
            <c:spPr>
              <a:solidFill>
                <a:srgbClr val="000000"/>
              </a:solidFill>
              <a:ln>
                <a:solidFill>
                  <a:srgbClr val="000000"/>
                </a:solidFill>
                <a:prstDash val="solid"/>
              </a:ln>
            </c:spPr>
          </c:marker>
          <c:dLbls>
            <c:spPr>
              <a:noFill/>
              <a:ln w="25400">
                <a:noFill/>
              </a:ln>
            </c:spPr>
            <c:txPr>
              <a:bodyPr/>
              <a:lstStyle/>
              <a:p>
                <a:pPr>
                  <a:defRPr sz="450" b="0" i="0" u="none" strike="noStrike" baseline="0">
                    <a:solidFill>
                      <a:srgbClr val="000000"/>
                    </a:solidFill>
                    <a:latin typeface="Arial"/>
                    <a:ea typeface="Arial"/>
                    <a:cs typeface="Arial"/>
                  </a:defRPr>
                </a:pPr>
                <a:endParaRPr lang="en-US"/>
              </a:p>
            </c:txPr>
            <c:showVal val="1"/>
          </c:dLbls>
          <c:val>
            <c:numLit>
              <c:formatCode>General</c:formatCode>
              <c:ptCount val="5"/>
              <c:pt idx="0">
                <c:v>-534828</c:v>
              </c:pt>
              <c:pt idx="1">
                <c:v>-2374704</c:v>
              </c:pt>
              <c:pt idx="2">
                <c:v>270222</c:v>
              </c:pt>
              <c:pt idx="3">
                <c:v>-1131924</c:v>
              </c:pt>
              <c:pt idx="4">
                <c:v>-1068555</c:v>
              </c:pt>
            </c:numLit>
          </c:val>
        </c:ser>
        <c:dLbls>
          <c:showVal val="1"/>
        </c:dLbls>
        <c:marker val="1"/>
        <c:axId val="115999488"/>
        <c:axId val="116001024"/>
      </c:lineChart>
      <c:catAx>
        <c:axId val="115999488"/>
        <c:scaling>
          <c:orientation val="minMax"/>
        </c:scaling>
        <c:axPos val="b"/>
        <c:numFmt formatCode="General" sourceLinked="1"/>
        <c:tickLblPos val="nextTo"/>
        <c:spPr>
          <a:ln w="3175">
            <a:solidFill>
              <a:srgbClr val="000000"/>
            </a:solidFill>
            <a:prstDash val="solid"/>
          </a:ln>
        </c:spPr>
        <c:txPr>
          <a:bodyPr rot="-3180000" vert="horz"/>
          <a:lstStyle/>
          <a:p>
            <a:pPr>
              <a:defRPr sz="450" b="0" i="0" u="none" strike="noStrike" baseline="0">
                <a:solidFill>
                  <a:srgbClr val="000000"/>
                </a:solidFill>
                <a:latin typeface="Arial"/>
                <a:ea typeface="Arial"/>
                <a:cs typeface="Arial"/>
              </a:defRPr>
            </a:pPr>
            <a:endParaRPr lang="en-US"/>
          </a:p>
        </c:txPr>
        <c:crossAx val="116001024"/>
        <c:crosses val="autoZero"/>
        <c:lblAlgn val="ctr"/>
        <c:lblOffset val="100"/>
        <c:tickLblSkip val="1"/>
        <c:tickMarkSkip val="1"/>
      </c:catAx>
      <c:valAx>
        <c:axId val="116001024"/>
        <c:scaling>
          <c:orientation val="minMax"/>
        </c:scaling>
        <c:axPos val="l"/>
        <c:numFmt formatCode="\$#,##0_);\(\$#,##0\)" sourceLinked="0"/>
        <c:tickLblPos val="nextTo"/>
        <c:spPr>
          <a:ln w="3175">
            <a:solidFill>
              <a:srgbClr val="000000"/>
            </a:solidFill>
            <a:prstDash val="solid"/>
          </a:ln>
        </c:spPr>
        <c:txPr>
          <a:bodyPr rot="0" vert="horz"/>
          <a:lstStyle/>
          <a:p>
            <a:pPr>
              <a:defRPr sz="450" b="0" i="0" u="none" strike="noStrike" baseline="0">
                <a:solidFill>
                  <a:srgbClr val="000000"/>
                </a:solidFill>
                <a:latin typeface="Arial"/>
                <a:ea typeface="Arial"/>
                <a:cs typeface="Arial"/>
              </a:defRPr>
            </a:pPr>
            <a:endParaRPr lang="en-US"/>
          </a:p>
        </c:txPr>
        <c:crossAx val="115999488"/>
        <c:crosses val="autoZero"/>
        <c:crossBetween val="between"/>
        <c:dispUnits>
          <c:builtInUnit val="thousands"/>
          <c:dispUnitsLbl>
            <c:layout>
              <c:manualLayout>
                <c:xMode val="edge"/>
                <c:yMode val="edge"/>
                <c:x val="2.5885558583107492E-2"/>
                <c:y val="0.28149829738937904"/>
              </c:manualLayout>
            </c:layout>
            <c:spPr>
              <a:noFill/>
              <a:ln w="25400">
                <a:noFill/>
              </a:ln>
            </c:spPr>
            <c:txPr>
              <a:bodyPr rot="-5400000" vert="horz"/>
              <a:lstStyle/>
              <a:p>
                <a:pPr algn="ctr">
                  <a:defRPr sz="525" b="1" i="0" u="none" strike="noStrike" baseline="0">
                    <a:solidFill>
                      <a:srgbClr val="000000"/>
                    </a:solidFill>
                    <a:latin typeface="Arial"/>
                    <a:ea typeface="Arial"/>
                    <a:cs typeface="Arial"/>
                  </a:defRPr>
                </a:pPr>
                <a:endParaRPr lang="en-US"/>
              </a:p>
            </c:txPr>
          </c:dispUnitsLbl>
        </c:dispUnits>
      </c:valAx>
      <c:spPr>
        <a:solidFill>
          <a:srgbClr val="FFFFFF"/>
        </a:solidFill>
        <a:ln w="12700">
          <a:solidFill>
            <a:srgbClr val="FFFFFF"/>
          </a:solidFill>
          <a:prstDash val="solid"/>
        </a:ln>
      </c:spPr>
    </c:plotArea>
    <c:plotVisOnly val="1"/>
    <c:dispBlanksAs val="gap"/>
  </c:chart>
  <c:spPr>
    <a:solidFill>
      <a:srgbClr val="FFFFFF"/>
    </a:solidFill>
    <a:ln w="9525">
      <a:noFill/>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1913566926583156"/>
          <c:y val="0.18616969361243768"/>
          <c:w val="0.78086433073416839"/>
          <c:h val="0.53840924541128476"/>
        </c:manualLayout>
      </c:layout>
      <c:lineChart>
        <c:grouping val="standard"/>
        <c:ser>
          <c:idx val="0"/>
          <c:order val="0"/>
          <c:dLbls>
            <c:delete val="1"/>
          </c:dLbls>
          <c:val>
            <c:numRef>
              <c:f>'Fund Cover Sheets'!$C$82:$K$82</c:f>
              <c:numCache>
                <c:formatCode>_(* #,##0_);_(* \(#,##0\);_(* "-"??_);_(@_)</c:formatCode>
                <c:ptCount val="9"/>
                <c:pt idx="0">
                  <c:v>17942</c:v>
                </c:pt>
                <c:pt idx="1">
                  <c:v>17071</c:v>
                </c:pt>
                <c:pt idx="2">
                  <c:v>16719</c:v>
                </c:pt>
                <c:pt idx="3">
                  <c:v>15391</c:v>
                </c:pt>
                <c:pt idx="4">
                  <c:v>11677</c:v>
                </c:pt>
                <c:pt idx="5">
                  <c:v>610</c:v>
                </c:pt>
                <c:pt idx="6">
                  <c:v>-10457</c:v>
                </c:pt>
                <c:pt idx="7">
                  <c:v>-6524</c:v>
                </c:pt>
                <c:pt idx="8">
                  <c:v>-2591</c:v>
                </c:pt>
              </c:numCache>
            </c:numRef>
          </c:val>
        </c:ser>
        <c:dLbls>
          <c:showVal val="1"/>
        </c:dLbls>
        <c:marker val="1"/>
        <c:axId val="116094848"/>
        <c:axId val="116096384"/>
      </c:lineChart>
      <c:catAx>
        <c:axId val="116094848"/>
        <c:scaling>
          <c:orientation val="minMax"/>
        </c:scaling>
        <c:axPos val="b"/>
        <c:tickLblPos val="none"/>
        <c:crossAx val="116096384"/>
        <c:crosses val="autoZero"/>
        <c:lblAlgn val="ctr"/>
        <c:lblOffset val="100"/>
        <c:tickMarkSkip val="1"/>
      </c:catAx>
      <c:valAx>
        <c:axId val="116096384"/>
        <c:scaling>
          <c:orientation val="minMax"/>
        </c:scaling>
        <c:axPos val="l"/>
        <c:numFmt formatCode="\$#,##0_);\(\$#,##0\)" sourceLinked="0"/>
        <c:tickLblPos val="nextTo"/>
        <c:txPr>
          <a:bodyPr rot="0" vert="horz"/>
          <a:lstStyle/>
          <a:p>
            <a:pPr>
              <a:defRPr/>
            </a:pPr>
            <a:endParaRPr lang="en-US"/>
          </a:p>
        </c:txPr>
        <c:crossAx val="116094848"/>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13906398252497154"/>
          <c:y val="0.17990508131500502"/>
          <c:w val="0.85621273261363062"/>
          <c:h val="0.53840924541128476"/>
        </c:manualLayout>
      </c:layout>
      <c:lineChart>
        <c:grouping val="standard"/>
        <c:ser>
          <c:idx val="0"/>
          <c:order val="0"/>
          <c:dLbls>
            <c:delete val="1"/>
          </c:dLbls>
          <c:val>
            <c:numRef>
              <c:f>'Fund Cover Sheets'!$C$126:$K$126</c:f>
              <c:numCache>
                <c:formatCode>_(* #,##0_);_(* \(#,##0\);_(* "-"??_);_(@_)</c:formatCode>
                <c:ptCount val="9"/>
                <c:pt idx="0">
                  <c:v>11922</c:v>
                </c:pt>
                <c:pt idx="1">
                  <c:v>12188</c:v>
                </c:pt>
                <c:pt idx="2">
                  <c:v>10007</c:v>
                </c:pt>
                <c:pt idx="3">
                  <c:v>8014</c:v>
                </c:pt>
                <c:pt idx="4">
                  <c:v>560</c:v>
                </c:pt>
                <c:pt idx="5">
                  <c:v>-18009</c:v>
                </c:pt>
                <c:pt idx="6">
                  <c:v>-36578</c:v>
                </c:pt>
                <c:pt idx="7">
                  <c:v>-30147</c:v>
                </c:pt>
                <c:pt idx="8">
                  <c:v>-23716</c:v>
                </c:pt>
              </c:numCache>
            </c:numRef>
          </c:val>
        </c:ser>
        <c:dLbls>
          <c:showVal val="1"/>
        </c:dLbls>
        <c:marker val="1"/>
        <c:axId val="116136960"/>
        <c:axId val="116146944"/>
      </c:lineChart>
      <c:catAx>
        <c:axId val="116136960"/>
        <c:scaling>
          <c:orientation val="minMax"/>
        </c:scaling>
        <c:axPos val="b"/>
        <c:tickLblPos val="none"/>
        <c:crossAx val="116146944"/>
        <c:crosses val="autoZero"/>
        <c:lblAlgn val="ctr"/>
        <c:lblOffset val="100"/>
        <c:tickMarkSkip val="1"/>
      </c:catAx>
      <c:valAx>
        <c:axId val="116146944"/>
        <c:scaling>
          <c:orientation val="minMax"/>
        </c:scaling>
        <c:axPos val="l"/>
        <c:numFmt formatCode="\$#,##0_);\(\$#,##0\)" sourceLinked="0"/>
        <c:tickLblPos val="nextTo"/>
        <c:txPr>
          <a:bodyPr rot="0" vert="horz"/>
          <a:lstStyle/>
          <a:p>
            <a:pPr>
              <a:defRPr/>
            </a:pPr>
            <a:endParaRPr lang="en-US"/>
          </a:p>
        </c:txPr>
        <c:crossAx val="116136960"/>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044891648817871"/>
          <c:y val="0.17946974847045619"/>
          <c:w val="0.77955108351184565"/>
          <c:h val="0.53840924541128476"/>
        </c:manualLayout>
      </c:layout>
      <c:lineChart>
        <c:grouping val="standard"/>
        <c:ser>
          <c:idx val="0"/>
          <c:order val="0"/>
          <c:dLbls>
            <c:delete val="1"/>
          </c:dLbls>
          <c:val>
            <c:numRef>
              <c:f>'Fund Cover Sheets'!$C$174:$K$174</c:f>
              <c:numCache>
                <c:formatCode>_(* #,##0_);_(* \(#,##0\);_(* "-"??_);_(@_)</c:formatCode>
                <c:ptCount val="9"/>
                <c:pt idx="0">
                  <c:v>640399</c:v>
                </c:pt>
                <c:pt idx="1">
                  <c:v>924857</c:v>
                </c:pt>
                <c:pt idx="2">
                  <c:v>465255</c:v>
                </c:pt>
                <c:pt idx="3">
                  <c:v>1055588</c:v>
                </c:pt>
                <c:pt idx="4">
                  <c:v>605132</c:v>
                </c:pt>
                <c:pt idx="5">
                  <c:v>453020</c:v>
                </c:pt>
                <c:pt idx="6">
                  <c:v>255653</c:v>
                </c:pt>
                <c:pt idx="7">
                  <c:v>32884</c:v>
                </c:pt>
                <c:pt idx="8">
                  <c:v>0</c:v>
                </c:pt>
              </c:numCache>
            </c:numRef>
          </c:val>
        </c:ser>
        <c:dLbls>
          <c:showVal val="1"/>
        </c:dLbls>
        <c:marker val="1"/>
        <c:axId val="117973376"/>
        <c:axId val="117974912"/>
      </c:lineChart>
      <c:catAx>
        <c:axId val="117973376"/>
        <c:scaling>
          <c:orientation val="minMax"/>
        </c:scaling>
        <c:axPos val="b"/>
        <c:tickLblPos val="none"/>
        <c:crossAx val="117974912"/>
        <c:crosses val="autoZero"/>
        <c:lblAlgn val="ctr"/>
        <c:lblOffset val="100"/>
        <c:tickMarkSkip val="1"/>
      </c:catAx>
      <c:valAx>
        <c:axId val="117974912"/>
        <c:scaling>
          <c:orientation val="minMax"/>
        </c:scaling>
        <c:axPos val="l"/>
        <c:numFmt formatCode="\$#,##0_);\(\$#,##0\)" sourceLinked="0"/>
        <c:tickLblPos val="nextTo"/>
        <c:txPr>
          <a:bodyPr rot="0" vert="horz"/>
          <a:lstStyle/>
          <a:p>
            <a:pPr>
              <a:defRPr/>
            </a:pPr>
            <a:endParaRPr lang="en-US"/>
          </a:p>
        </c:txPr>
        <c:crossAx val="117973376"/>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800" b="1" i="0" u="none" strike="noStrike" baseline="0">
                <a:solidFill>
                  <a:srgbClr val="000000"/>
                </a:solidFill>
                <a:latin typeface="Arial"/>
                <a:ea typeface="Arial"/>
                <a:cs typeface="Arial"/>
              </a:defRPr>
            </a:pPr>
            <a:r>
              <a:rPr lang="en-US"/>
              <a:t>Fund Balance</a:t>
            </a:r>
          </a:p>
        </c:rich>
      </c:tx>
      <c:layout>
        <c:manualLayout>
          <c:xMode val="edge"/>
          <c:yMode val="edge"/>
          <c:x val="0.43732960799261134"/>
          <c:y val="4.9943330947267994E-2"/>
        </c:manualLayout>
      </c:layout>
      <c:spPr>
        <a:noFill/>
        <a:ln w="25400">
          <a:noFill/>
        </a:ln>
      </c:spPr>
    </c:title>
    <c:plotArea>
      <c:layout>
        <c:manualLayout>
          <c:layoutTarget val="inner"/>
          <c:xMode val="edge"/>
          <c:yMode val="edge"/>
          <c:x val="5.9299681139162924E-2"/>
          <c:y val="0.17946974847045599"/>
          <c:w val="0.92473125950354906"/>
          <c:h val="0.53840924541128476"/>
        </c:manualLayout>
      </c:layout>
      <c:lineChart>
        <c:grouping val="standard"/>
        <c:ser>
          <c:idx val="2"/>
          <c:order val="0"/>
          <c:tx>
            <c:v>Fund Balance</c:v>
          </c:tx>
          <c:spPr>
            <a:ln w="3175">
              <a:solidFill>
                <a:srgbClr val="000000"/>
              </a:solidFill>
              <a:prstDash val="solid"/>
            </a:ln>
          </c:spPr>
          <c:marker>
            <c:symbol val="triangle"/>
            <c:size val="7"/>
            <c:spPr>
              <a:solidFill>
                <a:srgbClr val="000000"/>
              </a:solidFill>
              <a:ln>
                <a:solidFill>
                  <a:srgbClr val="000000"/>
                </a:solidFill>
                <a:prstDash val="solid"/>
              </a:ln>
            </c:spPr>
          </c:marker>
          <c:dLbls>
            <c:spPr>
              <a:noFill/>
              <a:ln w="25400">
                <a:noFill/>
              </a:ln>
            </c:spPr>
            <c:txPr>
              <a:bodyPr/>
              <a:lstStyle/>
              <a:p>
                <a:pPr>
                  <a:defRPr sz="450" b="0" i="0" u="none" strike="noStrike" baseline="0">
                    <a:solidFill>
                      <a:srgbClr val="000000"/>
                    </a:solidFill>
                    <a:latin typeface="Arial"/>
                    <a:ea typeface="Arial"/>
                    <a:cs typeface="Arial"/>
                  </a:defRPr>
                </a:pPr>
                <a:endParaRPr lang="en-US"/>
              </a:p>
            </c:txPr>
            <c:showVal val="1"/>
          </c:dLbls>
          <c:val>
            <c:numLit>
              <c:formatCode>General</c:formatCode>
              <c:ptCount val="5"/>
              <c:pt idx="0">
                <c:v>-534828</c:v>
              </c:pt>
              <c:pt idx="1">
                <c:v>-2374704</c:v>
              </c:pt>
              <c:pt idx="2">
                <c:v>270222</c:v>
              </c:pt>
              <c:pt idx="3">
                <c:v>-1131924</c:v>
              </c:pt>
              <c:pt idx="4">
                <c:v>-1068555</c:v>
              </c:pt>
            </c:numLit>
          </c:val>
        </c:ser>
        <c:dLbls>
          <c:showVal val="1"/>
        </c:dLbls>
        <c:marker val="1"/>
        <c:axId val="118011776"/>
        <c:axId val="118013312"/>
      </c:lineChart>
      <c:catAx>
        <c:axId val="118011776"/>
        <c:scaling>
          <c:orientation val="minMax"/>
        </c:scaling>
        <c:axPos val="b"/>
        <c:numFmt formatCode="General" sourceLinked="1"/>
        <c:tickLblPos val="nextTo"/>
        <c:spPr>
          <a:ln w="3175">
            <a:solidFill>
              <a:srgbClr val="000000"/>
            </a:solidFill>
            <a:prstDash val="solid"/>
          </a:ln>
        </c:spPr>
        <c:txPr>
          <a:bodyPr rot="-3180000" vert="horz"/>
          <a:lstStyle/>
          <a:p>
            <a:pPr>
              <a:defRPr sz="450" b="0" i="0" u="none" strike="noStrike" baseline="0">
                <a:solidFill>
                  <a:srgbClr val="000000"/>
                </a:solidFill>
                <a:latin typeface="Arial"/>
                <a:ea typeface="Arial"/>
                <a:cs typeface="Arial"/>
              </a:defRPr>
            </a:pPr>
            <a:endParaRPr lang="en-US"/>
          </a:p>
        </c:txPr>
        <c:crossAx val="118013312"/>
        <c:crosses val="autoZero"/>
        <c:lblAlgn val="ctr"/>
        <c:lblOffset val="100"/>
        <c:tickLblSkip val="1"/>
        <c:tickMarkSkip val="1"/>
      </c:catAx>
      <c:valAx>
        <c:axId val="118013312"/>
        <c:scaling>
          <c:orientation val="minMax"/>
        </c:scaling>
        <c:axPos val="l"/>
        <c:numFmt formatCode="\$#,##0_);\(\$#,##0\)" sourceLinked="0"/>
        <c:tickLblPos val="nextTo"/>
        <c:spPr>
          <a:ln w="3175">
            <a:solidFill>
              <a:srgbClr val="000000"/>
            </a:solidFill>
            <a:prstDash val="solid"/>
          </a:ln>
        </c:spPr>
        <c:txPr>
          <a:bodyPr rot="0" vert="horz"/>
          <a:lstStyle/>
          <a:p>
            <a:pPr>
              <a:defRPr sz="450" b="0" i="0" u="none" strike="noStrike" baseline="0">
                <a:solidFill>
                  <a:srgbClr val="000000"/>
                </a:solidFill>
                <a:latin typeface="Arial"/>
                <a:ea typeface="Arial"/>
                <a:cs typeface="Arial"/>
              </a:defRPr>
            </a:pPr>
            <a:endParaRPr lang="en-US"/>
          </a:p>
        </c:txPr>
        <c:crossAx val="118011776"/>
        <c:crosses val="autoZero"/>
        <c:crossBetween val="between"/>
        <c:dispUnits>
          <c:builtInUnit val="thousands"/>
          <c:dispUnitsLbl>
            <c:layout>
              <c:manualLayout>
                <c:xMode val="edge"/>
                <c:yMode val="edge"/>
                <c:x val="2.5885558583107492E-2"/>
                <c:y val="0.28149829738937854"/>
              </c:manualLayout>
            </c:layout>
            <c:spPr>
              <a:noFill/>
              <a:ln w="25400">
                <a:noFill/>
              </a:ln>
            </c:spPr>
            <c:txPr>
              <a:bodyPr rot="-5400000" vert="horz"/>
              <a:lstStyle/>
              <a:p>
                <a:pPr algn="ctr">
                  <a:defRPr sz="525" b="1" i="0" u="none" strike="noStrike" baseline="0">
                    <a:solidFill>
                      <a:srgbClr val="000000"/>
                    </a:solidFill>
                    <a:latin typeface="Arial"/>
                    <a:ea typeface="Arial"/>
                    <a:cs typeface="Arial"/>
                  </a:defRPr>
                </a:pPr>
                <a:endParaRPr lang="en-US"/>
              </a:p>
            </c:txPr>
          </c:dispUnitsLbl>
        </c:dispUnits>
      </c:valAx>
      <c:spPr>
        <a:solidFill>
          <a:srgbClr val="FFFFFF"/>
        </a:solidFill>
        <a:ln w="12700">
          <a:solidFill>
            <a:srgbClr val="FFFFFF"/>
          </a:solidFill>
          <a:prstDash val="solid"/>
        </a:ln>
      </c:spPr>
    </c:plotArea>
    <c:plotVisOnly val="1"/>
    <c:dispBlanksAs val="gap"/>
  </c:chart>
  <c:spPr>
    <a:solidFill>
      <a:srgbClr val="FFFFFF"/>
    </a:solidFill>
    <a:ln w="9525">
      <a:noFill/>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000000000001465" r="0.75000000000001465" t="1" header="0.5" footer="0.5"/>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5912989649878672"/>
          <c:y val="2.3142484073912777E-2"/>
        </c:manualLayout>
      </c:layout>
    </c:title>
    <c:plotArea>
      <c:layout>
        <c:manualLayout>
          <c:layoutTarget val="inner"/>
          <c:xMode val="edge"/>
          <c:yMode val="edge"/>
          <c:x val="0.22286824555490894"/>
          <c:y val="0.17946974847045599"/>
          <c:w val="0.7770240258429234"/>
          <c:h val="0.53840924541128476"/>
        </c:manualLayout>
      </c:layout>
      <c:lineChart>
        <c:grouping val="standard"/>
        <c:ser>
          <c:idx val="0"/>
          <c:order val="0"/>
          <c:dLbls>
            <c:delete val="1"/>
          </c:dLbls>
          <c:val>
            <c:numRef>
              <c:f>'Fund Cover Sheets'!$C$217:$K$217</c:f>
              <c:numCache>
                <c:formatCode>_(* #,##0_);_(* \(#,##0\);_(* "-"??_);_(@_)</c:formatCode>
                <c:ptCount val="9"/>
                <c:pt idx="0">
                  <c:v>-587024</c:v>
                </c:pt>
                <c:pt idx="1">
                  <c:v>-579374</c:v>
                </c:pt>
                <c:pt idx="2">
                  <c:v>-575774</c:v>
                </c:pt>
                <c:pt idx="3">
                  <c:v>-573374</c:v>
                </c:pt>
                <c:pt idx="4">
                  <c:v>0</c:v>
                </c:pt>
                <c:pt idx="5">
                  <c:v>0</c:v>
                </c:pt>
                <c:pt idx="6">
                  <c:v>0</c:v>
                </c:pt>
                <c:pt idx="7">
                  <c:v>0</c:v>
                </c:pt>
                <c:pt idx="8">
                  <c:v>0</c:v>
                </c:pt>
              </c:numCache>
            </c:numRef>
          </c:val>
        </c:ser>
        <c:dLbls>
          <c:showVal val="1"/>
        </c:dLbls>
        <c:marker val="1"/>
        <c:axId val="118131712"/>
        <c:axId val="118158080"/>
      </c:lineChart>
      <c:catAx>
        <c:axId val="118131712"/>
        <c:scaling>
          <c:orientation val="minMax"/>
        </c:scaling>
        <c:axPos val="b"/>
        <c:tickLblPos val="none"/>
        <c:crossAx val="118158080"/>
        <c:crosses val="autoZero"/>
        <c:lblAlgn val="ctr"/>
        <c:lblOffset val="100"/>
        <c:tickMarkSkip val="1"/>
      </c:catAx>
      <c:valAx>
        <c:axId val="118158080"/>
        <c:scaling>
          <c:orientation val="minMax"/>
        </c:scaling>
        <c:axPos val="l"/>
        <c:numFmt formatCode="\$#,##0_);\(\$#,##0\)" sourceLinked="0"/>
        <c:tickLblPos val="nextTo"/>
        <c:txPr>
          <a:bodyPr rot="0" vert="horz"/>
          <a:lstStyle/>
          <a:p>
            <a:pPr>
              <a:defRPr/>
            </a:pPr>
            <a:endParaRPr lang="en-US"/>
          </a:p>
        </c:txPr>
        <c:crossAx val="118131712"/>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 Equivalent</a:t>
            </a:r>
          </a:p>
        </c:rich>
      </c:tx>
      <c:layout>
        <c:manualLayout>
          <c:xMode val="edge"/>
          <c:yMode val="edge"/>
          <c:x val="0.44497893301558838"/>
          <c:y val="4.9943330947267994E-2"/>
        </c:manualLayout>
      </c:layout>
    </c:title>
    <c:plotArea>
      <c:layout>
        <c:manualLayout>
          <c:layoutTarget val="inner"/>
          <c:xMode val="edge"/>
          <c:yMode val="edge"/>
          <c:x val="0.22598610852350579"/>
          <c:y val="0.17946974847045707"/>
          <c:w val="0.77279173817037983"/>
          <c:h val="0.53840924541128476"/>
        </c:manualLayout>
      </c:layout>
      <c:lineChart>
        <c:grouping val="standard"/>
        <c:ser>
          <c:idx val="0"/>
          <c:order val="0"/>
          <c:dLbls>
            <c:delete val="1"/>
          </c:dLbls>
          <c:val>
            <c:numRef>
              <c:f>'Fund Cover Sheets'!$C$515:$K$515</c:f>
              <c:numCache>
                <c:formatCode>_(* #,##0_);_(* \(#,##0\);_(* "-"??_);_(@_)</c:formatCode>
                <c:ptCount val="9"/>
                <c:pt idx="0">
                  <c:v>2377831</c:v>
                </c:pt>
                <c:pt idx="1">
                  <c:v>3003537</c:v>
                </c:pt>
                <c:pt idx="2">
                  <c:v>2625761</c:v>
                </c:pt>
                <c:pt idx="3">
                  <c:v>2895977</c:v>
                </c:pt>
                <c:pt idx="4">
                  <c:v>2681077</c:v>
                </c:pt>
                <c:pt idx="5">
                  <c:v>1874420</c:v>
                </c:pt>
                <c:pt idx="6">
                  <c:v>1429922</c:v>
                </c:pt>
                <c:pt idx="7">
                  <c:v>814255</c:v>
                </c:pt>
                <c:pt idx="8">
                  <c:v>524280</c:v>
                </c:pt>
              </c:numCache>
            </c:numRef>
          </c:val>
        </c:ser>
        <c:dLbls>
          <c:showVal val="1"/>
        </c:dLbls>
        <c:marker val="1"/>
        <c:axId val="118526336"/>
        <c:axId val="118527872"/>
      </c:lineChart>
      <c:catAx>
        <c:axId val="118526336"/>
        <c:scaling>
          <c:orientation val="minMax"/>
        </c:scaling>
        <c:axPos val="b"/>
        <c:tickLblPos val="none"/>
        <c:crossAx val="118527872"/>
        <c:crosses val="autoZero"/>
        <c:lblAlgn val="ctr"/>
        <c:lblOffset val="100"/>
        <c:tickMarkSkip val="1"/>
      </c:catAx>
      <c:valAx>
        <c:axId val="118527872"/>
        <c:scaling>
          <c:orientation val="minMax"/>
        </c:scaling>
        <c:axPos val="l"/>
        <c:numFmt formatCode="\$#,##0_);\(\$#,##0\)" sourceLinked="0"/>
        <c:tickLblPos val="nextTo"/>
        <c:txPr>
          <a:bodyPr rot="0" vert="horz"/>
          <a:lstStyle/>
          <a:p>
            <a:pPr>
              <a:defRPr/>
            </a:pPr>
            <a:endParaRPr lang="en-US"/>
          </a:p>
        </c:txPr>
        <c:crossAx val="118526336"/>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50481633698223105"/>
          <c:y val="9.7421490655376728E-3"/>
        </c:manualLayout>
      </c:layout>
    </c:title>
    <c:plotArea>
      <c:layout>
        <c:manualLayout>
          <c:layoutTarget val="inner"/>
          <c:xMode val="edge"/>
          <c:yMode val="edge"/>
          <c:x val="0.21811827667882991"/>
          <c:y val="0.2598715361584828"/>
          <c:w val="0.78100485244222562"/>
          <c:h val="0.53840924541128476"/>
        </c:manualLayout>
      </c:layout>
      <c:lineChart>
        <c:grouping val="standard"/>
        <c:ser>
          <c:idx val="0"/>
          <c:order val="0"/>
          <c:dLbls>
            <c:delete val="1"/>
          </c:dLbls>
          <c:val>
            <c:numRef>
              <c:f>'Fund Cover Sheets'!$C$560:$K$560</c:f>
              <c:numCache>
                <c:formatCode>_(* #,##0_);_(* \(#,##0\);_(* "-"??_);_(@_)</c:formatCode>
                <c:ptCount val="9"/>
                <c:pt idx="0">
                  <c:v>-388625</c:v>
                </c:pt>
                <c:pt idx="1">
                  <c:v>-294778</c:v>
                </c:pt>
                <c:pt idx="2">
                  <c:v>-172534</c:v>
                </c:pt>
                <c:pt idx="3">
                  <c:v>85081</c:v>
                </c:pt>
                <c:pt idx="4">
                  <c:v>162581</c:v>
                </c:pt>
                <c:pt idx="5">
                  <c:v>-171269</c:v>
                </c:pt>
                <c:pt idx="6">
                  <c:v>-411269</c:v>
                </c:pt>
                <c:pt idx="7">
                  <c:v>-1269</c:v>
                </c:pt>
                <c:pt idx="8">
                  <c:v>-41269</c:v>
                </c:pt>
              </c:numCache>
            </c:numRef>
          </c:val>
        </c:ser>
        <c:dLbls>
          <c:showVal val="1"/>
        </c:dLbls>
        <c:marker val="1"/>
        <c:axId val="118969856"/>
        <c:axId val="118971392"/>
      </c:lineChart>
      <c:catAx>
        <c:axId val="118969856"/>
        <c:scaling>
          <c:orientation val="minMax"/>
        </c:scaling>
        <c:axPos val="b"/>
        <c:tickLblPos val="none"/>
        <c:crossAx val="118971392"/>
        <c:crosses val="autoZero"/>
        <c:lblAlgn val="ctr"/>
        <c:lblOffset val="100"/>
        <c:tickMarkSkip val="1"/>
      </c:catAx>
      <c:valAx>
        <c:axId val="118971392"/>
        <c:scaling>
          <c:orientation val="minMax"/>
        </c:scaling>
        <c:axPos val="l"/>
        <c:numFmt formatCode="\$#,##0_);\(\$#,##0\)" sourceLinked="0"/>
        <c:tickLblPos val="nextTo"/>
        <c:txPr>
          <a:bodyPr rot="0" vert="horz"/>
          <a:lstStyle/>
          <a:p>
            <a:pPr>
              <a:defRPr/>
            </a:pPr>
            <a:endParaRPr lang="en-US"/>
          </a:p>
        </c:txPr>
        <c:crossAx val="118969856"/>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6503331314354939"/>
          <c:y val="0.17946974847045843"/>
          <c:w val="0.7349666868564505"/>
          <c:h val="0.53840924541128476"/>
        </c:manualLayout>
      </c:layout>
      <c:lineChart>
        <c:grouping val="standard"/>
        <c:ser>
          <c:idx val="0"/>
          <c:order val="0"/>
          <c:dLbls>
            <c:delete val="1"/>
          </c:dLbls>
          <c:val>
            <c:numRef>
              <c:f>'Fund Cover Sheets'!$C$611:$K$611</c:f>
              <c:numCache>
                <c:formatCode>_(* #,##0_);_(* \(#,##0\);_(* "-"??_);_(@_)</c:formatCode>
                <c:ptCount val="9"/>
                <c:pt idx="0">
                  <c:v>231558</c:v>
                </c:pt>
                <c:pt idx="1">
                  <c:v>280065</c:v>
                </c:pt>
                <c:pt idx="2">
                  <c:v>185635</c:v>
                </c:pt>
                <c:pt idx="3">
                  <c:v>293043</c:v>
                </c:pt>
                <c:pt idx="4">
                  <c:v>322699</c:v>
                </c:pt>
                <c:pt idx="5">
                  <c:v>233653</c:v>
                </c:pt>
                <c:pt idx="6">
                  <c:v>225351</c:v>
                </c:pt>
                <c:pt idx="7">
                  <c:v>217278</c:v>
                </c:pt>
                <c:pt idx="8">
                  <c:v>205746</c:v>
                </c:pt>
              </c:numCache>
            </c:numRef>
          </c:val>
        </c:ser>
        <c:dLbls>
          <c:showVal val="1"/>
        </c:dLbls>
        <c:marker val="1"/>
        <c:axId val="118991488"/>
        <c:axId val="119001472"/>
      </c:lineChart>
      <c:catAx>
        <c:axId val="118991488"/>
        <c:scaling>
          <c:orientation val="minMax"/>
        </c:scaling>
        <c:axPos val="b"/>
        <c:tickLblPos val="none"/>
        <c:crossAx val="119001472"/>
        <c:crosses val="autoZero"/>
        <c:lblAlgn val="ctr"/>
        <c:lblOffset val="100"/>
        <c:tickMarkSkip val="1"/>
      </c:catAx>
      <c:valAx>
        <c:axId val="119001472"/>
        <c:scaling>
          <c:orientation val="minMax"/>
        </c:scaling>
        <c:axPos val="l"/>
        <c:numFmt formatCode="\$#,##0_);\(\$#,##0\)" sourceLinked="0"/>
        <c:tickLblPos val="nextTo"/>
        <c:txPr>
          <a:bodyPr rot="0" vert="horz"/>
          <a:lstStyle/>
          <a:p>
            <a:pPr>
              <a:defRPr/>
            </a:pPr>
            <a:endParaRPr lang="en-US"/>
          </a:p>
        </c:txPr>
        <c:crossAx val="118991488"/>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 Equivalent</a:t>
            </a:r>
          </a:p>
        </c:rich>
      </c:tx>
      <c:layout>
        <c:manualLayout>
          <c:xMode val="edge"/>
          <c:yMode val="edge"/>
          <c:x val="0.44497892308917053"/>
          <c:y val="1.6609973753280841E-2"/>
        </c:manualLayout>
      </c:layout>
    </c:title>
    <c:plotArea>
      <c:layout>
        <c:manualLayout>
          <c:layoutTarget val="inner"/>
          <c:xMode val="edge"/>
          <c:yMode val="edge"/>
          <c:x val="0.21679851662377819"/>
          <c:y val="0.19957002862079418"/>
          <c:w val="0.78189685193460412"/>
          <c:h val="0.53840924541128476"/>
        </c:manualLayout>
      </c:layout>
      <c:lineChart>
        <c:grouping val="standard"/>
        <c:ser>
          <c:idx val="0"/>
          <c:order val="0"/>
          <c:dLbls>
            <c:delete val="1"/>
          </c:dLbls>
          <c:val>
            <c:numRef>
              <c:f>'Fund Cover Sheets'!$C$659:$K$659</c:f>
              <c:numCache>
                <c:formatCode>_(* #,##0_);_(* \(#,##0\);_(* "-"??_);_(@_)</c:formatCode>
                <c:ptCount val="9"/>
                <c:pt idx="0">
                  <c:v>-195087</c:v>
                </c:pt>
                <c:pt idx="1">
                  <c:v>-220001</c:v>
                </c:pt>
                <c:pt idx="2">
                  <c:v>-367521</c:v>
                </c:pt>
                <c:pt idx="3">
                  <c:v>-467468</c:v>
                </c:pt>
                <c:pt idx="4">
                  <c:v>0</c:v>
                </c:pt>
                <c:pt idx="5">
                  <c:v>0</c:v>
                </c:pt>
                <c:pt idx="6">
                  <c:v>0</c:v>
                </c:pt>
                <c:pt idx="7">
                  <c:v>0</c:v>
                </c:pt>
                <c:pt idx="8">
                  <c:v>0</c:v>
                </c:pt>
              </c:numCache>
            </c:numRef>
          </c:val>
        </c:ser>
        <c:dLbls>
          <c:showVal val="1"/>
        </c:dLbls>
        <c:marker val="1"/>
        <c:axId val="119099392"/>
        <c:axId val="119100928"/>
      </c:lineChart>
      <c:catAx>
        <c:axId val="119099392"/>
        <c:scaling>
          <c:orientation val="minMax"/>
        </c:scaling>
        <c:axPos val="b"/>
        <c:tickLblPos val="none"/>
        <c:crossAx val="119100928"/>
        <c:crosses val="autoZero"/>
        <c:lblAlgn val="ctr"/>
        <c:lblOffset val="100"/>
        <c:tickMarkSkip val="1"/>
      </c:catAx>
      <c:valAx>
        <c:axId val="119100928"/>
        <c:scaling>
          <c:orientation val="minMax"/>
        </c:scaling>
        <c:axPos val="l"/>
        <c:numFmt formatCode="\$#,##0_);\(\$#,##0\)" sourceLinked="0"/>
        <c:tickLblPos val="nextTo"/>
        <c:txPr>
          <a:bodyPr rot="0" vert="horz"/>
          <a:lstStyle/>
          <a:p>
            <a:pPr>
              <a:defRPr/>
            </a:pPr>
            <a:endParaRPr lang="en-US"/>
          </a:p>
        </c:txPr>
        <c:crossAx val="119099392"/>
        <c:crosses val="autoZero"/>
        <c:crossBetween val="between"/>
        <c:dispUnits>
          <c:builtInUnit val="thousands"/>
          <c:dispUnitsLbl>
            <c:layout>
              <c:manualLayout>
                <c:xMode val="edge"/>
                <c:yMode val="edge"/>
                <c:x val="0.14321365331725891"/>
                <c:y val="0.17946952610823144"/>
              </c:manualLayout>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245215616775879"/>
          <c:y val="0.11154855643044605"/>
          <c:w val="0.77754779357742465"/>
          <c:h val="0.79527559055120001"/>
        </c:manualLayout>
      </c:layout>
      <c:lineChart>
        <c:grouping val="standard"/>
        <c:ser>
          <c:idx val="0"/>
          <c:order val="0"/>
          <c:val>
            <c:numRef>
              <c:f>'Gen Fd Cover Sheets'!$C$50:$K$50</c:f>
              <c:numCache>
                <c:formatCode>_(* #,##0_);_(* \(#,##0\);_(* "-"??_);_(@_)</c:formatCode>
                <c:ptCount val="9"/>
                <c:pt idx="0">
                  <c:v>332858</c:v>
                </c:pt>
                <c:pt idx="1">
                  <c:v>284168</c:v>
                </c:pt>
                <c:pt idx="2">
                  <c:v>340535</c:v>
                </c:pt>
                <c:pt idx="3">
                  <c:v>322727</c:v>
                </c:pt>
                <c:pt idx="4">
                  <c:v>341395</c:v>
                </c:pt>
                <c:pt idx="5">
                  <c:v>348529</c:v>
                </c:pt>
                <c:pt idx="6">
                  <c:v>352857</c:v>
                </c:pt>
                <c:pt idx="7">
                  <c:v>356088</c:v>
                </c:pt>
                <c:pt idx="8">
                  <c:v>360945</c:v>
                </c:pt>
              </c:numCache>
            </c:numRef>
          </c:val>
        </c:ser>
        <c:marker val="1"/>
        <c:axId val="93065600"/>
        <c:axId val="93067520"/>
      </c:lineChart>
      <c:catAx>
        <c:axId val="93065600"/>
        <c:scaling>
          <c:orientation val="minMax"/>
        </c:scaling>
        <c:delete val="1"/>
        <c:axPos val="b"/>
        <c:tickLblPos val="none"/>
        <c:crossAx val="93067520"/>
        <c:crosses val="autoZero"/>
        <c:auto val="1"/>
        <c:lblAlgn val="ctr"/>
        <c:lblOffset val="100"/>
      </c:catAx>
      <c:valAx>
        <c:axId val="93067520"/>
        <c:scaling>
          <c:orientation val="minMax"/>
          <c:min val="0"/>
        </c:scaling>
        <c:axPos val="l"/>
        <c:numFmt formatCode="\$#,##0_);\(\$#,##0\)" sourceLinked="0"/>
        <c:tickLblPos val="nextTo"/>
        <c:txPr>
          <a:bodyPr rot="0" vert="horz"/>
          <a:lstStyle/>
          <a:p>
            <a:pPr>
              <a:defRPr/>
            </a:pPr>
            <a:endParaRPr lang="en-US"/>
          </a:p>
        </c:txPr>
        <c:crossAx val="93065600"/>
        <c:crosses val="autoZero"/>
        <c:crossBetween val="between"/>
        <c:dispUnits>
          <c:builtInUnit val="thousands"/>
          <c:dispUnitsLbl>
            <c:layout>
              <c:manualLayout>
                <c:xMode val="edge"/>
                <c:yMode val="edge"/>
                <c:x val="0.15631141965245007"/>
                <c:y val="0.22309711286090494"/>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656062120348838"/>
          <c:y val="9.7421490655376728E-3"/>
        </c:manualLayout>
      </c:layout>
    </c:title>
    <c:plotArea>
      <c:layout>
        <c:manualLayout>
          <c:layoutTarget val="inner"/>
          <c:xMode val="edge"/>
          <c:yMode val="edge"/>
          <c:x val="0.22201220293137044"/>
          <c:y val="0.2062701961249819"/>
          <c:w val="0.77798779706863264"/>
          <c:h val="0.53840924541128476"/>
        </c:manualLayout>
      </c:layout>
      <c:lineChart>
        <c:grouping val="standard"/>
        <c:ser>
          <c:idx val="0"/>
          <c:order val="0"/>
          <c:dLbls>
            <c:delete val="1"/>
          </c:dLbls>
          <c:val>
            <c:numRef>
              <c:f>'Fund Cover Sheets'!$C$715:$K$715</c:f>
              <c:numCache>
                <c:formatCode>_(* #,##0_);_(* \(#,##0\);_(* "-"??_);_(@_)</c:formatCode>
                <c:ptCount val="9"/>
                <c:pt idx="0">
                  <c:v>317336</c:v>
                </c:pt>
                <c:pt idx="1">
                  <c:v>388831</c:v>
                </c:pt>
                <c:pt idx="2">
                  <c:v>370330</c:v>
                </c:pt>
                <c:pt idx="3">
                  <c:v>400154</c:v>
                </c:pt>
                <c:pt idx="4">
                  <c:v>407430</c:v>
                </c:pt>
                <c:pt idx="5">
                  <c:v>412096</c:v>
                </c:pt>
                <c:pt idx="6">
                  <c:v>405220</c:v>
                </c:pt>
                <c:pt idx="7">
                  <c:v>390333</c:v>
                </c:pt>
                <c:pt idx="8">
                  <c:v>391963</c:v>
                </c:pt>
              </c:numCache>
            </c:numRef>
          </c:val>
        </c:ser>
        <c:dLbls>
          <c:showVal val="1"/>
        </c:dLbls>
        <c:marker val="1"/>
        <c:axId val="119191040"/>
        <c:axId val="119192576"/>
      </c:lineChart>
      <c:catAx>
        <c:axId val="119191040"/>
        <c:scaling>
          <c:orientation val="minMax"/>
        </c:scaling>
        <c:axPos val="b"/>
        <c:tickLblPos val="none"/>
        <c:crossAx val="119192576"/>
        <c:crosses val="autoZero"/>
        <c:lblAlgn val="ctr"/>
        <c:lblOffset val="100"/>
        <c:tickMarkSkip val="1"/>
      </c:catAx>
      <c:valAx>
        <c:axId val="119192576"/>
        <c:scaling>
          <c:orientation val="minMax"/>
        </c:scaling>
        <c:axPos val="l"/>
        <c:numFmt formatCode="\$#,##0_);\(\$#,##0\)" sourceLinked="0"/>
        <c:tickLblPos val="nextTo"/>
        <c:txPr>
          <a:bodyPr rot="0" vert="horz"/>
          <a:lstStyle/>
          <a:p>
            <a:pPr>
              <a:defRPr/>
            </a:pPr>
            <a:endParaRPr lang="en-US"/>
          </a:p>
        </c:txPr>
        <c:crossAx val="119191040"/>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3574539548092849"/>
          <c:y val="0.17946952610823144"/>
          <c:w val="0.75987281122873929"/>
          <c:h val="0.53840924541128476"/>
        </c:manualLayout>
      </c:layout>
      <c:lineChart>
        <c:grouping val="standard"/>
        <c:ser>
          <c:idx val="0"/>
          <c:order val="0"/>
          <c:dLbls>
            <c:delete val="1"/>
          </c:dLbls>
          <c:val>
            <c:numRef>
              <c:f>'Fund Cover Sheets'!$C$761:$K$761</c:f>
              <c:numCache>
                <c:formatCode>_(* #,##0_);_(* \(#,##0\);_(* "-"??_);_(@_)</c:formatCode>
                <c:ptCount val="9"/>
                <c:pt idx="0">
                  <c:v>0</c:v>
                </c:pt>
                <c:pt idx="1">
                  <c:v>-1821</c:v>
                </c:pt>
                <c:pt idx="2">
                  <c:v>0</c:v>
                </c:pt>
                <c:pt idx="3">
                  <c:v>0</c:v>
                </c:pt>
                <c:pt idx="4">
                  <c:v>2325</c:v>
                </c:pt>
                <c:pt idx="5">
                  <c:v>2525</c:v>
                </c:pt>
                <c:pt idx="6">
                  <c:v>2725</c:v>
                </c:pt>
                <c:pt idx="7">
                  <c:v>2925</c:v>
                </c:pt>
                <c:pt idx="8">
                  <c:v>3125</c:v>
                </c:pt>
              </c:numCache>
            </c:numRef>
          </c:val>
        </c:ser>
        <c:dLbls>
          <c:showVal val="1"/>
        </c:dLbls>
        <c:marker val="1"/>
        <c:axId val="119237248"/>
        <c:axId val="119304576"/>
      </c:lineChart>
      <c:catAx>
        <c:axId val="119237248"/>
        <c:scaling>
          <c:orientation val="minMax"/>
        </c:scaling>
        <c:axPos val="b"/>
        <c:tickLblPos val="none"/>
        <c:crossAx val="119304576"/>
        <c:crosses val="autoZero"/>
        <c:lblAlgn val="ctr"/>
        <c:lblOffset val="100"/>
        <c:tickMarkSkip val="1"/>
      </c:catAx>
      <c:valAx>
        <c:axId val="119304576"/>
        <c:scaling>
          <c:orientation val="minMax"/>
        </c:scaling>
        <c:axPos val="l"/>
        <c:numFmt formatCode="\$#,##0_);\(\$#,##0\)" sourceLinked="0"/>
        <c:tickLblPos val="nextTo"/>
        <c:txPr>
          <a:bodyPr rot="0" vert="horz"/>
          <a:lstStyle/>
          <a:p>
            <a:pPr>
              <a:defRPr/>
            </a:pPr>
            <a:endParaRPr lang="en-US"/>
          </a:p>
        </c:txPr>
        <c:crossAx val="119237248"/>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 </a:t>
            </a:r>
          </a:p>
        </c:rich>
      </c:tx>
      <c:layout>
        <c:manualLayout>
          <c:xMode val="edge"/>
          <c:yMode val="edge"/>
          <c:x val="0.44182684611232131"/>
          <c:y val="3.0419815613505017E-3"/>
        </c:manualLayout>
      </c:layout>
    </c:title>
    <c:plotArea>
      <c:layout>
        <c:manualLayout>
          <c:layoutTarget val="inner"/>
          <c:xMode val="edge"/>
          <c:yMode val="edge"/>
          <c:x val="0.24012149360237003"/>
          <c:y val="0.17946952610823144"/>
          <c:w val="0.75980253444885226"/>
          <c:h val="0.53840924541128476"/>
        </c:manualLayout>
      </c:layout>
      <c:lineChart>
        <c:grouping val="standard"/>
        <c:ser>
          <c:idx val="0"/>
          <c:order val="0"/>
          <c:dLbls>
            <c:delete val="1"/>
          </c:dLbls>
          <c:val>
            <c:numRef>
              <c:f>'Fund Cover Sheets'!$C$809:$K$809</c:f>
              <c:numCache>
                <c:formatCode>_(* #,##0_);_(* \(#,##0\);_(* "-"??_);_(@_)</c:formatCode>
                <c:ptCount val="9"/>
                <c:pt idx="0">
                  <c:v>0</c:v>
                </c:pt>
                <c:pt idx="1">
                  <c:v>6794</c:v>
                </c:pt>
                <c:pt idx="2">
                  <c:v>0</c:v>
                </c:pt>
                <c:pt idx="3">
                  <c:v>18830</c:v>
                </c:pt>
                <c:pt idx="4">
                  <c:v>0</c:v>
                </c:pt>
                <c:pt idx="5">
                  <c:v>0</c:v>
                </c:pt>
                <c:pt idx="6">
                  <c:v>0</c:v>
                </c:pt>
                <c:pt idx="7">
                  <c:v>0</c:v>
                </c:pt>
                <c:pt idx="8">
                  <c:v>0</c:v>
                </c:pt>
              </c:numCache>
            </c:numRef>
          </c:val>
        </c:ser>
        <c:dLbls>
          <c:showVal val="1"/>
        </c:dLbls>
        <c:marker val="1"/>
        <c:axId val="123432960"/>
        <c:axId val="123434496"/>
      </c:lineChart>
      <c:catAx>
        <c:axId val="123432960"/>
        <c:scaling>
          <c:orientation val="minMax"/>
        </c:scaling>
        <c:axPos val="b"/>
        <c:tickLblPos val="none"/>
        <c:crossAx val="123434496"/>
        <c:crosses val="autoZero"/>
        <c:lblAlgn val="ctr"/>
        <c:lblOffset val="100"/>
        <c:tickMarkSkip val="1"/>
      </c:catAx>
      <c:valAx>
        <c:axId val="123434496"/>
        <c:scaling>
          <c:orientation val="minMax"/>
        </c:scaling>
        <c:axPos val="l"/>
        <c:numFmt formatCode="\$#,##0_);\(\$#,##0\)" sourceLinked="0"/>
        <c:tickLblPos val="nextTo"/>
        <c:txPr>
          <a:bodyPr rot="0" vert="horz"/>
          <a:lstStyle/>
          <a:p>
            <a:pPr>
              <a:defRPr/>
            </a:pPr>
            <a:endParaRPr lang="en-US"/>
          </a:p>
        </c:txPr>
        <c:crossAx val="123432960"/>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2898849812286"/>
          <c:y val="4.3242986586475685E-2"/>
        </c:manualLayout>
      </c:layout>
    </c:title>
    <c:plotArea>
      <c:layout>
        <c:manualLayout>
          <c:layoutTarget val="inner"/>
          <c:xMode val="edge"/>
          <c:yMode val="edge"/>
          <c:x val="0.22320467822386744"/>
          <c:y val="0.16606919109985624"/>
          <c:w val="0.77679532177612065"/>
          <c:h val="0.53840924541128476"/>
        </c:manualLayout>
      </c:layout>
      <c:lineChart>
        <c:grouping val="standard"/>
        <c:ser>
          <c:idx val="0"/>
          <c:order val="0"/>
          <c:dLbls>
            <c:delete val="1"/>
          </c:dLbls>
          <c:val>
            <c:numRef>
              <c:f>'Fund Cover Sheets'!$C$855:$K$855</c:f>
              <c:numCache>
                <c:formatCode>_(* #,##0_);_(* \(#,##0\);_(* "-"??_);_(@_)</c:formatCode>
                <c:ptCount val="9"/>
                <c:pt idx="0">
                  <c:v>569790</c:v>
                </c:pt>
                <c:pt idx="1">
                  <c:v>0</c:v>
                </c:pt>
                <c:pt idx="2">
                  <c:v>0</c:v>
                </c:pt>
                <c:pt idx="3">
                  <c:v>0</c:v>
                </c:pt>
                <c:pt idx="4">
                  <c:v>0</c:v>
                </c:pt>
                <c:pt idx="5">
                  <c:v>0</c:v>
                </c:pt>
                <c:pt idx="6">
                  <c:v>0</c:v>
                </c:pt>
                <c:pt idx="7">
                  <c:v>0</c:v>
                </c:pt>
                <c:pt idx="8">
                  <c:v>0</c:v>
                </c:pt>
              </c:numCache>
            </c:numRef>
          </c:val>
        </c:ser>
        <c:dLbls>
          <c:showVal val="1"/>
        </c:dLbls>
        <c:marker val="1"/>
        <c:axId val="123466496"/>
        <c:axId val="123468032"/>
      </c:lineChart>
      <c:catAx>
        <c:axId val="123466496"/>
        <c:scaling>
          <c:orientation val="minMax"/>
        </c:scaling>
        <c:axPos val="b"/>
        <c:tickLblPos val="none"/>
        <c:crossAx val="123468032"/>
        <c:crosses val="autoZero"/>
        <c:lblAlgn val="ctr"/>
        <c:lblOffset val="100"/>
        <c:tickMarkSkip val="1"/>
      </c:catAx>
      <c:valAx>
        <c:axId val="123468032"/>
        <c:scaling>
          <c:orientation val="minMax"/>
        </c:scaling>
        <c:axPos val="l"/>
        <c:numFmt formatCode="\$#,##0_);\(\$#,##0\)" sourceLinked="0"/>
        <c:tickLblPos val="nextTo"/>
        <c:txPr>
          <a:bodyPr rot="0" vert="horz"/>
          <a:lstStyle/>
          <a:p>
            <a:pPr>
              <a:defRPr/>
            </a:pPr>
            <a:endParaRPr lang="en-US"/>
          </a:p>
        </c:txPr>
        <c:crossAx val="123466496"/>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289884981228506"/>
          <c:y val="4.3242986586475685E-2"/>
        </c:manualLayout>
      </c:layout>
    </c:title>
    <c:plotArea>
      <c:layout>
        <c:manualLayout>
          <c:layoutTarget val="inner"/>
          <c:xMode val="edge"/>
          <c:yMode val="edge"/>
          <c:x val="0.22734721341084321"/>
          <c:y val="0.17276935860404391"/>
          <c:w val="0.7726452218085782"/>
          <c:h val="0.53840924541128476"/>
        </c:manualLayout>
      </c:layout>
      <c:lineChart>
        <c:grouping val="standard"/>
        <c:ser>
          <c:idx val="0"/>
          <c:order val="0"/>
          <c:dLbls>
            <c:delete val="1"/>
          </c:dLbls>
          <c:val>
            <c:numRef>
              <c:f>'Fund Cover Sheets'!$C$899:$K$899</c:f>
              <c:numCache>
                <c:formatCode>_(* #,##0_);_(* \(#,##0\);_(* "-"??_);_(@_)</c:formatCode>
                <c:ptCount val="9"/>
                <c:pt idx="0">
                  <c:v>2178550</c:v>
                </c:pt>
                <c:pt idx="1">
                  <c:v>1877872</c:v>
                </c:pt>
                <c:pt idx="2">
                  <c:v>1578277</c:v>
                </c:pt>
                <c:pt idx="3">
                  <c:v>1573929</c:v>
                </c:pt>
                <c:pt idx="4">
                  <c:v>-529634</c:v>
                </c:pt>
                <c:pt idx="5">
                  <c:v>-837532</c:v>
                </c:pt>
                <c:pt idx="6">
                  <c:v>-1042630</c:v>
                </c:pt>
                <c:pt idx="7">
                  <c:v>-1249728</c:v>
                </c:pt>
                <c:pt idx="8">
                  <c:v>-1458426</c:v>
                </c:pt>
              </c:numCache>
            </c:numRef>
          </c:val>
        </c:ser>
        <c:dLbls>
          <c:showVal val="1"/>
        </c:dLbls>
        <c:marker val="1"/>
        <c:axId val="123541376"/>
        <c:axId val="123542912"/>
      </c:lineChart>
      <c:catAx>
        <c:axId val="123541376"/>
        <c:scaling>
          <c:orientation val="minMax"/>
        </c:scaling>
        <c:axPos val="b"/>
        <c:tickLblPos val="none"/>
        <c:crossAx val="123542912"/>
        <c:crosses val="autoZero"/>
        <c:lblAlgn val="ctr"/>
        <c:lblOffset val="100"/>
        <c:tickMarkSkip val="1"/>
      </c:catAx>
      <c:valAx>
        <c:axId val="123542912"/>
        <c:scaling>
          <c:orientation val="minMax"/>
        </c:scaling>
        <c:axPos val="l"/>
        <c:numFmt formatCode="\$#,##0_);\(\$#,##0\)" sourceLinked="0"/>
        <c:tickLblPos val="nextTo"/>
        <c:txPr>
          <a:bodyPr rot="0" vert="horz"/>
          <a:lstStyle/>
          <a:p>
            <a:pPr>
              <a:defRPr/>
            </a:pPr>
            <a:endParaRPr lang="en-US"/>
          </a:p>
        </c:txPr>
        <c:crossAx val="123541376"/>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289884981228556"/>
          <c:y val="4.3242986586475685E-2"/>
        </c:manualLayout>
      </c:layout>
    </c:title>
    <c:plotArea>
      <c:layout>
        <c:manualLayout>
          <c:layoutTarget val="inner"/>
          <c:xMode val="edge"/>
          <c:yMode val="edge"/>
          <c:x val="0.22178090364387537"/>
          <c:y val="0.16606919109985624"/>
          <c:w val="0.77821909635618836"/>
          <c:h val="0.53840924541128476"/>
        </c:manualLayout>
      </c:layout>
      <c:lineChart>
        <c:grouping val="standard"/>
        <c:ser>
          <c:idx val="0"/>
          <c:order val="0"/>
          <c:dLbls>
            <c:delete val="1"/>
          </c:dLbls>
          <c:val>
            <c:numRef>
              <c:f>'Fund Cover Sheets'!$C$942:$K$942</c:f>
              <c:numCache>
                <c:formatCode>_(* #,##0_);_(* \(#,##0\);_(* "-"??_);_(@_)</c:formatCode>
                <c:ptCount val="9"/>
                <c:pt idx="0">
                  <c:v>209760</c:v>
                </c:pt>
                <c:pt idx="1">
                  <c:v>257953</c:v>
                </c:pt>
                <c:pt idx="2">
                  <c:v>264867</c:v>
                </c:pt>
                <c:pt idx="3">
                  <c:v>261449</c:v>
                </c:pt>
                <c:pt idx="4">
                  <c:v>251449</c:v>
                </c:pt>
                <c:pt idx="5">
                  <c:v>241444</c:v>
                </c:pt>
                <c:pt idx="6">
                  <c:v>231434</c:v>
                </c:pt>
                <c:pt idx="7">
                  <c:v>221419</c:v>
                </c:pt>
                <c:pt idx="8">
                  <c:v>211394</c:v>
                </c:pt>
              </c:numCache>
            </c:numRef>
          </c:val>
        </c:ser>
        <c:dLbls>
          <c:showVal val="1"/>
        </c:dLbls>
        <c:marker val="1"/>
        <c:axId val="123558912"/>
        <c:axId val="123572992"/>
      </c:lineChart>
      <c:catAx>
        <c:axId val="123558912"/>
        <c:scaling>
          <c:orientation val="minMax"/>
        </c:scaling>
        <c:axPos val="b"/>
        <c:tickLblPos val="none"/>
        <c:crossAx val="123572992"/>
        <c:crosses val="autoZero"/>
        <c:lblAlgn val="ctr"/>
        <c:lblOffset val="100"/>
        <c:tickMarkSkip val="1"/>
      </c:catAx>
      <c:valAx>
        <c:axId val="123572992"/>
        <c:scaling>
          <c:orientation val="minMax"/>
        </c:scaling>
        <c:axPos val="l"/>
        <c:numFmt formatCode="\$#,##0_);\(\$#,##0\)" sourceLinked="0"/>
        <c:tickLblPos val="nextTo"/>
        <c:txPr>
          <a:bodyPr rot="0" vert="horz"/>
          <a:lstStyle/>
          <a:p>
            <a:pPr>
              <a:defRPr/>
            </a:pPr>
            <a:endParaRPr lang="en-US"/>
          </a:p>
        </c:txPr>
        <c:crossAx val="123558912"/>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207940592791756"/>
          <c:y val="0.17946974847045669"/>
          <c:w val="0.77792058543304243"/>
          <c:h val="0.53840924541128476"/>
        </c:manualLayout>
      </c:layout>
      <c:lineChart>
        <c:grouping val="standard"/>
        <c:ser>
          <c:idx val="0"/>
          <c:order val="0"/>
          <c:dLbls>
            <c:delete val="1"/>
          </c:dLbls>
          <c:val>
            <c:numRef>
              <c:f>'Fund Cover Sheets'!$C$407:$K$407</c:f>
              <c:numCache>
                <c:formatCode>_(* #,##0_);_(* \(#,##0\);_(* "-"??_);_(@_)</c:formatCode>
                <c:ptCount val="9"/>
                <c:pt idx="0">
                  <c:v>8653</c:v>
                </c:pt>
                <c:pt idx="1">
                  <c:v>87510</c:v>
                </c:pt>
                <c:pt idx="2">
                  <c:v>8925</c:v>
                </c:pt>
                <c:pt idx="3">
                  <c:v>10686</c:v>
                </c:pt>
                <c:pt idx="4">
                  <c:v>11611</c:v>
                </c:pt>
                <c:pt idx="5">
                  <c:v>12536</c:v>
                </c:pt>
                <c:pt idx="6">
                  <c:v>0</c:v>
                </c:pt>
                <c:pt idx="7">
                  <c:v>0</c:v>
                </c:pt>
                <c:pt idx="8">
                  <c:v>0</c:v>
                </c:pt>
              </c:numCache>
            </c:numRef>
          </c:val>
        </c:ser>
        <c:dLbls>
          <c:showVal val="1"/>
        </c:dLbls>
        <c:marker val="1"/>
        <c:axId val="123597184"/>
        <c:axId val="123598720"/>
      </c:lineChart>
      <c:catAx>
        <c:axId val="123597184"/>
        <c:scaling>
          <c:orientation val="minMax"/>
        </c:scaling>
        <c:axPos val="b"/>
        <c:tickLblPos val="none"/>
        <c:crossAx val="123598720"/>
        <c:crosses val="autoZero"/>
        <c:lblAlgn val="ctr"/>
        <c:lblOffset val="100"/>
        <c:tickMarkSkip val="1"/>
      </c:catAx>
      <c:valAx>
        <c:axId val="123598720"/>
        <c:scaling>
          <c:orientation val="minMax"/>
        </c:scaling>
        <c:axPos val="l"/>
        <c:numFmt formatCode="\$#,##0_);\(\$#,##0\)" sourceLinked="0"/>
        <c:tickLblPos val="nextTo"/>
        <c:txPr>
          <a:bodyPr rot="0" vert="horz"/>
          <a:lstStyle/>
          <a:p>
            <a:pPr>
              <a:defRPr/>
            </a:pPr>
            <a:endParaRPr lang="en-US"/>
          </a:p>
        </c:txPr>
        <c:crossAx val="123597184"/>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5912989649878672"/>
          <c:y val="2.3142484073912777E-2"/>
        </c:manualLayout>
      </c:layout>
    </c:title>
    <c:plotArea>
      <c:layout>
        <c:manualLayout>
          <c:layoutTarget val="inner"/>
          <c:xMode val="edge"/>
          <c:yMode val="edge"/>
          <c:x val="0.22286824555490894"/>
          <c:y val="0.1794700027978805"/>
          <c:w val="0.7770240258429234"/>
          <c:h val="0.53840924541128476"/>
        </c:manualLayout>
      </c:layout>
      <c:lineChart>
        <c:grouping val="standard"/>
        <c:ser>
          <c:idx val="0"/>
          <c:order val="0"/>
          <c:dLbls>
            <c:delete val="1"/>
          </c:dLbls>
          <c:val>
            <c:numRef>
              <c:f>'Fund Cover Sheets'!$C$276:$K$276</c:f>
              <c:numCache>
                <c:formatCode>_(* #,##0_);_(* \(#,##0\);_(* "-"??_);_(@_)</c:formatCode>
                <c:ptCount val="9"/>
                <c:pt idx="0">
                  <c:v>652</c:v>
                </c:pt>
                <c:pt idx="1">
                  <c:v>81196</c:v>
                </c:pt>
                <c:pt idx="2">
                  <c:v>332500</c:v>
                </c:pt>
                <c:pt idx="3">
                  <c:v>373437</c:v>
                </c:pt>
                <c:pt idx="4">
                  <c:v>691053</c:v>
                </c:pt>
                <c:pt idx="5">
                  <c:v>4883879</c:v>
                </c:pt>
                <c:pt idx="6">
                  <c:v>703540</c:v>
                </c:pt>
                <c:pt idx="7">
                  <c:v>0</c:v>
                </c:pt>
                <c:pt idx="8">
                  <c:v>0</c:v>
                </c:pt>
              </c:numCache>
            </c:numRef>
          </c:val>
        </c:ser>
        <c:dLbls>
          <c:showVal val="1"/>
        </c:dLbls>
        <c:marker val="1"/>
        <c:axId val="123672064"/>
        <c:axId val="123673600"/>
      </c:lineChart>
      <c:catAx>
        <c:axId val="123672064"/>
        <c:scaling>
          <c:orientation val="minMax"/>
        </c:scaling>
        <c:axPos val="b"/>
        <c:tickLblPos val="none"/>
        <c:crossAx val="123673600"/>
        <c:crosses val="autoZero"/>
        <c:lblAlgn val="ctr"/>
        <c:lblOffset val="100"/>
        <c:tickMarkSkip val="1"/>
      </c:catAx>
      <c:valAx>
        <c:axId val="123673600"/>
        <c:scaling>
          <c:orientation val="minMax"/>
        </c:scaling>
        <c:axPos val="l"/>
        <c:numFmt formatCode="\$#,##0_);\(\$#,##0\)" sourceLinked="0"/>
        <c:tickLblPos val="nextTo"/>
        <c:txPr>
          <a:bodyPr rot="0" vert="horz"/>
          <a:lstStyle/>
          <a:p>
            <a:pPr>
              <a:defRPr/>
            </a:pPr>
            <a:endParaRPr lang="en-US"/>
          </a:p>
        </c:txPr>
        <c:crossAx val="123672064"/>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5912989649878672"/>
          <c:y val="2.3142484073912777E-2"/>
        </c:manualLayout>
      </c:layout>
    </c:title>
    <c:plotArea>
      <c:layout>
        <c:manualLayout>
          <c:layoutTarget val="inner"/>
          <c:xMode val="edge"/>
          <c:yMode val="edge"/>
          <c:x val="0.22286824555490894"/>
          <c:y val="0.17946974847045619"/>
          <c:w val="0.7770240258429234"/>
          <c:h val="0.53840924541128476"/>
        </c:manualLayout>
      </c:layout>
      <c:lineChart>
        <c:grouping val="standard"/>
        <c:ser>
          <c:idx val="0"/>
          <c:order val="0"/>
          <c:dLbls>
            <c:delete val="1"/>
          </c:dLbls>
          <c:val>
            <c:numRef>
              <c:f>'Fund Cover Sheets'!$C$362:$K$362</c:f>
              <c:numCache>
                <c:formatCode>_(* #,##0_);_(* \(#,##0\);_(* "-"??_);_(@_)</c:formatCode>
                <c:ptCount val="9"/>
                <c:pt idx="0">
                  <c:v>355133</c:v>
                </c:pt>
                <c:pt idx="1">
                  <c:v>354595</c:v>
                </c:pt>
                <c:pt idx="2">
                  <c:v>62123</c:v>
                </c:pt>
                <c:pt idx="3">
                  <c:v>129270</c:v>
                </c:pt>
                <c:pt idx="4">
                  <c:v>96558</c:v>
                </c:pt>
                <c:pt idx="5">
                  <c:v>58148</c:v>
                </c:pt>
                <c:pt idx="6">
                  <c:v>58373</c:v>
                </c:pt>
                <c:pt idx="7">
                  <c:v>58598</c:v>
                </c:pt>
                <c:pt idx="8">
                  <c:v>58823</c:v>
                </c:pt>
              </c:numCache>
            </c:numRef>
          </c:val>
        </c:ser>
        <c:dLbls>
          <c:showVal val="1"/>
        </c:dLbls>
        <c:marker val="1"/>
        <c:axId val="123701888"/>
        <c:axId val="123744640"/>
      </c:lineChart>
      <c:catAx>
        <c:axId val="123701888"/>
        <c:scaling>
          <c:orientation val="minMax"/>
        </c:scaling>
        <c:axPos val="b"/>
        <c:tickLblPos val="none"/>
        <c:crossAx val="123744640"/>
        <c:crosses val="autoZero"/>
        <c:lblAlgn val="ctr"/>
        <c:lblOffset val="100"/>
        <c:tickMarkSkip val="1"/>
      </c:catAx>
      <c:valAx>
        <c:axId val="123744640"/>
        <c:scaling>
          <c:orientation val="minMax"/>
        </c:scaling>
        <c:axPos val="l"/>
        <c:numFmt formatCode="\$#,##0_);\(\$#,##0\)" sourceLinked="0"/>
        <c:tickLblPos val="nextTo"/>
        <c:txPr>
          <a:bodyPr rot="0" vert="horz"/>
          <a:lstStyle/>
          <a:p>
            <a:pPr>
              <a:defRPr/>
            </a:pPr>
            <a:endParaRPr lang="en-US"/>
          </a:p>
        </c:txPr>
        <c:crossAx val="123701888"/>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 Equivalent</a:t>
            </a:r>
          </a:p>
        </c:rich>
      </c:tx>
      <c:layout>
        <c:manualLayout>
          <c:xMode val="edge"/>
          <c:yMode val="edge"/>
          <c:x val="0.44497893301558838"/>
          <c:y val="4.9943330947267994E-2"/>
        </c:manualLayout>
      </c:layout>
    </c:title>
    <c:plotArea>
      <c:layout>
        <c:manualLayout>
          <c:layoutTarget val="inner"/>
          <c:xMode val="edge"/>
          <c:yMode val="edge"/>
          <c:x val="0.22207940592791756"/>
          <c:y val="0.17946974847045677"/>
          <c:w val="0.77792058543304266"/>
          <c:h val="0.53840924541128476"/>
        </c:manualLayout>
      </c:layout>
      <c:lineChart>
        <c:grouping val="standard"/>
        <c:ser>
          <c:idx val="0"/>
          <c:order val="0"/>
          <c:dLbls>
            <c:delete val="1"/>
          </c:dLbls>
          <c:val>
            <c:numRef>
              <c:f>'Fund Cover Sheets'!$C$461:$K$461</c:f>
              <c:numCache>
                <c:formatCode>_(* #,##0_);_(* \(#,##0\);_(* "-"??_);_(@_)</c:formatCode>
                <c:ptCount val="9"/>
                <c:pt idx="0">
                  <c:v>825261</c:v>
                </c:pt>
                <c:pt idx="1">
                  <c:v>1300837</c:v>
                </c:pt>
                <c:pt idx="2">
                  <c:v>642452</c:v>
                </c:pt>
                <c:pt idx="3">
                  <c:v>1379272</c:v>
                </c:pt>
                <c:pt idx="4">
                  <c:v>1160768</c:v>
                </c:pt>
                <c:pt idx="5">
                  <c:v>296322</c:v>
                </c:pt>
                <c:pt idx="6">
                  <c:v>-713531</c:v>
                </c:pt>
                <c:pt idx="7">
                  <c:v>-1417857</c:v>
                </c:pt>
                <c:pt idx="8">
                  <c:v>-1549395</c:v>
                </c:pt>
              </c:numCache>
            </c:numRef>
          </c:val>
        </c:ser>
        <c:dLbls>
          <c:showVal val="1"/>
        </c:dLbls>
        <c:marker val="1"/>
        <c:axId val="123777024"/>
        <c:axId val="123778560"/>
      </c:lineChart>
      <c:catAx>
        <c:axId val="123777024"/>
        <c:scaling>
          <c:orientation val="minMax"/>
        </c:scaling>
        <c:axPos val="b"/>
        <c:tickLblPos val="none"/>
        <c:crossAx val="123778560"/>
        <c:crosses val="autoZero"/>
        <c:lblAlgn val="ctr"/>
        <c:lblOffset val="100"/>
        <c:tickMarkSkip val="1"/>
      </c:catAx>
      <c:valAx>
        <c:axId val="123778560"/>
        <c:scaling>
          <c:orientation val="minMax"/>
        </c:scaling>
        <c:axPos val="l"/>
        <c:numFmt formatCode="\$#,##0_);\(\$#,##0\)" sourceLinked="0"/>
        <c:tickLblPos val="nextTo"/>
        <c:txPr>
          <a:bodyPr rot="0" vert="horz"/>
          <a:lstStyle/>
          <a:p>
            <a:pPr>
              <a:defRPr/>
            </a:pPr>
            <a:endParaRPr lang="en-US"/>
          </a:p>
        </c:txPr>
        <c:crossAx val="123777024"/>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439209534891852"/>
          <c:y val="0.1640419947506562"/>
          <c:w val="0.77298743257979829"/>
          <c:h val="0.79527559055120001"/>
        </c:manualLayout>
      </c:layout>
      <c:lineChart>
        <c:grouping val="standard"/>
        <c:ser>
          <c:idx val="0"/>
          <c:order val="0"/>
          <c:val>
            <c:numRef>
              <c:f>'Gen Fd Cover Sheets'!$C$81:$K$81</c:f>
              <c:numCache>
                <c:formatCode>_(* #,##0_);_(* \(#,##0\);_(* "-"??_);_(@_)</c:formatCode>
                <c:ptCount val="9"/>
                <c:pt idx="0">
                  <c:v>83315</c:v>
                </c:pt>
                <c:pt idx="1">
                  <c:v>333</c:v>
                </c:pt>
                <c:pt idx="2">
                  <c:v>0</c:v>
                </c:pt>
                <c:pt idx="3">
                  <c:v>0</c:v>
                </c:pt>
                <c:pt idx="4">
                  <c:v>0</c:v>
                </c:pt>
                <c:pt idx="5">
                  <c:v>0</c:v>
                </c:pt>
                <c:pt idx="6">
                  <c:v>0</c:v>
                </c:pt>
                <c:pt idx="7">
                  <c:v>0</c:v>
                </c:pt>
                <c:pt idx="8">
                  <c:v>0</c:v>
                </c:pt>
              </c:numCache>
            </c:numRef>
          </c:val>
        </c:ser>
        <c:marker val="1"/>
        <c:axId val="93925376"/>
        <c:axId val="93928448"/>
      </c:lineChart>
      <c:catAx>
        <c:axId val="93925376"/>
        <c:scaling>
          <c:orientation val="minMax"/>
        </c:scaling>
        <c:delete val="1"/>
        <c:axPos val="b"/>
        <c:tickLblPos val="none"/>
        <c:crossAx val="93928448"/>
        <c:crosses val="autoZero"/>
        <c:auto val="1"/>
        <c:lblAlgn val="ctr"/>
        <c:lblOffset val="100"/>
      </c:catAx>
      <c:valAx>
        <c:axId val="93928448"/>
        <c:scaling>
          <c:orientation val="minMax"/>
          <c:min val="0"/>
        </c:scaling>
        <c:axPos val="l"/>
        <c:numFmt formatCode="\$#,##0_);\(\$#,##0\)" sourceLinked="0"/>
        <c:tickLblPos val="nextTo"/>
        <c:txPr>
          <a:bodyPr rot="0" vert="horz"/>
          <a:lstStyle/>
          <a:p>
            <a:pPr>
              <a:defRPr/>
            </a:pPr>
            <a:endParaRPr lang="en-US"/>
          </a:p>
        </c:txPr>
        <c:crossAx val="93925376"/>
        <c:crosses val="autoZero"/>
        <c:crossBetween val="between"/>
        <c:dispUnits>
          <c:builtInUnit val="thousands"/>
          <c:dispUnitsLbl>
            <c:layout>
              <c:manualLayout>
                <c:xMode val="edge"/>
                <c:yMode val="edge"/>
                <c:x val="0.15136286290850368"/>
                <c:y val="0.22965879265091863"/>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249960629925289"/>
          <c:y val="0.22514661347785561"/>
          <c:w val="0.7775003970307226"/>
          <c:h val="0.53840924541128476"/>
        </c:manualLayout>
      </c:layout>
      <c:lineChart>
        <c:grouping val="standard"/>
        <c:ser>
          <c:idx val="0"/>
          <c:order val="0"/>
          <c:dLbls>
            <c:delete val="1"/>
          </c:dLbls>
          <c:val>
            <c:numRef>
              <c:f>'Fund Cover Sheets'!$C$1001:$K$1001</c:f>
              <c:numCache>
                <c:formatCode>_(* #,##0_);_(* \(#,##0\);_(* "-"??_);_(@_)</c:formatCode>
                <c:ptCount val="9"/>
                <c:pt idx="0">
                  <c:v>5896901</c:v>
                </c:pt>
                <c:pt idx="1">
                  <c:v>8251614</c:v>
                </c:pt>
                <c:pt idx="2">
                  <c:v>6832127</c:v>
                </c:pt>
                <c:pt idx="3">
                  <c:v>10547746</c:v>
                </c:pt>
                <c:pt idx="4">
                  <c:v>7610562</c:v>
                </c:pt>
                <c:pt idx="5">
                  <c:v>9778587</c:v>
                </c:pt>
                <c:pt idx="6">
                  <c:v>3742310</c:v>
                </c:pt>
                <c:pt idx="7">
                  <c:v>714665</c:v>
                </c:pt>
                <c:pt idx="8">
                  <c:v>-249786</c:v>
                </c:pt>
              </c:numCache>
            </c:numRef>
          </c:val>
        </c:ser>
        <c:dLbls>
          <c:showVal val="1"/>
        </c:dLbls>
        <c:marker val="1"/>
        <c:axId val="123823616"/>
        <c:axId val="123825152"/>
      </c:lineChart>
      <c:catAx>
        <c:axId val="123823616"/>
        <c:scaling>
          <c:orientation val="minMax"/>
        </c:scaling>
        <c:axPos val="b"/>
        <c:tickLblPos val="none"/>
        <c:crossAx val="123825152"/>
        <c:crosses val="autoZero"/>
        <c:lblAlgn val="ctr"/>
        <c:lblOffset val="100"/>
        <c:tickMarkSkip val="1"/>
      </c:catAx>
      <c:valAx>
        <c:axId val="123825152"/>
        <c:scaling>
          <c:orientation val="minMax"/>
        </c:scaling>
        <c:axPos val="l"/>
        <c:numFmt formatCode="\$#,##0_);\(\$#,##0\)" sourceLinked="0"/>
        <c:tickLblPos val="nextTo"/>
        <c:txPr>
          <a:bodyPr rot="0" vert="horz"/>
          <a:lstStyle/>
          <a:p>
            <a:pPr>
              <a:defRPr/>
            </a:pPr>
            <a:endParaRPr lang="en-US"/>
          </a:p>
        </c:txPr>
        <c:crossAx val="123823616"/>
        <c:crosses val="autoZero"/>
        <c:crossBetween val="between"/>
        <c:dispUnits>
          <c:builtInUnit val="thousands"/>
          <c:dispUnitsLbl>
            <c:layout>
              <c:manualLayout>
                <c:xMode val="edge"/>
                <c:yMode val="edge"/>
                <c:x val="0.13842327257378204"/>
                <c:y val="0.19904545814209465"/>
              </c:manualLayout>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656062120348838"/>
          <c:y val="9.7421490655376728E-3"/>
        </c:manualLayout>
      </c:layout>
    </c:title>
    <c:plotArea>
      <c:layout>
        <c:manualLayout>
          <c:layoutTarget val="inner"/>
          <c:xMode val="edge"/>
          <c:yMode val="edge"/>
          <c:x val="0.22201220293137044"/>
          <c:y val="0.2062701961249819"/>
          <c:w val="0.77798779706863264"/>
          <c:h val="0.53840924541128476"/>
        </c:manualLayout>
      </c:layout>
      <c:lineChart>
        <c:grouping val="standard"/>
        <c:ser>
          <c:idx val="0"/>
          <c:order val="0"/>
          <c:dLbls>
            <c:delete val="1"/>
          </c:dLbls>
          <c:val>
            <c:numRef>
              <c:f>'Fund Cover Sheets'!$C$1059:$K$1059</c:f>
              <c:numCache>
                <c:formatCode>_(* #,##0_);_(* \(#,##0\);_(* "-"??_);_(@_)</c:formatCode>
                <c:ptCount val="9"/>
                <c:pt idx="0">
                  <c:v>317336</c:v>
                </c:pt>
                <c:pt idx="1">
                  <c:v>393804</c:v>
                </c:pt>
                <c:pt idx="2">
                  <c:v>370330</c:v>
                </c:pt>
                <c:pt idx="3">
                  <c:v>418984</c:v>
                </c:pt>
                <c:pt idx="4">
                  <c:v>409755</c:v>
                </c:pt>
                <c:pt idx="5">
                  <c:v>414621</c:v>
                </c:pt>
                <c:pt idx="6">
                  <c:v>407945</c:v>
                </c:pt>
                <c:pt idx="7">
                  <c:v>393258</c:v>
                </c:pt>
                <c:pt idx="8">
                  <c:v>395088</c:v>
                </c:pt>
              </c:numCache>
            </c:numRef>
          </c:val>
        </c:ser>
        <c:dLbls>
          <c:showVal val="1"/>
        </c:dLbls>
        <c:marker val="1"/>
        <c:axId val="123865728"/>
        <c:axId val="123888000"/>
      </c:lineChart>
      <c:catAx>
        <c:axId val="123865728"/>
        <c:scaling>
          <c:orientation val="minMax"/>
        </c:scaling>
        <c:axPos val="b"/>
        <c:tickLblPos val="none"/>
        <c:crossAx val="123888000"/>
        <c:crosses val="autoZero"/>
        <c:lblAlgn val="ctr"/>
        <c:lblOffset val="100"/>
        <c:tickMarkSkip val="1"/>
      </c:catAx>
      <c:valAx>
        <c:axId val="123888000"/>
        <c:scaling>
          <c:orientation val="minMax"/>
        </c:scaling>
        <c:axPos val="l"/>
        <c:numFmt formatCode="\$#,##0_);\(\$#,##0\)" sourceLinked="0"/>
        <c:tickLblPos val="nextTo"/>
        <c:txPr>
          <a:bodyPr rot="0" vert="horz"/>
          <a:lstStyle/>
          <a:p>
            <a:pPr>
              <a:defRPr/>
            </a:pPr>
            <a:endParaRPr lang="en-US"/>
          </a:p>
        </c:txPr>
        <c:crossAx val="123865728"/>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6503331314354939"/>
          <c:y val="0.17946974847045849"/>
          <c:w val="0.7349666868564505"/>
          <c:h val="0.53840924541128476"/>
        </c:manualLayout>
      </c:layout>
      <c:lineChart>
        <c:grouping val="standard"/>
        <c:ser>
          <c:idx val="0"/>
          <c:order val="0"/>
          <c:dLbls>
            <c:delete val="1"/>
          </c:dLbls>
          <c:val>
            <c:numRef>
              <c:f>'Fund Cover Sheets'!$C$1113:$K$1113</c:f>
              <c:numCache>
                <c:formatCode>_(* #,##0_);_(* \(#,##0\);_(* "-"??_);_(@_)</c:formatCode>
                <c:ptCount val="9"/>
                <c:pt idx="0">
                  <c:v>87914</c:v>
                </c:pt>
                <c:pt idx="1">
                  <c:v>122537</c:v>
                </c:pt>
                <c:pt idx="2">
                  <c:v>-159341</c:v>
                </c:pt>
                <c:pt idx="3">
                  <c:v>-83727</c:v>
                </c:pt>
                <c:pt idx="4">
                  <c:v>396622</c:v>
                </c:pt>
                <c:pt idx="5">
                  <c:v>291801</c:v>
                </c:pt>
                <c:pt idx="6">
                  <c:v>283724</c:v>
                </c:pt>
                <c:pt idx="7">
                  <c:v>275876</c:v>
                </c:pt>
                <c:pt idx="8">
                  <c:v>264569</c:v>
                </c:pt>
              </c:numCache>
            </c:numRef>
          </c:val>
        </c:ser>
        <c:dLbls>
          <c:showVal val="1"/>
        </c:dLbls>
        <c:marker val="1"/>
        <c:axId val="124674048"/>
        <c:axId val="124675584"/>
      </c:lineChart>
      <c:catAx>
        <c:axId val="124674048"/>
        <c:scaling>
          <c:orientation val="minMax"/>
        </c:scaling>
        <c:axPos val="b"/>
        <c:tickLblPos val="none"/>
        <c:crossAx val="124675584"/>
        <c:crosses val="autoZero"/>
        <c:lblAlgn val="ctr"/>
        <c:lblOffset val="100"/>
        <c:tickMarkSkip val="1"/>
      </c:catAx>
      <c:valAx>
        <c:axId val="124675584"/>
        <c:scaling>
          <c:orientation val="minMax"/>
        </c:scaling>
        <c:axPos val="l"/>
        <c:numFmt formatCode="\$#,##0_);\(\$#,##0\)" sourceLinked="0"/>
        <c:tickLblPos val="nextTo"/>
        <c:txPr>
          <a:bodyPr rot="0" vert="horz"/>
          <a:lstStyle/>
          <a:p>
            <a:pPr>
              <a:defRPr/>
            </a:pPr>
            <a:endParaRPr lang="en-US"/>
          </a:p>
        </c:txPr>
        <c:crossAx val="124674048"/>
        <c:crosses val="autoZero"/>
        <c:crossBetween val="between"/>
        <c:dispUnits>
          <c:builtInUnit val="thousands"/>
          <c:dispUnitsLbl>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204500643581149"/>
          <c:y val="0.13779527559055121"/>
          <c:w val="0.7779550293640356"/>
          <c:h val="0.79527559055120001"/>
        </c:manualLayout>
      </c:layout>
      <c:lineChart>
        <c:grouping val="standard"/>
        <c:ser>
          <c:idx val="0"/>
          <c:order val="0"/>
          <c:val>
            <c:numRef>
              <c:f>'Gen Fd Cover Sheets'!$C$112:$K$112</c:f>
              <c:numCache>
                <c:formatCode>_(* #,##0_);_(* \(#,##0\);_(* "-"??_);_(@_)</c:formatCode>
                <c:ptCount val="9"/>
                <c:pt idx="0">
                  <c:v>350767</c:v>
                </c:pt>
                <c:pt idx="1">
                  <c:v>102223</c:v>
                </c:pt>
                <c:pt idx="2">
                  <c:v>0</c:v>
                </c:pt>
                <c:pt idx="3">
                  <c:v>0</c:v>
                </c:pt>
                <c:pt idx="4">
                  <c:v>0</c:v>
                </c:pt>
                <c:pt idx="5">
                  <c:v>0</c:v>
                </c:pt>
                <c:pt idx="6">
                  <c:v>0</c:v>
                </c:pt>
                <c:pt idx="7">
                  <c:v>0</c:v>
                </c:pt>
                <c:pt idx="8">
                  <c:v>0</c:v>
                </c:pt>
              </c:numCache>
            </c:numRef>
          </c:val>
        </c:ser>
        <c:marker val="1"/>
        <c:axId val="96985088"/>
        <c:axId val="96987008"/>
      </c:lineChart>
      <c:catAx>
        <c:axId val="96985088"/>
        <c:scaling>
          <c:orientation val="minMax"/>
        </c:scaling>
        <c:delete val="1"/>
        <c:axPos val="b"/>
        <c:tickLblPos val="none"/>
        <c:crossAx val="96987008"/>
        <c:crosses val="autoZero"/>
        <c:auto val="1"/>
        <c:lblAlgn val="ctr"/>
        <c:lblOffset val="100"/>
      </c:catAx>
      <c:valAx>
        <c:axId val="96987008"/>
        <c:scaling>
          <c:orientation val="minMax"/>
          <c:min val="0"/>
        </c:scaling>
        <c:axPos val="l"/>
        <c:numFmt formatCode="\$#,##0_);\(\$#,##0\)" sourceLinked="0"/>
        <c:tickLblPos val="nextTo"/>
        <c:txPr>
          <a:bodyPr rot="0" vert="horz"/>
          <a:lstStyle/>
          <a:p>
            <a:pPr>
              <a:defRPr/>
            </a:pPr>
            <a:endParaRPr lang="en-US"/>
          </a:p>
        </c:txPr>
        <c:crossAx val="96985088"/>
        <c:crosses val="autoZero"/>
        <c:crossBetween val="between"/>
        <c:dispUnits>
          <c:builtInUnit val="thousands"/>
          <c:dispUnitsLbl>
            <c:layout>
              <c:manualLayout>
                <c:xMode val="edge"/>
                <c:yMode val="edge"/>
                <c:x val="0.1491304299220052"/>
                <c:y val="0.17716535433070871"/>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555422379970497"/>
          <c:y val="8.3758656673940224E-2"/>
          <c:w val="0.77410116164820064"/>
          <c:h val="0.8156606851549757"/>
        </c:manualLayout>
      </c:layout>
      <c:lineChart>
        <c:grouping val="stacked"/>
        <c:ser>
          <c:idx val="0"/>
          <c:order val="0"/>
          <c:val>
            <c:numRef>
              <c:f>'Gen Fd Cover Sheets'!$C$143:$K$143</c:f>
              <c:numCache>
                <c:formatCode>_(* #,##0_);_(* \(#,##0\);_(* "-"??_);_(@_)</c:formatCode>
                <c:ptCount val="9"/>
                <c:pt idx="0">
                  <c:v>2878820</c:v>
                </c:pt>
                <c:pt idx="1">
                  <c:v>2846420</c:v>
                </c:pt>
                <c:pt idx="2">
                  <c:v>3840577</c:v>
                </c:pt>
                <c:pt idx="3">
                  <c:v>3742426</c:v>
                </c:pt>
                <c:pt idx="4">
                  <c:v>4140047</c:v>
                </c:pt>
                <c:pt idx="5">
                  <c:v>4283218</c:v>
                </c:pt>
                <c:pt idx="6">
                  <c:v>4403125</c:v>
                </c:pt>
                <c:pt idx="7">
                  <c:v>4476640</c:v>
                </c:pt>
                <c:pt idx="8">
                  <c:v>4555196</c:v>
                </c:pt>
              </c:numCache>
            </c:numRef>
          </c:val>
        </c:ser>
        <c:marker val="1"/>
        <c:axId val="116111232"/>
        <c:axId val="116112768"/>
      </c:lineChart>
      <c:catAx>
        <c:axId val="116111232"/>
        <c:scaling>
          <c:orientation val="minMax"/>
        </c:scaling>
        <c:delete val="1"/>
        <c:axPos val="b"/>
        <c:numFmt formatCode="#,##0_);\(#,##0\)" sourceLinked="1"/>
        <c:tickLblPos val="none"/>
        <c:crossAx val="116112768"/>
        <c:crosses val="autoZero"/>
        <c:auto val="1"/>
        <c:lblAlgn val="ctr"/>
        <c:lblOffset val="100"/>
      </c:catAx>
      <c:valAx>
        <c:axId val="116112768"/>
        <c:scaling>
          <c:orientation val="minMax"/>
        </c:scaling>
        <c:axPos val="l"/>
        <c:numFmt formatCode="\$#,##0_);\(\$#,##0\)" sourceLinked="0"/>
        <c:tickLblPos val="nextTo"/>
        <c:txPr>
          <a:bodyPr rot="0" vert="horz"/>
          <a:lstStyle/>
          <a:p>
            <a:pPr>
              <a:defRPr/>
            </a:pPr>
            <a:endParaRPr lang="en-US"/>
          </a:p>
        </c:txPr>
        <c:crossAx val="116111232"/>
        <c:crosses val="autoZero"/>
        <c:crossBetween val="between"/>
        <c:dispUnits>
          <c:builtInUnit val="thousands"/>
          <c:dispUnitsLbl>
            <c:layout>
              <c:manualLayout>
                <c:xMode val="edge"/>
                <c:yMode val="edge"/>
                <c:x val="0.13727009359680714"/>
                <c:y val="0.20862294493318617"/>
              </c:manualLayout>
            </c:layout>
            <c:txPr>
              <a:bodyPr rot="-5400000" vert="horz"/>
              <a:lstStyle/>
              <a:p>
                <a:pPr>
                  <a:defRPr/>
                </a:pPr>
                <a:endParaRPr lang="en-US"/>
              </a:p>
            </c:txPr>
          </c:dispUnitsLbl>
        </c:dispUnits>
      </c:valAx>
    </c:plotArea>
    <c:plotVisOnly val="1"/>
    <c:dispBlanksAs val="zero"/>
  </c:chart>
  <c:printSettings>
    <c:headerFooter alignWithMargins="0"/>
    <c:pageMargins b="1" l="0.75000000000001465" r="0.75000000000001465" t="1" header="0.5" footer="0.5"/>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2811355042197792"/>
          <c:y val="0.1640419947506562"/>
          <c:w val="0.77188649815220001"/>
          <c:h val="0.79527559055120001"/>
        </c:manualLayout>
      </c:layout>
      <c:lineChart>
        <c:grouping val="standard"/>
        <c:ser>
          <c:idx val="0"/>
          <c:order val="0"/>
          <c:val>
            <c:numRef>
              <c:f>'Gen Fd Cover Sheets'!$C$179:$K$179</c:f>
              <c:numCache>
                <c:formatCode>_(* #,##0_);_(* \(#,##0\);_(* "-"??_);_(@_)</c:formatCode>
                <c:ptCount val="9"/>
                <c:pt idx="0">
                  <c:v>395291</c:v>
                </c:pt>
                <c:pt idx="1">
                  <c:v>307053</c:v>
                </c:pt>
                <c:pt idx="2">
                  <c:v>461426</c:v>
                </c:pt>
                <c:pt idx="3">
                  <c:v>399310</c:v>
                </c:pt>
                <c:pt idx="4">
                  <c:v>412328</c:v>
                </c:pt>
                <c:pt idx="5">
                  <c:v>419918</c:v>
                </c:pt>
                <c:pt idx="6">
                  <c:v>428347</c:v>
                </c:pt>
                <c:pt idx="7">
                  <c:v>434640</c:v>
                </c:pt>
                <c:pt idx="8">
                  <c:v>441269</c:v>
                </c:pt>
              </c:numCache>
            </c:numRef>
          </c:val>
        </c:ser>
        <c:marker val="1"/>
        <c:axId val="123416960"/>
        <c:axId val="123418880"/>
      </c:lineChart>
      <c:catAx>
        <c:axId val="123416960"/>
        <c:scaling>
          <c:orientation val="minMax"/>
        </c:scaling>
        <c:delete val="1"/>
        <c:axPos val="b"/>
        <c:tickLblPos val="none"/>
        <c:crossAx val="123418880"/>
        <c:crosses val="autoZero"/>
        <c:auto val="1"/>
        <c:lblAlgn val="ctr"/>
        <c:lblOffset val="100"/>
      </c:catAx>
      <c:valAx>
        <c:axId val="123418880"/>
        <c:scaling>
          <c:orientation val="minMax"/>
          <c:min val="0"/>
        </c:scaling>
        <c:axPos val="l"/>
        <c:numFmt formatCode="\$#,##0_);\(\$#,##0\)" sourceLinked="0"/>
        <c:tickLblPos val="nextTo"/>
        <c:txPr>
          <a:bodyPr rot="0" vert="horz"/>
          <a:lstStyle/>
          <a:p>
            <a:pPr>
              <a:defRPr/>
            </a:pPr>
            <a:endParaRPr lang="en-US"/>
          </a:p>
        </c:txPr>
        <c:crossAx val="123416960"/>
        <c:crosses val="autoZero"/>
        <c:crossBetween val="between"/>
        <c:dispUnits>
          <c:builtInUnit val="thousands"/>
          <c:dispUnitsLbl>
            <c:layout>
              <c:manualLayout>
                <c:xMode val="edge"/>
                <c:yMode val="edge"/>
                <c:x val="0.15047424170664456"/>
                <c:y val="0.19028871391076116"/>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0190385094280844"/>
          <c:y val="9.2177413634106503E-2"/>
          <c:w val="0.78985932633768163"/>
          <c:h val="0.80607414494849161"/>
        </c:manualLayout>
      </c:layout>
      <c:lineChart>
        <c:grouping val="standard"/>
        <c:ser>
          <c:idx val="0"/>
          <c:order val="0"/>
          <c:val>
            <c:numRef>
              <c:f>'Gen Fd Cover Sheets'!$C$210:$K$210</c:f>
              <c:numCache>
                <c:formatCode>_(* #,##0_);_(* \(#,##0\);_(* "-"??_);_(@_)</c:formatCode>
                <c:ptCount val="9"/>
                <c:pt idx="0">
                  <c:v>1788536</c:v>
                </c:pt>
                <c:pt idx="1">
                  <c:v>1703802</c:v>
                </c:pt>
                <c:pt idx="2">
                  <c:v>1920452</c:v>
                </c:pt>
                <c:pt idx="3">
                  <c:v>1761744</c:v>
                </c:pt>
                <c:pt idx="4">
                  <c:v>2105005</c:v>
                </c:pt>
                <c:pt idx="5">
                  <c:v>1968798</c:v>
                </c:pt>
                <c:pt idx="6">
                  <c:v>1992873</c:v>
                </c:pt>
                <c:pt idx="7">
                  <c:v>2013558</c:v>
                </c:pt>
                <c:pt idx="8">
                  <c:v>2036641</c:v>
                </c:pt>
              </c:numCache>
            </c:numRef>
          </c:val>
        </c:ser>
        <c:marker val="1"/>
        <c:axId val="123927168"/>
        <c:axId val="124703104"/>
      </c:lineChart>
      <c:catAx>
        <c:axId val="123927168"/>
        <c:scaling>
          <c:orientation val="minMax"/>
        </c:scaling>
        <c:delete val="1"/>
        <c:axPos val="b"/>
        <c:tickLblPos val="none"/>
        <c:crossAx val="124703104"/>
        <c:crosses val="autoZero"/>
        <c:auto val="1"/>
        <c:lblAlgn val="ctr"/>
        <c:lblOffset val="100"/>
      </c:catAx>
      <c:valAx>
        <c:axId val="124703104"/>
        <c:scaling>
          <c:orientation val="minMax"/>
        </c:scaling>
        <c:axPos val="l"/>
        <c:numFmt formatCode="\$#,##0_);\(\$#,##0\)" sourceLinked="0"/>
        <c:tickLblPos val="nextTo"/>
        <c:txPr>
          <a:bodyPr rot="0" vert="horz"/>
          <a:lstStyle/>
          <a:p>
            <a:pPr>
              <a:defRPr/>
            </a:pPr>
            <a:endParaRPr lang="en-US"/>
          </a:p>
        </c:txPr>
        <c:crossAx val="123927168"/>
        <c:crosses val="autoZero"/>
        <c:crossBetween val="between"/>
        <c:dispUnits>
          <c:builtInUnit val="thousands"/>
          <c:dispUnitsLbl>
            <c:layout>
              <c:manualLayout>
                <c:xMode val="edge"/>
                <c:yMode val="edge"/>
                <c:x val="0.11749695671602722"/>
                <c:y val="0.13159182804852088"/>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5234598557698207"/>
          <c:y val="8.9162123965274245E-2"/>
          <c:w val="0.74765403742221892"/>
          <c:h val="0.82398155265188866"/>
        </c:manualLayout>
      </c:layout>
      <c:lineChart>
        <c:grouping val="standard"/>
        <c:ser>
          <c:idx val="0"/>
          <c:order val="0"/>
          <c:val>
            <c:numRef>
              <c:f>'Gen Fd Cover Sheets'!$C$246:$K$246</c:f>
              <c:numCache>
                <c:formatCode>_(* #,##0_);_(* \(#,##0\);_(* "-"??_);_(@_)</c:formatCode>
                <c:ptCount val="9"/>
                <c:pt idx="0">
                  <c:v>4968723</c:v>
                </c:pt>
                <c:pt idx="1">
                  <c:v>5249123</c:v>
                </c:pt>
                <c:pt idx="2">
                  <c:v>4034550</c:v>
                </c:pt>
                <c:pt idx="3">
                  <c:v>3877957</c:v>
                </c:pt>
                <c:pt idx="4">
                  <c:v>6096431</c:v>
                </c:pt>
                <c:pt idx="5">
                  <c:v>4811837</c:v>
                </c:pt>
                <c:pt idx="6">
                  <c:v>5022311</c:v>
                </c:pt>
                <c:pt idx="7">
                  <c:v>6343138</c:v>
                </c:pt>
                <c:pt idx="8">
                  <c:v>5720385</c:v>
                </c:pt>
              </c:numCache>
            </c:numRef>
          </c:val>
        </c:ser>
        <c:marker val="1"/>
        <c:axId val="124871808"/>
        <c:axId val="124873344"/>
      </c:lineChart>
      <c:catAx>
        <c:axId val="124871808"/>
        <c:scaling>
          <c:orientation val="minMax"/>
        </c:scaling>
        <c:delete val="1"/>
        <c:axPos val="b"/>
        <c:tickLblPos val="none"/>
        <c:crossAx val="124873344"/>
        <c:crosses val="autoZero"/>
        <c:auto val="1"/>
        <c:lblAlgn val="ctr"/>
        <c:lblOffset val="100"/>
      </c:catAx>
      <c:valAx>
        <c:axId val="124873344"/>
        <c:scaling>
          <c:orientation val="minMax"/>
        </c:scaling>
        <c:axPos val="l"/>
        <c:numFmt formatCode="\$#,##0_);\(\$#,##0\)" sourceLinked="0"/>
        <c:tickLblPos val="nextTo"/>
        <c:txPr>
          <a:bodyPr rot="0" vert="horz"/>
          <a:lstStyle/>
          <a:p>
            <a:pPr>
              <a:defRPr/>
            </a:pPr>
            <a:endParaRPr lang="en-US"/>
          </a:p>
        </c:txPr>
        <c:crossAx val="124871808"/>
        <c:crosses val="autoZero"/>
        <c:crossBetween val="between"/>
        <c:dispUnits>
          <c:builtInUnit val="thousands"/>
          <c:dispUnitsLbl>
            <c:layout>
              <c:manualLayout>
                <c:xMode val="edge"/>
                <c:yMode val="edge"/>
                <c:x val="0.17527220196003246"/>
                <c:y val="0.17634161114476074"/>
              </c:manualLayout>
            </c:layout>
            <c:txPr>
              <a:bodyPr rot="-5400000" vert="horz"/>
              <a:lstStyle/>
              <a:p>
                <a:pPr>
                  <a:defRPr/>
                </a:pPr>
                <a:endParaRPr lang="en-US"/>
              </a:p>
            </c:txPr>
          </c:dispUnitsLbl>
        </c:dispUnits>
      </c:valAx>
    </c:plotArea>
    <c:plotVisOnly val="1"/>
    <c:dispBlanksAs val="gap"/>
  </c:chart>
  <c:printSettings>
    <c:headerFooter alignWithMargins="0"/>
    <c:pageMargins b="1" l="0.75000000000001465" r="0.75000000000001465" t="1" header="0.5" footer="0.5"/>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Fund Balance</a:t>
            </a:r>
          </a:p>
        </c:rich>
      </c:tx>
      <c:layout>
        <c:manualLayout>
          <c:xMode val="edge"/>
          <c:yMode val="edge"/>
          <c:x val="0.44497893301558838"/>
          <c:y val="4.9943330947267994E-2"/>
        </c:manualLayout>
      </c:layout>
    </c:title>
    <c:plotArea>
      <c:layout>
        <c:manualLayout>
          <c:layoutTarget val="inner"/>
          <c:xMode val="edge"/>
          <c:yMode val="edge"/>
          <c:x val="0.22249960629925289"/>
          <c:y val="0.22514661347785561"/>
          <c:w val="0.7775003970307226"/>
          <c:h val="0.53840924541128476"/>
        </c:manualLayout>
      </c:layout>
      <c:lineChart>
        <c:grouping val="standard"/>
        <c:ser>
          <c:idx val="0"/>
          <c:order val="0"/>
          <c:dLbls>
            <c:delete val="1"/>
          </c:dLbls>
          <c:val>
            <c:numRef>
              <c:f>'Fund Cover Sheets'!$C$39:$K$39</c:f>
              <c:numCache>
                <c:formatCode>_(* #,##0_);_(* \(#,##0\);_(* "-"??_);_(@_)</c:formatCode>
                <c:ptCount val="9"/>
                <c:pt idx="0">
                  <c:v>-271900</c:v>
                </c:pt>
                <c:pt idx="1">
                  <c:v>1270623</c:v>
                </c:pt>
                <c:pt idx="2">
                  <c:v>1596094</c:v>
                </c:pt>
                <c:pt idx="3">
                  <c:v>3423724</c:v>
                </c:pt>
                <c:pt idx="4">
                  <c:v>2541653</c:v>
                </c:pt>
                <c:pt idx="5">
                  <c:v>3043166</c:v>
                </c:pt>
                <c:pt idx="6">
                  <c:v>3336226</c:v>
                </c:pt>
                <c:pt idx="7">
                  <c:v>2351632</c:v>
                </c:pt>
                <c:pt idx="8">
                  <c:v>2089937</c:v>
                </c:pt>
              </c:numCache>
            </c:numRef>
          </c:val>
        </c:ser>
        <c:dLbls>
          <c:showVal val="1"/>
        </c:dLbls>
        <c:marker val="1"/>
        <c:axId val="124992512"/>
        <c:axId val="104231680"/>
      </c:lineChart>
      <c:catAx>
        <c:axId val="124992512"/>
        <c:scaling>
          <c:orientation val="minMax"/>
        </c:scaling>
        <c:axPos val="b"/>
        <c:tickLblPos val="none"/>
        <c:crossAx val="104231680"/>
        <c:crosses val="autoZero"/>
        <c:lblAlgn val="ctr"/>
        <c:lblOffset val="100"/>
        <c:tickMarkSkip val="1"/>
      </c:catAx>
      <c:valAx>
        <c:axId val="104231680"/>
        <c:scaling>
          <c:orientation val="minMax"/>
        </c:scaling>
        <c:axPos val="l"/>
        <c:numFmt formatCode="\$#,##0_);\(\$#,##0\)" sourceLinked="0"/>
        <c:tickLblPos val="nextTo"/>
        <c:txPr>
          <a:bodyPr rot="0" vert="horz"/>
          <a:lstStyle/>
          <a:p>
            <a:pPr>
              <a:defRPr/>
            </a:pPr>
            <a:endParaRPr lang="en-US"/>
          </a:p>
        </c:txPr>
        <c:crossAx val="124992512"/>
        <c:crosses val="autoZero"/>
        <c:crossBetween val="between"/>
        <c:dispUnits>
          <c:builtInUnit val="thousands"/>
          <c:dispUnitsLbl>
            <c:layout>
              <c:manualLayout>
                <c:xMode val="edge"/>
                <c:yMode val="edge"/>
                <c:x val="0.13842327257378204"/>
                <c:y val="0.19904545814209451"/>
              </c:manualLayout>
            </c:layout>
          </c:dispUnitsLbl>
        </c:dispUnits>
      </c:valAx>
    </c:plotArea>
    <c:plotVisOnly val="1"/>
    <c:dispBlanksAs val="gap"/>
  </c:chart>
  <c:printSettings>
    <c:headerFooter alignWithMargins="0"/>
    <c:pageMargins b="1" l="0.75000000000001465" r="0.75000000000001465" t="1" header="0.5" footer="0.5"/>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6.xml"/><Relationship Id="rId13" Type="http://schemas.openxmlformats.org/officeDocument/2006/relationships/chart" Target="../charts/chart21.xml"/><Relationship Id="rId18" Type="http://schemas.openxmlformats.org/officeDocument/2006/relationships/chart" Target="../charts/chart26.xml"/><Relationship Id="rId3" Type="http://schemas.openxmlformats.org/officeDocument/2006/relationships/chart" Target="../charts/chart11.xml"/><Relationship Id="rId21" Type="http://schemas.openxmlformats.org/officeDocument/2006/relationships/chart" Target="../charts/chart29.xml"/><Relationship Id="rId7" Type="http://schemas.openxmlformats.org/officeDocument/2006/relationships/chart" Target="../charts/chart15.xml"/><Relationship Id="rId12" Type="http://schemas.openxmlformats.org/officeDocument/2006/relationships/chart" Target="../charts/chart20.xml"/><Relationship Id="rId17" Type="http://schemas.openxmlformats.org/officeDocument/2006/relationships/chart" Target="../charts/chart25.xml"/><Relationship Id="rId2" Type="http://schemas.openxmlformats.org/officeDocument/2006/relationships/chart" Target="../charts/chart10.xml"/><Relationship Id="rId16" Type="http://schemas.openxmlformats.org/officeDocument/2006/relationships/chart" Target="../charts/chart24.xml"/><Relationship Id="rId20" Type="http://schemas.openxmlformats.org/officeDocument/2006/relationships/chart" Target="../charts/chart28.xml"/><Relationship Id="rId1" Type="http://schemas.openxmlformats.org/officeDocument/2006/relationships/chart" Target="../charts/chart9.xml"/><Relationship Id="rId6" Type="http://schemas.openxmlformats.org/officeDocument/2006/relationships/chart" Target="../charts/chart14.xml"/><Relationship Id="rId11" Type="http://schemas.openxmlformats.org/officeDocument/2006/relationships/chart" Target="../charts/chart19.xml"/><Relationship Id="rId24" Type="http://schemas.openxmlformats.org/officeDocument/2006/relationships/chart" Target="../charts/chart32.xml"/><Relationship Id="rId5" Type="http://schemas.openxmlformats.org/officeDocument/2006/relationships/chart" Target="../charts/chart13.xml"/><Relationship Id="rId15" Type="http://schemas.openxmlformats.org/officeDocument/2006/relationships/chart" Target="../charts/chart23.xml"/><Relationship Id="rId23" Type="http://schemas.openxmlformats.org/officeDocument/2006/relationships/chart" Target="../charts/chart31.xml"/><Relationship Id="rId10" Type="http://schemas.openxmlformats.org/officeDocument/2006/relationships/chart" Target="../charts/chart18.xml"/><Relationship Id="rId19" Type="http://schemas.openxmlformats.org/officeDocument/2006/relationships/chart" Target="../charts/chart27.xml"/><Relationship Id="rId4" Type="http://schemas.openxmlformats.org/officeDocument/2006/relationships/chart" Target="../charts/chart12.xml"/><Relationship Id="rId9" Type="http://schemas.openxmlformats.org/officeDocument/2006/relationships/chart" Target="../charts/chart17.xml"/><Relationship Id="rId14" Type="http://schemas.openxmlformats.org/officeDocument/2006/relationships/chart" Target="../charts/chart22.xml"/><Relationship Id="rId22"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1</xdr:col>
      <xdr:colOff>38099</xdr:colOff>
      <xdr:row>19</xdr:row>
      <xdr:rowOff>190500</xdr:rowOff>
    </xdr:from>
    <xdr:to>
      <xdr:col>10</xdr:col>
      <xdr:colOff>809625</xdr:colOff>
      <xdr:row>31</xdr:row>
      <xdr:rowOff>133350</xdr:rowOff>
    </xdr:to>
    <xdr:graphicFrame macro="">
      <xdr:nvGraphicFramePr>
        <xdr:cNvPr id="2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9523</xdr:colOff>
      <xdr:row>54</xdr:row>
      <xdr:rowOff>7620</xdr:rowOff>
    </xdr:from>
    <xdr:to>
      <xdr:col>10</xdr:col>
      <xdr:colOff>819150</xdr:colOff>
      <xdr:row>64</xdr:row>
      <xdr:rowOff>38100</xdr:rowOff>
    </xdr:to>
    <xdr:graphicFrame macro="">
      <xdr:nvGraphicFramePr>
        <xdr:cNvPr id="2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188594</xdr:colOff>
      <xdr:row>85</xdr:row>
      <xdr:rowOff>7620</xdr:rowOff>
    </xdr:from>
    <xdr:to>
      <xdr:col>11</xdr:col>
      <xdr:colOff>0</xdr:colOff>
      <xdr:row>95</xdr:row>
      <xdr:rowOff>38100</xdr:rowOff>
    </xdr:to>
    <xdr:graphicFrame macro="">
      <xdr:nvGraphicFramePr>
        <xdr:cNvPr id="2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7619</xdr:colOff>
      <xdr:row>116</xdr:row>
      <xdr:rowOff>7620</xdr:rowOff>
    </xdr:from>
    <xdr:to>
      <xdr:col>10</xdr:col>
      <xdr:colOff>819150</xdr:colOff>
      <xdr:row>126</xdr:row>
      <xdr:rowOff>38100</xdr:rowOff>
    </xdr:to>
    <xdr:graphicFrame macro="">
      <xdr:nvGraphicFramePr>
        <xdr:cNvPr id="3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209548</xdr:colOff>
      <xdr:row>146</xdr:row>
      <xdr:rowOff>160020</xdr:rowOff>
    </xdr:from>
    <xdr:to>
      <xdr:col>10</xdr:col>
      <xdr:colOff>847724</xdr:colOff>
      <xdr:row>160</xdr:row>
      <xdr:rowOff>22860</xdr:rowOff>
    </xdr:to>
    <xdr:graphicFrame macro="">
      <xdr:nvGraphicFramePr>
        <xdr:cNvPr id="3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188595</xdr:colOff>
      <xdr:row>183</xdr:row>
      <xdr:rowOff>7620</xdr:rowOff>
    </xdr:from>
    <xdr:to>
      <xdr:col>10</xdr:col>
      <xdr:colOff>838200</xdr:colOff>
      <xdr:row>193</xdr:row>
      <xdr:rowOff>38100</xdr:rowOff>
    </xdr:to>
    <xdr:graphicFrame macro="">
      <xdr:nvGraphicFramePr>
        <xdr:cNvPr id="3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251459</xdr:colOff>
      <xdr:row>214</xdr:row>
      <xdr:rowOff>182880</xdr:rowOff>
    </xdr:from>
    <xdr:to>
      <xdr:col>10</xdr:col>
      <xdr:colOff>838199</xdr:colOff>
      <xdr:row>226</xdr:row>
      <xdr:rowOff>152400</xdr:rowOff>
    </xdr:to>
    <xdr:graphicFrame macro="">
      <xdr:nvGraphicFramePr>
        <xdr:cNvPr id="3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209549</xdr:colOff>
      <xdr:row>250</xdr:row>
      <xdr:rowOff>0</xdr:rowOff>
    </xdr:from>
    <xdr:to>
      <xdr:col>10</xdr:col>
      <xdr:colOff>819150</xdr:colOff>
      <xdr:row>263</xdr:row>
      <xdr:rowOff>0</xdr:rowOff>
    </xdr:to>
    <xdr:graphicFrame macro="">
      <xdr:nvGraphicFramePr>
        <xdr:cNvPr id="3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28573</xdr:colOff>
      <xdr:row>43</xdr:row>
      <xdr:rowOff>6351</xdr:rowOff>
    </xdr:from>
    <xdr:to>
      <xdr:col>10</xdr:col>
      <xdr:colOff>838199</xdr:colOff>
      <xdr:row>53</xdr:row>
      <xdr:rowOff>47625</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87</xdr:row>
      <xdr:rowOff>0</xdr:rowOff>
    </xdr:from>
    <xdr:to>
      <xdr:col>2</xdr:col>
      <xdr:colOff>590550</xdr:colOff>
      <xdr:row>95</xdr:row>
      <xdr:rowOff>152400</xdr:rowOff>
    </xdr:to>
    <xdr:graphicFrame macro="">
      <xdr:nvGraphicFramePr>
        <xdr:cNvPr id="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86</xdr:row>
      <xdr:rowOff>190499</xdr:rowOff>
    </xdr:from>
    <xdr:to>
      <xdr:col>10</xdr:col>
      <xdr:colOff>838200</xdr:colOff>
      <xdr:row>96</xdr:row>
      <xdr:rowOff>180974</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923924</xdr:colOff>
      <xdr:row>130</xdr:row>
      <xdr:rowOff>123825</xdr:rowOff>
    </xdr:from>
    <xdr:to>
      <xdr:col>10</xdr:col>
      <xdr:colOff>838200</xdr:colOff>
      <xdr:row>140</xdr:row>
      <xdr:rowOff>123824</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177</xdr:row>
      <xdr:rowOff>38099</xdr:rowOff>
    </xdr:from>
    <xdr:to>
      <xdr:col>10</xdr:col>
      <xdr:colOff>828675</xdr:colOff>
      <xdr:row>188</xdr:row>
      <xdr:rowOff>28574</xdr:rowOff>
    </xdr:to>
    <xdr:graphicFrame macro="">
      <xdr:nvGraphicFramePr>
        <xdr:cNvPr id="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221</xdr:row>
      <xdr:rowOff>0</xdr:rowOff>
    </xdr:from>
    <xdr:to>
      <xdr:col>2</xdr:col>
      <xdr:colOff>590550</xdr:colOff>
      <xdr:row>229</xdr:row>
      <xdr:rowOff>152400</xdr:rowOff>
    </xdr:to>
    <xdr:graphicFrame macro="">
      <xdr:nvGraphicFramePr>
        <xdr:cNvPr id="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220</xdr:row>
      <xdr:rowOff>190499</xdr:rowOff>
    </xdr:from>
    <xdr:to>
      <xdr:col>10</xdr:col>
      <xdr:colOff>809625</xdr:colOff>
      <xdr:row>230</xdr:row>
      <xdr:rowOff>161924</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28576</xdr:colOff>
      <xdr:row>519</xdr:row>
      <xdr:rowOff>66674</xdr:rowOff>
    </xdr:from>
    <xdr:to>
      <xdr:col>10</xdr:col>
      <xdr:colOff>790575</xdr:colOff>
      <xdr:row>529</xdr:row>
      <xdr:rowOff>57149</xdr:rowOff>
    </xdr:to>
    <xdr:graphicFrame macro="">
      <xdr:nvGraphicFramePr>
        <xdr:cNvPr id="1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228600</xdr:colOff>
      <xdr:row>563</xdr:row>
      <xdr:rowOff>152399</xdr:rowOff>
    </xdr:from>
    <xdr:to>
      <xdr:col>10</xdr:col>
      <xdr:colOff>781050</xdr:colOff>
      <xdr:row>573</xdr:row>
      <xdr:rowOff>142874</xdr:rowOff>
    </xdr:to>
    <xdr:graphicFrame macro="">
      <xdr:nvGraphicFramePr>
        <xdr:cNvPr id="1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228599</xdr:colOff>
      <xdr:row>615</xdr:row>
      <xdr:rowOff>95250</xdr:rowOff>
    </xdr:from>
    <xdr:to>
      <xdr:col>10</xdr:col>
      <xdr:colOff>838200</xdr:colOff>
      <xdr:row>625</xdr:row>
      <xdr:rowOff>85724</xdr:rowOff>
    </xdr:to>
    <xdr:graphicFrame macro="">
      <xdr:nvGraphicFramePr>
        <xdr:cNvPr id="1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247649</xdr:colOff>
      <xdr:row>663</xdr:row>
      <xdr:rowOff>76199</xdr:rowOff>
    </xdr:from>
    <xdr:to>
      <xdr:col>10</xdr:col>
      <xdr:colOff>761999</xdr:colOff>
      <xdr:row>673</xdr:row>
      <xdr:rowOff>76199</xdr:rowOff>
    </xdr:to>
    <xdr:graphicFrame macro="">
      <xdr:nvGraphicFramePr>
        <xdr:cNvPr id="16"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12699</xdr:colOff>
      <xdr:row>719</xdr:row>
      <xdr:rowOff>82549</xdr:rowOff>
    </xdr:from>
    <xdr:to>
      <xdr:col>10</xdr:col>
      <xdr:colOff>828675</xdr:colOff>
      <xdr:row>730</xdr:row>
      <xdr:rowOff>50800</xdr:rowOff>
    </xdr:to>
    <xdr:graphicFrame macro="">
      <xdr:nvGraphicFramePr>
        <xdr:cNvPr id="1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247649</xdr:colOff>
      <xdr:row>765</xdr:row>
      <xdr:rowOff>95249</xdr:rowOff>
    </xdr:from>
    <xdr:to>
      <xdr:col>10</xdr:col>
      <xdr:colOff>800100</xdr:colOff>
      <xdr:row>775</xdr:row>
      <xdr:rowOff>95249</xdr:rowOff>
    </xdr:to>
    <xdr:graphicFrame macro="">
      <xdr:nvGraphicFramePr>
        <xdr:cNvPr id="1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238125</xdr:colOff>
      <xdr:row>813</xdr:row>
      <xdr:rowOff>152399</xdr:rowOff>
    </xdr:from>
    <xdr:to>
      <xdr:col>10</xdr:col>
      <xdr:colOff>800100</xdr:colOff>
      <xdr:row>823</xdr:row>
      <xdr:rowOff>152399</xdr:rowOff>
    </xdr:to>
    <xdr:graphicFrame macro="">
      <xdr:nvGraphicFramePr>
        <xdr:cNvPr id="1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238125</xdr:colOff>
      <xdr:row>859</xdr:row>
      <xdr:rowOff>133349</xdr:rowOff>
    </xdr:from>
    <xdr:to>
      <xdr:col>10</xdr:col>
      <xdr:colOff>781049</xdr:colOff>
      <xdr:row>869</xdr:row>
      <xdr:rowOff>142874</xdr:rowOff>
    </xdr:to>
    <xdr:graphicFrame macro="">
      <xdr:nvGraphicFramePr>
        <xdr:cNvPr id="2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228601</xdr:colOff>
      <xdr:row>903</xdr:row>
      <xdr:rowOff>9524</xdr:rowOff>
    </xdr:from>
    <xdr:to>
      <xdr:col>10</xdr:col>
      <xdr:colOff>781050</xdr:colOff>
      <xdr:row>913</xdr:row>
      <xdr:rowOff>47624</xdr:rowOff>
    </xdr:to>
    <xdr:graphicFrame macro="">
      <xdr:nvGraphicFramePr>
        <xdr:cNvPr id="2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9526</xdr:colOff>
      <xdr:row>946</xdr:row>
      <xdr:rowOff>28574</xdr:rowOff>
    </xdr:from>
    <xdr:to>
      <xdr:col>10</xdr:col>
      <xdr:colOff>809625</xdr:colOff>
      <xdr:row>955</xdr:row>
      <xdr:rowOff>95249</xdr:rowOff>
    </xdr:to>
    <xdr:graphicFrame macro="">
      <xdr:nvGraphicFramePr>
        <xdr:cNvPr id="2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0</xdr:col>
      <xdr:colOff>247649</xdr:colOff>
      <xdr:row>410</xdr:row>
      <xdr:rowOff>95249</xdr:rowOff>
    </xdr:from>
    <xdr:to>
      <xdr:col>10</xdr:col>
      <xdr:colOff>790575</xdr:colOff>
      <xdr:row>420</xdr:row>
      <xdr:rowOff>38099</xdr:rowOff>
    </xdr:to>
    <xdr:graphicFrame macro="">
      <xdr:nvGraphicFramePr>
        <xdr:cNvPr id="2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238125</xdr:colOff>
      <xdr:row>279</xdr:row>
      <xdr:rowOff>114300</xdr:rowOff>
    </xdr:from>
    <xdr:to>
      <xdr:col>10</xdr:col>
      <xdr:colOff>800100</xdr:colOff>
      <xdr:row>291</xdr:row>
      <xdr:rowOff>47625</xdr:rowOff>
    </xdr:to>
    <xdr:graphicFrame macro="">
      <xdr:nvGraphicFramePr>
        <xdr:cNvPr id="2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365</xdr:row>
      <xdr:rowOff>0</xdr:rowOff>
    </xdr:from>
    <xdr:to>
      <xdr:col>10</xdr:col>
      <xdr:colOff>809625</xdr:colOff>
      <xdr:row>374</xdr:row>
      <xdr:rowOff>161925</xdr:rowOff>
    </xdr:to>
    <xdr:graphicFrame macro="">
      <xdr:nvGraphicFramePr>
        <xdr:cNvPr id="2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465</xdr:row>
      <xdr:rowOff>0</xdr:rowOff>
    </xdr:from>
    <xdr:to>
      <xdr:col>10</xdr:col>
      <xdr:colOff>790576</xdr:colOff>
      <xdr:row>474</xdr:row>
      <xdr:rowOff>133350</xdr:rowOff>
    </xdr:to>
    <xdr:graphicFrame macro="">
      <xdr:nvGraphicFramePr>
        <xdr:cNvPr id="3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28573</xdr:colOff>
      <xdr:row>1005</xdr:row>
      <xdr:rowOff>6351</xdr:rowOff>
    </xdr:from>
    <xdr:to>
      <xdr:col>10</xdr:col>
      <xdr:colOff>838199</xdr:colOff>
      <xdr:row>1015</xdr:row>
      <xdr:rowOff>47625</xdr:rowOff>
    </xdr:to>
    <xdr:graphicFrame macro="">
      <xdr:nvGraphicFramePr>
        <xdr:cNvPr id="3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12699</xdr:colOff>
      <xdr:row>1063</xdr:row>
      <xdr:rowOff>82549</xdr:rowOff>
    </xdr:from>
    <xdr:to>
      <xdr:col>10</xdr:col>
      <xdr:colOff>828675</xdr:colOff>
      <xdr:row>1074</xdr:row>
      <xdr:rowOff>50800</xdr:rowOff>
    </xdr:to>
    <xdr:graphicFrame macro="">
      <xdr:nvGraphicFramePr>
        <xdr:cNvPr id="3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228599</xdr:colOff>
      <xdr:row>1117</xdr:row>
      <xdr:rowOff>95250</xdr:rowOff>
    </xdr:from>
    <xdr:to>
      <xdr:col>10</xdr:col>
      <xdr:colOff>838200</xdr:colOff>
      <xdr:row>1127</xdr:row>
      <xdr:rowOff>85724</xdr:rowOff>
    </xdr:to>
    <xdr:graphicFrame macro="">
      <xdr:nvGraphicFramePr>
        <xdr:cNvPr id="3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O107"/>
  <sheetViews>
    <sheetView zoomScaleNormal="100" workbookViewId="0">
      <selection activeCell="M1" sqref="M1:P1048576"/>
    </sheetView>
  </sheetViews>
  <sheetFormatPr defaultColWidth="10.42578125" defaultRowHeight="15"/>
  <cols>
    <col min="1" max="1" width="3.7109375" style="1" customWidth="1"/>
    <col min="2" max="2" width="25.5703125" style="1" customWidth="1"/>
    <col min="3" max="11" width="12.7109375" style="1" customWidth="1"/>
    <col min="12" max="12" width="10.42578125" style="1"/>
    <col min="13" max="13" width="14.85546875" style="1" hidden="1" customWidth="1"/>
    <col min="14" max="14" width="23.42578125" style="1" hidden="1" customWidth="1"/>
    <col min="15" max="15" width="12.28515625" style="1" hidden="1" customWidth="1"/>
    <col min="16" max="16" width="0" style="1" hidden="1" customWidth="1"/>
    <col min="17" max="16384" width="10.42578125" style="1"/>
  </cols>
  <sheetData>
    <row r="1" spans="1:15" s="78" customFormat="1" ht="24" customHeight="1">
      <c r="B1" s="519" t="s">
        <v>1113</v>
      </c>
      <c r="C1" s="519"/>
      <c r="D1" s="519"/>
      <c r="E1" s="519"/>
      <c r="F1" s="519"/>
      <c r="G1" s="519"/>
      <c r="H1" s="519"/>
      <c r="I1" s="519"/>
      <c r="J1" s="519"/>
      <c r="K1" s="519"/>
    </row>
    <row r="2" spans="1:15" s="78" customFormat="1" ht="24" customHeight="1">
      <c r="B2" s="520" t="s">
        <v>1114</v>
      </c>
      <c r="C2" s="520"/>
      <c r="D2" s="520"/>
      <c r="E2" s="520"/>
      <c r="F2" s="520"/>
      <c r="G2" s="520"/>
      <c r="H2" s="520"/>
      <c r="I2" s="520"/>
      <c r="J2" s="520"/>
      <c r="K2" s="520"/>
    </row>
    <row r="3" spans="1:15" s="78" customFormat="1" ht="24" customHeight="1">
      <c r="B3" s="519" t="s">
        <v>1228</v>
      </c>
      <c r="C3" s="519"/>
      <c r="D3" s="519"/>
      <c r="E3" s="519"/>
      <c r="F3" s="519"/>
      <c r="G3" s="519"/>
      <c r="H3" s="519"/>
      <c r="I3" s="519"/>
      <c r="J3" s="519"/>
      <c r="K3" s="519"/>
    </row>
    <row r="4" spans="1:15" ht="15" customHeight="1">
      <c r="A4" s="79"/>
    </row>
    <row r="5" spans="1:15" ht="15" customHeight="1">
      <c r="A5" s="79"/>
      <c r="B5" s="79"/>
      <c r="C5" s="80"/>
      <c r="D5" s="80"/>
      <c r="E5" s="81" t="s">
        <v>312</v>
      </c>
      <c r="F5" s="80"/>
    </row>
    <row r="6" spans="1:15" ht="15" customHeight="1">
      <c r="C6" s="80" t="s">
        <v>23</v>
      </c>
      <c r="D6" s="80" t="s">
        <v>253</v>
      </c>
      <c r="E6" s="62" t="s">
        <v>1045</v>
      </c>
      <c r="F6" s="81" t="s">
        <v>312</v>
      </c>
      <c r="G6" s="81" t="s">
        <v>313</v>
      </c>
      <c r="H6" s="81" t="s">
        <v>329</v>
      </c>
      <c r="I6" s="81" t="s">
        <v>332</v>
      </c>
      <c r="J6" s="81" t="s">
        <v>333</v>
      </c>
      <c r="K6" s="81" t="s">
        <v>1224</v>
      </c>
    </row>
    <row r="7" spans="1:15" ht="15" customHeight="1" thickBot="1">
      <c r="B7" s="82" t="s">
        <v>1115</v>
      </c>
      <c r="C7" s="83" t="s">
        <v>1</v>
      </c>
      <c r="D7" s="83" t="s">
        <v>1</v>
      </c>
      <c r="E7" s="83" t="s">
        <v>987</v>
      </c>
      <c r="F7" s="83" t="s">
        <v>24</v>
      </c>
      <c r="G7" s="83" t="s">
        <v>1045</v>
      </c>
      <c r="H7" s="83" t="s">
        <v>24</v>
      </c>
      <c r="I7" s="83" t="s">
        <v>24</v>
      </c>
      <c r="J7" s="83" t="s">
        <v>24</v>
      </c>
      <c r="K7" s="83" t="s">
        <v>24</v>
      </c>
    </row>
    <row r="8" spans="1:15" ht="15" customHeight="1">
      <c r="B8" s="84"/>
      <c r="C8" s="85"/>
      <c r="D8" s="85"/>
      <c r="E8" s="85"/>
      <c r="F8" s="85"/>
      <c r="G8" s="85"/>
      <c r="H8" s="85"/>
      <c r="I8" s="85"/>
      <c r="J8" s="85"/>
      <c r="M8" s="147" t="s">
        <v>1456</v>
      </c>
      <c r="N8" s="147" t="s">
        <v>1455</v>
      </c>
      <c r="O8" s="147" t="s">
        <v>1445</v>
      </c>
    </row>
    <row r="9" spans="1:15" ht="24" customHeight="1">
      <c r="A9" s="86" t="s">
        <v>1116</v>
      </c>
      <c r="C9" s="2">
        <f>'Budget Detail FY 2013-18'!N69</f>
        <v>11517961</v>
      </c>
      <c r="D9" s="2">
        <f>'Budget Detail FY 2013-18'!O69</f>
        <v>12511852</v>
      </c>
      <c r="E9" s="2">
        <f>'Budget Detail FY 2013-18'!P69</f>
        <v>12311109</v>
      </c>
      <c r="F9" s="2">
        <f>'Budget Detail FY 2013-18'!Q69</f>
        <v>13028337</v>
      </c>
      <c r="G9" s="2">
        <f>'Budget Detail FY 2013-18'!R69</f>
        <v>13009489</v>
      </c>
      <c r="H9" s="2">
        <f>'Budget Detail FY 2013-18'!S69</f>
        <v>13149788</v>
      </c>
      <c r="I9" s="2">
        <f>'Budget Detail FY 2013-18'!T69</f>
        <v>13330233</v>
      </c>
      <c r="J9" s="2">
        <f>'Budget Detail FY 2013-18'!U69</f>
        <v>13491731</v>
      </c>
      <c r="K9" s="2">
        <f>'Budget Detail FY 2013-18'!V69</f>
        <v>13720471</v>
      </c>
      <c r="M9" s="2">
        <f>SUM(C9:L9)</f>
        <v>116070971</v>
      </c>
      <c r="N9" s="2">
        <f>SUM('Fund Cover Sheets'!C20:K20)</f>
        <v>116070971</v>
      </c>
      <c r="O9" s="103">
        <f>M9-N9</f>
        <v>0</v>
      </c>
    </row>
    <row r="10" spans="1:15" ht="15" customHeight="1">
      <c r="A10" s="86"/>
      <c r="C10" s="2"/>
      <c r="D10" s="2"/>
      <c r="E10" s="2"/>
      <c r="F10" s="2"/>
      <c r="G10" s="2"/>
      <c r="H10" s="2"/>
      <c r="I10" s="2"/>
      <c r="J10" s="2"/>
      <c r="K10" s="2"/>
      <c r="M10" s="2"/>
      <c r="N10" s="2"/>
    </row>
    <row r="11" spans="1:15" ht="24" customHeight="1">
      <c r="A11" s="86" t="s">
        <v>1117</v>
      </c>
      <c r="C11" s="2"/>
      <c r="D11" s="2"/>
      <c r="E11" s="2"/>
      <c r="F11" s="2"/>
      <c r="G11" s="2"/>
      <c r="H11" s="2"/>
      <c r="I11" s="2"/>
      <c r="J11" s="2"/>
      <c r="K11" s="2"/>
      <c r="M11" s="2"/>
      <c r="N11" s="2"/>
    </row>
    <row r="12" spans="1:15" ht="24" customHeight="1">
      <c r="A12" s="86"/>
      <c r="B12" s="1" t="s">
        <v>1019</v>
      </c>
      <c r="C12" s="2">
        <f>'Budget Detail FY 2013-18'!N381</f>
        <v>687269</v>
      </c>
      <c r="D12" s="2">
        <f>'Budget Detail FY 2013-18'!O381</f>
        <v>560598</v>
      </c>
      <c r="E12" s="2">
        <f>'Budget Detail FY 2013-18'!P381</f>
        <v>454547</v>
      </c>
      <c r="F12" s="2">
        <f>'Budget Detail FY 2013-18'!Q381</f>
        <v>525743</v>
      </c>
      <c r="G12" s="2">
        <f>'Budget Detail FY 2013-18'!R381</f>
        <v>944000</v>
      </c>
      <c r="H12" s="2">
        <f>'Budget Detail FY 2013-18'!S381</f>
        <v>456000</v>
      </c>
      <c r="I12" s="2">
        <f>'Budget Detail FY 2013-18'!T381</f>
        <v>455500</v>
      </c>
      <c r="J12" s="2">
        <f>'Budget Detail FY 2013-18'!U381</f>
        <v>460500</v>
      </c>
      <c r="K12" s="2">
        <f>'Budget Detail FY 2013-18'!V381</f>
        <v>460500</v>
      </c>
      <c r="M12" s="2">
        <f t="shared" ref="M12:M19" si="0">SUM(C12:L12)</f>
        <v>5004657</v>
      </c>
      <c r="N12" s="2">
        <f>SUM('Fund Cover Sheets'!C157:K157)</f>
        <v>5004657</v>
      </c>
      <c r="O12" s="103">
        <f t="shared" ref="O12:O19" si="1">M12-N12</f>
        <v>0</v>
      </c>
    </row>
    <row r="13" spans="1:15" ht="24" customHeight="1">
      <c r="A13" s="87"/>
      <c r="B13" s="84" t="s">
        <v>1118</v>
      </c>
      <c r="C13" s="88">
        <f>'Budget Detail FY 2013-18'!N823</f>
        <v>1367262</v>
      </c>
      <c r="D13" s="88">
        <f>'Budget Detail FY 2013-18'!O823</f>
        <v>1199608</v>
      </c>
      <c r="E13" s="88">
        <f>'Budget Detail FY 2013-18'!P823</f>
        <v>1451447</v>
      </c>
      <c r="F13" s="88">
        <f>'Budget Detail FY 2013-18'!Q823</f>
        <v>1419136</v>
      </c>
      <c r="G13" s="88">
        <f>'Budget Detail FY 2013-18'!R823</f>
        <v>2228704</v>
      </c>
      <c r="H13" s="88">
        <f>'Budget Detail FY 2013-18'!S823</f>
        <v>1573311</v>
      </c>
      <c r="I13" s="88">
        <f>'Budget Detail FY 2013-18'!T823</f>
        <v>1655908</v>
      </c>
      <c r="J13" s="88">
        <f>'Budget Detail FY 2013-18'!U823</f>
        <v>1680269</v>
      </c>
      <c r="K13" s="88">
        <f>'Budget Detail FY 2013-18'!V823</f>
        <v>1702344</v>
      </c>
      <c r="M13" s="2">
        <f t="shared" si="0"/>
        <v>14277989</v>
      </c>
      <c r="N13" s="2">
        <f>SUM('Fund Cover Sheets'!C593:K593)</f>
        <v>14277989</v>
      </c>
      <c r="O13" s="103">
        <f t="shared" si="1"/>
        <v>0</v>
      </c>
    </row>
    <row r="14" spans="1:15" ht="24" customHeight="1">
      <c r="A14" s="87"/>
      <c r="B14" s="84" t="s">
        <v>860</v>
      </c>
      <c r="C14" s="88">
        <f>'Budget Detail FY 2013-18'!N786</f>
        <v>474639</v>
      </c>
      <c r="D14" s="88">
        <f>'Budget Detail FY 2013-18'!O786</f>
        <v>430767</v>
      </c>
      <c r="E14" s="88">
        <f>'Budget Detail FY 2013-18'!P786</f>
        <v>420500</v>
      </c>
      <c r="F14" s="88">
        <f>'Budget Detail FY 2013-18'!Q786</f>
        <v>452106</v>
      </c>
      <c r="G14" s="88">
        <f>'Budget Detail FY 2013-18'!R786</f>
        <v>166500</v>
      </c>
      <c r="H14" s="88">
        <f>'Budget Detail FY 2013-18'!S786</f>
        <v>23000</v>
      </c>
      <c r="I14" s="88">
        <f>'Budget Detail FY 2013-18'!T786</f>
        <v>23000</v>
      </c>
      <c r="J14" s="88">
        <f>'Budget Detail FY 2013-18'!U786</f>
        <v>423000</v>
      </c>
      <c r="K14" s="88">
        <f>'Budget Detail FY 2013-18'!V786</f>
        <v>23000</v>
      </c>
      <c r="M14" s="2">
        <f t="shared" si="0"/>
        <v>2436512</v>
      </c>
      <c r="N14" s="2">
        <f>SUM('Fund Cover Sheets'!C545:K545)</f>
        <v>2436512</v>
      </c>
      <c r="O14" s="103">
        <f t="shared" si="1"/>
        <v>0</v>
      </c>
    </row>
    <row r="15" spans="1:15" ht="24" customHeight="1">
      <c r="A15" s="87"/>
      <c r="B15" s="84" t="s">
        <v>984</v>
      </c>
      <c r="C15" s="88">
        <f>'Budget Detail FY 2013-18'!N1088</f>
        <v>228359</v>
      </c>
      <c r="D15" s="88">
        <f>'Budget Detail FY 2013-18'!O1088</f>
        <v>259327</v>
      </c>
      <c r="E15" s="88">
        <f>'Budget Detail FY 2013-18'!P1088</f>
        <v>0</v>
      </c>
      <c r="F15" s="88">
        <f>'Budget Detail FY 2013-18'!Q1088</f>
        <v>0</v>
      </c>
      <c r="G15" s="88">
        <f>'Budget Detail FY 2013-18'!R1088</f>
        <v>0</v>
      </c>
      <c r="H15" s="88">
        <f>'Budget Detail FY 2013-18'!S1088</f>
        <v>0</v>
      </c>
      <c r="I15" s="88">
        <f>'Budget Detail FY 2013-18'!T1088</f>
        <v>0</v>
      </c>
      <c r="J15" s="88">
        <f>'Budget Detail FY 2013-18'!U1088</f>
        <v>0</v>
      </c>
      <c r="K15" s="88">
        <f>'Budget Detail FY 2013-18'!V1088</f>
        <v>0</v>
      </c>
      <c r="M15" s="2">
        <f t="shared" si="0"/>
        <v>487686</v>
      </c>
      <c r="N15" s="2">
        <f>SUM('Fund Cover Sheets'!C838:K838)</f>
        <v>487686</v>
      </c>
      <c r="O15" s="103">
        <f t="shared" si="1"/>
        <v>0</v>
      </c>
    </row>
    <row r="16" spans="1:15" ht="24" customHeight="1">
      <c r="A16" s="87"/>
      <c r="B16" s="84" t="s">
        <v>747</v>
      </c>
      <c r="C16" s="88">
        <f>'Budget Detail FY 2013-18'!N1110</f>
        <v>9506</v>
      </c>
      <c r="D16" s="88">
        <f>'Budget Detail FY 2013-18'!O1110</f>
        <v>6906</v>
      </c>
      <c r="E16" s="88">
        <f>'Budget Detail FY 2013-18'!P1110</f>
        <v>6500</v>
      </c>
      <c r="F16" s="88">
        <f>'Budget Detail FY 2013-18'!Q1110</f>
        <v>3100</v>
      </c>
      <c r="G16" s="88">
        <f>'Budget Detail FY 2013-18'!R1110</f>
        <v>1550</v>
      </c>
      <c r="H16" s="88">
        <f>'Budget Detail FY 2013-18'!S1110</f>
        <v>0</v>
      </c>
      <c r="I16" s="88">
        <f>'Budget Detail FY 2013-18'!T1110</f>
        <v>100000</v>
      </c>
      <c r="J16" s="88">
        <f>'Budget Detail FY 2013-18'!U1110</f>
        <v>100000</v>
      </c>
      <c r="K16" s="88">
        <f>'Budget Detail FY 2013-18'!V1110</f>
        <v>100000</v>
      </c>
      <c r="M16" s="2">
        <f t="shared" si="0"/>
        <v>327562</v>
      </c>
      <c r="N16" s="2">
        <f>SUM('Fund Cover Sheets'!C884:K884)</f>
        <v>327562</v>
      </c>
      <c r="O16" s="103">
        <f t="shared" si="1"/>
        <v>0</v>
      </c>
    </row>
    <row r="17" spans="1:15" ht="24" customHeight="1">
      <c r="A17" s="87"/>
      <c r="B17" s="84" t="s">
        <v>755</v>
      </c>
      <c r="C17" s="88">
        <f>'Budget Detail FY 2013-18'!N1133</f>
        <v>75362</v>
      </c>
      <c r="D17" s="88">
        <f>'Budget Detail FY 2013-18'!O1133</f>
        <v>67933</v>
      </c>
      <c r="E17" s="88">
        <f>'Budget Detail FY 2013-18'!P1133</f>
        <v>70150</v>
      </c>
      <c r="F17" s="88">
        <f>'Budget Detail FY 2013-18'!Q1133</f>
        <v>40330</v>
      </c>
      <c r="G17" s="88">
        <f>'Budget Detail FY 2013-18'!R1133</f>
        <v>35350</v>
      </c>
      <c r="H17" s="88">
        <f>'Budget Detail FY 2013-18'!S1133</f>
        <v>35350</v>
      </c>
      <c r="I17" s="88">
        <f>'Budget Detail FY 2013-18'!T1133</f>
        <v>35350</v>
      </c>
      <c r="J17" s="88">
        <f>'Budget Detail FY 2013-18'!U1133</f>
        <v>35350</v>
      </c>
      <c r="K17" s="88">
        <f>'Budget Detail FY 2013-18'!V1133</f>
        <v>35350</v>
      </c>
      <c r="M17" s="2">
        <f t="shared" si="0"/>
        <v>430525</v>
      </c>
      <c r="N17" s="2">
        <f>SUM('Fund Cover Sheets'!C927:K927)</f>
        <v>430525</v>
      </c>
      <c r="O17" s="103">
        <f t="shared" si="1"/>
        <v>0</v>
      </c>
    </row>
    <row r="18" spans="1:15" ht="24" customHeight="1">
      <c r="A18" s="87"/>
      <c r="B18" s="84" t="s">
        <v>1119</v>
      </c>
      <c r="C18" s="88">
        <f>'Budget Detail FY 2013-18'!N341</f>
        <v>19894</v>
      </c>
      <c r="D18" s="88">
        <f>'Budget Detail FY 2013-18'!O341</f>
        <v>3793</v>
      </c>
      <c r="E18" s="88">
        <f>'Budget Detail FY 2013-18'!P341</f>
        <v>3786</v>
      </c>
      <c r="F18" s="88">
        <f>'Budget Detail FY 2013-18'!Q341</f>
        <v>3796</v>
      </c>
      <c r="G18" s="88">
        <f>'Budget Detail FY 2013-18'!R341</f>
        <v>3786</v>
      </c>
      <c r="H18" s="88">
        <f>'Budget Detail FY 2013-18'!S341</f>
        <v>8536</v>
      </c>
      <c r="I18" s="88">
        <f>'Budget Detail FY 2013-18'!T341</f>
        <v>8536</v>
      </c>
      <c r="J18" s="88">
        <f>'Budget Detail FY 2013-18'!U341</f>
        <v>8536</v>
      </c>
      <c r="K18" s="88">
        <f>'Budget Detail FY 2013-18'!V341</f>
        <v>8536</v>
      </c>
      <c r="M18" s="2">
        <f t="shared" si="0"/>
        <v>69199</v>
      </c>
      <c r="N18" s="2">
        <f>SUM('Fund Cover Sheets'!C68:K68)</f>
        <v>69199</v>
      </c>
      <c r="O18" s="103">
        <f t="shared" si="1"/>
        <v>0</v>
      </c>
    </row>
    <row r="19" spans="1:15" ht="24" customHeight="1">
      <c r="A19" s="87"/>
      <c r="B19" s="84" t="s">
        <v>1120</v>
      </c>
      <c r="C19" s="2">
        <f>'Budget Detail FY 2013-18'!N358</f>
        <v>13871</v>
      </c>
      <c r="D19" s="2">
        <f>'Budget Detail FY 2013-18'!O358</f>
        <v>7537</v>
      </c>
      <c r="E19" s="2">
        <f>'Budget Detail FY 2013-18'!P358</f>
        <v>7531</v>
      </c>
      <c r="F19" s="2">
        <f>'Budget Detail FY 2013-18'!Q358</f>
        <v>7540</v>
      </c>
      <c r="G19" s="2">
        <f>'Budget Detail FY 2013-18'!R358</f>
        <v>7531</v>
      </c>
      <c r="H19" s="2">
        <f>'Budget Detail FY 2013-18'!S358</f>
        <v>17416</v>
      </c>
      <c r="I19" s="2">
        <f>'Budget Detail FY 2013-18'!T358</f>
        <v>17416</v>
      </c>
      <c r="J19" s="2">
        <f>'Budget Detail FY 2013-18'!U358</f>
        <v>17416</v>
      </c>
      <c r="K19" s="2">
        <f>'Budget Detail FY 2013-18'!V358</f>
        <v>17416</v>
      </c>
      <c r="M19" s="2">
        <f t="shared" si="0"/>
        <v>113674</v>
      </c>
      <c r="N19" s="2">
        <f>SUM('Fund Cover Sheets'!C112:K112)</f>
        <v>113674</v>
      </c>
      <c r="O19" s="103">
        <f t="shared" si="1"/>
        <v>0</v>
      </c>
    </row>
    <row r="20" spans="1:15" ht="15" customHeight="1">
      <c r="A20" s="87"/>
      <c r="B20" s="84"/>
      <c r="C20" s="2"/>
      <c r="D20" s="2"/>
      <c r="E20" s="2"/>
      <c r="F20" s="2"/>
      <c r="G20" s="2"/>
      <c r="H20" s="2"/>
      <c r="I20" s="2"/>
      <c r="J20" s="2"/>
      <c r="K20" s="2"/>
      <c r="M20" s="2"/>
      <c r="N20" s="2"/>
    </row>
    <row r="21" spans="1:15" ht="24" customHeight="1">
      <c r="A21" s="86" t="s">
        <v>1121</v>
      </c>
      <c r="B21" s="79"/>
      <c r="C21" s="2">
        <f>'Budget Detail FY 2013-18'!N564</f>
        <v>430429</v>
      </c>
      <c r="D21" s="2">
        <f>'Budget Detail FY 2013-18'!O564</f>
        <v>507525</v>
      </c>
      <c r="E21" s="2">
        <f>'Budget Detail FY 2013-18'!P564</f>
        <v>427144</v>
      </c>
      <c r="F21" s="2">
        <f>'Budget Detail FY 2013-18'!Q564</f>
        <v>428546</v>
      </c>
      <c r="G21" s="2">
        <f>'Budget Detail FY 2013-18'!R564</f>
        <v>329479</v>
      </c>
      <c r="H21" s="2">
        <f>'Budget Detail FY 2013-18'!S564</f>
        <v>330879</v>
      </c>
      <c r="I21" s="2">
        <f>'Budget Detail FY 2013-18'!T564</f>
        <v>318418</v>
      </c>
      <c r="J21" s="2">
        <f>'Budget Detail FY 2013-18'!U564</f>
        <v>336554</v>
      </c>
      <c r="K21" s="2">
        <f>'Budget Detail FY 2013-18'!V564</f>
        <v>336554</v>
      </c>
      <c r="M21" s="2">
        <f>SUM(C21:L21)</f>
        <v>3445528</v>
      </c>
      <c r="N21" s="2">
        <f>SUM('Fund Cover Sheets'!C392:K392)</f>
        <v>3445528</v>
      </c>
      <c r="O21" s="103">
        <f>M21-N21</f>
        <v>0</v>
      </c>
    </row>
    <row r="22" spans="1:15" ht="15" customHeight="1">
      <c r="A22" s="86"/>
      <c r="B22" s="79"/>
      <c r="C22" s="2"/>
      <c r="D22" s="2"/>
      <c r="E22" s="2"/>
      <c r="F22" s="2"/>
      <c r="G22" s="2"/>
      <c r="H22" s="2"/>
      <c r="I22" s="2"/>
      <c r="J22" s="2"/>
      <c r="K22" s="2"/>
      <c r="M22" s="2"/>
      <c r="N22" s="2"/>
    </row>
    <row r="23" spans="1:15" ht="24" customHeight="1">
      <c r="A23" s="86" t="s">
        <v>1122</v>
      </c>
      <c r="B23" s="79"/>
      <c r="C23" s="88"/>
      <c r="D23" s="88"/>
      <c r="E23" s="88"/>
      <c r="F23" s="88"/>
      <c r="G23" s="88"/>
      <c r="H23" s="88"/>
      <c r="I23" s="88"/>
      <c r="J23" s="88"/>
      <c r="K23" s="88"/>
      <c r="M23" s="2"/>
      <c r="N23" s="2"/>
    </row>
    <row r="24" spans="1:15" ht="24" customHeight="1">
      <c r="A24" s="86"/>
      <c r="B24" s="84" t="s">
        <v>1123</v>
      </c>
      <c r="C24" s="88">
        <f>'Budget Detail FY 2013-18'!N414</f>
        <v>20700</v>
      </c>
      <c r="D24" s="88">
        <f>'Budget Detail FY 2013-18'!O414</f>
        <v>8400</v>
      </c>
      <c r="E24" s="88">
        <f>'Budget Detail FY 2013-18'!P414</f>
        <v>5250</v>
      </c>
      <c r="F24" s="88">
        <f>'Budget Detail FY 2013-18'!Q414</f>
        <v>9150</v>
      </c>
      <c r="G24" s="88">
        <f>'Budget Detail FY 2013-18'!R414</f>
        <v>573374</v>
      </c>
      <c r="H24" s="88">
        <f>'Budget Detail FY 2013-18'!S414</f>
        <v>0</v>
      </c>
      <c r="I24" s="88">
        <f>'Budget Detail FY 2013-18'!T414</f>
        <v>0</v>
      </c>
      <c r="J24" s="88">
        <f>'Budget Detail FY 2013-18'!U414</f>
        <v>0</v>
      </c>
      <c r="K24" s="88">
        <f>'Budget Detail FY 2013-18'!V414</f>
        <v>0</v>
      </c>
      <c r="M24" s="2">
        <f t="shared" ref="M24:M26" si="2">SUM(C24:L24)</f>
        <v>616874</v>
      </c>
      <c r="N24" s="2">
        <f>SUM('Fund Cover Sheets'!C203:K203)</f>
        <v>616874</v>
      </c>
      <c r="O24" s="103">
        <f t="shared" ref="O24:O26" si="3">M24-N24</f>
        <v>0</v>
      </c>
    </row>
    <row r="25" spans="1:15" ht="24" customHeight="1">
      <c r="A25" s="87"/>
      <c r="B25" s="84" t="s">
        <v>1305</v>
      </c>
      <c r="C25" s="2">
        <f>'Budget Detail FY 2013-18'!N511</f>
        <v>84458</v>
      </c>
      <c r="D25" s="2">
        <f>'Budget Detail FY 2013-18'!O511</f>
        <v>97980</v>
      </c>
      <c r="E25" s="2">
        <f>'Budget Detail FY 2013-18'!P511</f>
        <v>126200</v>
      </c>
      <c r="F25" s="2">
        <f>'Budget Detail FY 2013-18'!Q511</f>
        <v>126783</v>
      </c>
      <c r="G25" s="2">
        <f>'Budget Detail FY 2013-18'!R511</f>
        <v>259750</v>
      </c>
      <c r="H25" s="2">
        <f>'Budget Detail FY 2013-18'!S511</f>
        <v>173052</v>
      </c>
      <c r="I25" s="2">
        <f>'Budget Detail FY 2013-18'!T511</f>
        <v>195687</v>
      </c>
      <c r="J25" s="2">
        <f>'Budget Detail FY 2013-18'!U511</f>
        <v>195687</v>
      </c>
      <c r="K25" s="2">
        <f>'Budget Detail FY 2013-18'!V511</f>
        <v>195687</v>
      </c>
      <c r="M25" s="2">
        <f t="shared" si="2"/>
        <v>1455284</v>
      </c>
      <c r="N25" s="2">
        <f>SUM('Fund Cover Sheets'!C313:K313)</f>
        <v>1455284</v>
      </c>
      <c r="O25" s="103">
        <f t="shared" si="3"/>
        <v>0</v>
      </c>
    </row>
    <row r="26" spans="1:15" ht="24" customHeight="1">
      <c r="A26" s="87"/>
      <c r="B26" s="84" t="s">
        <v>1125</v>
      </c>
      <c r="C26" s="88">
        <f>'Budget Detail FY 2013-18'!N447</f>
        <v>321803</v>
      </c>
      <c r="D26" s="88">
        <f>'Budget Detail FY 2013-18'!O447</f>
        <v>227117</v>
      </c>
      <c r="E26" s="88">
        <f>'Budget Detail FY 2013-18'!P447</f>
        <v>1303732</v>
      </c>
      <c r="F26" s="88">
        <f>'Budget Detail FY 2013-18'!Q447</f>
        <v>830702</v>
      </c>
      <c r="G26" s="88">
        <f>'Budget Detail FY 2013-18'!R447</f>
        <v>1579062</v>
      </c>
      <c r="H26" s="88">
        <f>'Budget Detail FY 2013-18'!S447</f>
        <v>5533630</v>
      </c>
      <c r="I26" s="88">
        <f>'Budget Detail FY 2013-18'!T447</f>
        <v>907820</v>
      </c>
      <c r="J26" s="88">
        <f>'Budget Detail FY 2013-18'!U447</f>
        <v>1954624</v>
      </c>
      <c r="K26" s="88">
        <f>'Budget Detail FY 2013-18'!V447</f>
        <v>1502980</v>
      </c>
      <c r="M26" s="2">
        <f t="shared" si="2"/>
        <v>14161470</v>
      </c>
      <c r="N26" s="2">
        <f>SUM('Fund Cover Sheets'!C251:K251)</f>
        <v>14161470</v>
      </c>
      <c r="O26" s="103">
        <f t="shared" si="3"/>
        <v>0</v>
      </c>
    </row>
    <row r="27" spans="1:15" ht="15" customHeight="1">
      <c r="A27" s="87"/>
      <c r="B27" s="84"/>
      <c r="C27" s="88"/>
      <c r="D27" s="88"/>
      <c r="E27" s="88"/>
      <c r="F27" s="88"/>
      <c r="G27" s="88"/>
      <c r="H27" s="88"/>
      <c r="I27" s="88"/>
      <c r="J27" s="88"/>
      <c r="K27" s="88"/>
      <c r="M27" s="2"/>
      <c r="N27" s="2"/>
    </row>
    <row r="28" spans="1:15" ht="24" customHeight="1">
      <c r="A28" s="86" t="s">
        <v>1126</v>
      </c>
      <c r="B28" s="84"/>
      <c r="C28" s="2"/>
      <c r="D28" s="2"/>
      <c r="E28" s="2"/>
      <c r="F28" s="2"/>
      <c r="G28" s="2"/>
      <c r="H28" s="2"/>
      <c r="I28" s="2"/>
      <c r="J28" s="2"/>
      <c r="K28" s="2"/>
      <c r="M28" s="2"/>
      <c r="N28" s="2"/>
    </row>
    <row r="29" spans="1:15" ht="24" customHeight="1">
      <c r="B29" s="84" t="s">
        <v>858</v>
      </c>
      <c r="C29" s="2">
        <f>'Budget Detail FY 2013-18'!N603</f>
        <v>2628534</v>
      </c>
      <c r="D29" s="2">
        <f>'Budget Detail FY 2013-18'!O603</f>
        <v>2855198</v>
      </c>
      <c r="E29" s="2">
        <f>'Budget Detail FY 2013-18'!P603</f>
        <v>2801379</v>
      </c>
      <c r="F29" s="2">
        <f>'Budget Detail FY 2013-18'!Q603</f>
        <v>3131811</v>
      </c>
      <c r="G29" s="2">
        <f>'Budget Detail FY 2013-18'!R603</f>
        <v>2641091</v>
      </c>
      <c r="H29" s="2">
        <f>'Budget Detail FY 2013-18'!S603</f>
        <v>2671613</v>
      </c>
      <c r="I29" s="2">
        <f>'Budget Detail FY 2013-18'!T603</f>
        <v>2661617</v>
      </c>
      <c r="J29" s="2">
        <f>'Budget Detail FY 2013-18'!U603</f>
        <v>2693959</v>
      </c>
      <c r="K29" s="2">
        <f>'Budget Detail FY 2013-18'!V603</f>
        <v>2724189</v>
      </c>
      <c r="M29" s="2">
        <f t="shared" ref="M29:M31" si="4">SUM(C29:L29)</f>
        <v>24809391</v>
      </c>
      <c r="N29" s="2">
        <f>SUM('Fund Cover Sheets'!C441:K441)</f>
        <v>24809391</v>
      </c>
      <c r="O29" s="103">
        <f t="shared" ref="O29:O31" si="5">M29-N29</f>
        <v>0</v>
      </c>
    </row>
    <row r="30" spans="1:15" ht="24" customHeight="1">
      <c r="B30" s="84" t="s">
        <v>859</v>
      </c>
      <c r="C30" s="2">
        <f>'Budget Detail FY 2013-18'!N695</f>
        <v>1478074</v>
      </c>
      <c r="D30" s="2">
        <f>'Budget Detail FY 2013-18'!O695</f>
        <v>3120374</v>
      </c>
      <c r="E30" s="2">
        <f>'Budget Detail FY 2013-18'!P695</f>
        <v>1639817</v>
      </c>
      <c r="F30" s="2">
        <f>'Budget Detail FY 2013-18'!Q695</f>
        <v>1643252</v>
      </c>
      <c r="G30" s="2">
        <f>'Budget Detail FY 2013-18'!R695</f>
        <v>2355220</v>
      </c>
      <c r="H30" s="2">
        <f>'Budget Detail FY 2013-18'!S695</f>
        <v>2237032</v>
      </c>
      <c r="I30" s="2">
        <f>'Budget Detail FY 2013-18'!T695</f>
        <v>2237214</v>
      </c>
      <c r="J30" s="2">
        <f>'Budget Detail FY 2013-18'!U695</f>
        <v>2236112</v>
      </c>
      <c r="K30" s="2">
        <f>'Budget Detail FY 2013-18'!V695</f>
        <v>2239226</v>
      </c>
      <c r="M30" s="2">
        <f t="shared" si="4"/>
        <v>19186321</v>
      </c>
      <c r="N30" s="2">
        <f>SUM('Fund Cover Sheets'!C494:K494)</f>
        <v>19186321</v>
      </c>
      <c r="O30" s="103">
        <f t="shared" si="5"/>
        <v>0</v>
      </c>
    </row>
    <row r="31" spans="1:15" ht="24" customHeight="1">
      <c r="B31" s="84" t="s">
        <v>777</v>
      </c>
      <c r="C31" s="2">
        <f>'Budget Detail FY 2013-18'!N912</f>
        <v>620018</v>
      </c>
      <c r="D31" s="2">
        <f>'Budget Detail FY 2013-18'!O912</f>
        <v>634563</v>
      </c>
      <c r="E31" s="2">
        <f>'Budget Detail FY 2013-18'!P912</f>
        <v>622500</v>
      </c>
      <c r="F31" s="2">
        <f>'Budget Detail FY 2013-18'!Q912</f>
        <v>513206</v>
      </c>
      <c r="G31" s="2">
        <f>'Budget Detail FY 2013-18'!R912</f>
        <v>617957</v>
      </c>
      <c r="H31" s="2">
        <f>'Budget Detail FY 2013-18'!S912</f>
        <v>0</v>
      </c>
      <c r="I31" s="2">
        <f>'Budget Detail FY 2013-18'!T912</f>
        <v>0</v>
      </c>
      <c r="J31" s="2">
        <f>'Budget Detail FY 2013-18'!U912</f>
        <v>0</v>
      </c>
      <c r="K31" s="2">
        <f>'Budget Detail FY 2013-18'!V912</f>
        <v>0</v>
      </c>
      <c r="M31" s="2">
        <f t="shared" si="4"/>
        <v>3008244</v>
      </c>
      <c r="N31" s="2">
        <f>SUM('Fund Cover Sheets'!C642:K642)</f>
        <v>3008244</v>
      </c>
      <c r="O31" s="103">
        <f t="shared" si="5"/>
        <v>0</v>
      </c>
    </row>
    <row r="32" spans="1:15" ht="15" customHeight="1">
      <c r="B32" s="84"/>
      <c r="C32" s="2"/>
      <c r="D32" s="2"/>
      <c r="E32" s="2"/>
      <c r="F32" s="2"/>
      <c r="G32" s="2"/>
      <c r="H32" s="2"/>
      <c r="I32" s="2"/>
      <c r="J32" s="2"/>
      <c r="K32" s="2"/>
      <c r="M32" s="2"/>
      <c r="N32" s="2"/>
    </row>
    <row r="33" spans="1:15" ht="24" customHeight="1">
      <c r="A33" s="86" t="s">
        <v>1127</v>
      </c>
      <c r="B33" s="84"/>
      <c r="C33" s="2"/>
      <c r="D33" s="2"/>
      <c r="E33" s="2"/>
      <c r="F33" s="2"/>
      <c r="G33" s="2"/>
      <c r="H33" s="2"/>
      <c r="I33" s="2"/>
      <c r="J33" s="2"/>
      <c r="K33" s="2"/>
      <c r="M33" s="2"/>
      <c r="N33" s="2"/>
    </row>
    <row r="34" spans="1:15" ht="24" customHeight="1">
      <c r="A34" s="86"/>
      <c r="B34" s="84" t="s">
        <v>841</v>
      </c>
      <c r="C34" s="2">
        <f>'Budget Detail FY 2013-18'!N978</f>
        <v>1334042</v>
      </c>
      <c r="D34" s="2">
        <f>'Budget Detail FY 2013-18'!O978</f>
        <v>1095539</v>
      </c>
      <c r="E34" s="2">
        <f>'Budget Detail FY 2013-18'!P978</f>
        <v>817634</v>
      </c>
      <c r="F34" s="2">
        <f>'Budget Detail FY 2013-18'!Q978</f>
        <v>788103</v>
      </c>
      <c r="G34" s="2">
        <f>'Budget Detail FY 2013-18'!R978</f>
        <v>778639</v>
      </c>
      <c r="H34" s="2">
        <f>'Budget Detail FY 2013-18'!S978</f>
        <v>788425</v>
      </c>
      <c r="I34" s="2">
        <f>'Budget Detail FY 2013-18'!T978</f>
        <v>790418</v>
      </c>
      <c r="J34" s="2">
        <f>'Budget Detail FY 2013-18'!U978</f>
        <v>792318</v>
      </c>
      <c r="K34" s="2">
        <f>'Budget Detail FY 2013-18'!V978</f>
        <v>819332</v>
      </c>
      <c r="M34" s="2">
        <f t="shared" ref="M34:M36" si="6">SUM(C34:L34)</f>
        <v>8004450</v>
      </c>
      <c r="N34" s="2">
        <f>SUM('Fund Cover Sheets'!C695:K695)</f>
        <v>8004450</v>
      </c>
      <c r="O34" s="103">
        <f t="shared" ref="O34:O38" si="7">M34-N34</f>
        <v>0</v>
      </c>
    </row>
    <row r="35" spans="1:15" ht="24" customHeight="1">
      <c r="A35" s="86"/>
      <c r="B35" s="84" t="s">
        <v>734</v>
      </c>
      <c r="C35" s="2">
        <f>'Budget Detail FY 2013-18'!N1042</f>
        <v>0</v>
      </c>
      <c r="D35" s="2">
        <f>'Budget Detail FY 2013-18'!O1042</f>
        <v>718979</v>
      </c>
      <c r="E35" s="2">
        <f>'Budget Detail FY 2013-18'!P1042</f>
        <v>797299</v>
      </c>
      <c r="F35" s="2">
        <f>'Budget Detail FY 2013-18'!Q1042</f>
        <v>797309</v>
      </c>
      <c r="G35" s="2">
        <f>'Budget Detail FY 2013-18'!R1042</f>
        <v>771963</v>
      </c>
      <c r="H35" s="2">
        <f>'Budget Detail FY 2013-18'!S1042</f>
        <v>730488</v>
      </c>
      <c r="I35" s="2">
        <f>'Budget Detail FY 2013-18'!T1042</f>
        <v>743713</v>
      </c>
      <c r="J35" s="2">
        <f>'Budget Detail FY 2013-18'!U1042</f>
        <v>751438</v>
      </c>
      <c r="K35" s="2">
        <f>'Budget Detail FY 2013-18'!V1042</f>
        <v>753763</v>
      </c>
      <c r="M35" s="2">
        <f t="shared" si="6"/>
        <v>6064952</v>
      </c>
      <c r="N35" s="2">
        <f>SUM('Fund Cover Sheets'!C747:K747)</f>
        <v>6064952</v>
      </c>
      <c r="O35" s="103">
        <f t="shared" si="7"/>
        <v>0</v>
      </c>
    </row>
    <row r="36" spans="1:15" ht="24" customHeight="1">
      <c r="A36" s="86"/>
      <c r="B36" s="84" t="s">
        <v>1128</v>
      </c>
      <c r="C36" s="2">
        <f>'Budget Detail FY 2013-18'!N1066</f>
        <v>0</v>
      </c>
      <c r="D36" s="2">
        <f>'Budget Detail FY 2013-18'!O1066</f>
        <v>350259</v>
      </c>
      <c r="E36" s="2">
        <f>'Budget Detail FY 2013-18'!P1066</f>
        <v>16350</v>
      </c>
      <c r="F36" s="2">
        <f>'Budget Detail FY 2013-18'!Q1066</f>
        <v>30010</v>
      </c>
      <c r="G36" s="2">
        <f>'Budget Detail FY 2013-18'!R1066</f>
        <v>20020</v>
      </c>
      <c r="H36" s="2">
        <f>'Budget Detail FY 2013-18'!S1066</f>
        <v>20020</v>
      </c>
      <c r="I36" s="2">
        <f>'Budget Detail FY 2013-18'!T1066</f>
        <v>20020</v>
      </c>
      <c r="J36" s="2">
        <f>'Budget Detail FY 2013-18'!U1066</f>
        <v>20020</v>
      </c>
      <c r="K36" s="2">
        <f>'Budget Detail FY 2013-18'!V1066</f>
        <v>20020</v>
      </c>
      <c r="M36" s="2">
        <f t="shared" si="6"/>
        <v>496719</v>
      </c>
      <c r="N36" s="2">
        <f>SUM('Fund Cover Sheets'!C792:K792)</f>
        <v>496719</v>
      </c>
      <c r="O36" s="103">
        <f t="shared" si="7"/>
        <v>0</v>
      </c>
    </row>
    <row r="37" spans="1:15" ht="15" customHeight="1">
      <c r="A37" s="89"/>
      <c r="B37" s="84"/>
      <c r="C37" s="88"/>
      <c r="D37" s="88"/>
      <c r="E37" s="88"/>
      <c r="F37" s="88"/>
      <c r="G37" s="88"/>
      <c r="H37" s="88"/>
      <c r="I37" s="88"/>
      <c r="J37" s="88"/>
      <c r="K37" s="88"/>
      <c r="M37" s="2"/>
      <c r="N37" s="2"/>
    </row>
    <row r="38" spans="1:15" ht="24" customHeight="1" thickBot="1">
      <c r="A38" s="8"/>
      <c r="B38" s="90" t="s">
        <v>1188</v>
      </c>
      <c r="C38" s="91">
        <f t="shared" ref="C38:K38" si="8">SUM(C9:C37)</f>
        <v>21312181</v>
      </c>
      <c r="D38" s="91">
        <f t="shared" si="8"/>
        <v>24664255</v>
      </c>
      <c r="E38" s="91">
        <f t="shared" si="8"/>
        <v>23282875</v>
      </c>
      <c r="F38" s="91">
        <f t="shared" si="8"/>
        <v>23778960</v>
      </c>
      <c r="G38" s="91">
        <f t="shared" si="8"/>
        <v>26323465</v>
      </c>
      <c r="H38" s="91">
        <f t="shared" si="8"/>
        <v>27748540</v>
      </c>
      <c r="I38" s="91">
        <f t="shared" si="8"/>
        <v>23500850</v>
      </c>
      <c r="J38" s="91">
        <f t="shared" si="8"/>
        <v>25197514</v>
      </c>
      <c r="K38" s="91">
        <f t="shared" si="8"/>
        <v>24659368</v>
      </c>
      <c r="M38" s="2">
        <f>SUM(M9:M36)</f>
        <v>220468008</v>
      </c>
      <c r="N38" s="2">
        <f>SUM(N9:N36)</f>
        <v>220468008</v>
      </c>
      <c r="O38" s="103">
        <f t="shared" si="7"/>
        <v>0</v>
      </c>
    </row>
    <row r="39" spans="1:15" ht="15" customHeight="1" thickTop="1">
      <c r="M39" s="2"/>
      <c r="N39" s="2"/>
    </row>
    <row r="40" spans="1:15" s="79" customFormat="1" ht="15" customHeight="1">
      <c r="M40" s="3"/>
      <c r="N40" s="3"/>
    </row>
    <row r="41" spans="1:15" ht="24" customHeight="1">
      <c r="B41" s="519" t="s">
        <v>1113</v>
      </c>
      <c r="C41" s="519"/>
      <c r="D41" s="519"/>
      <c r="E41" s="519"/>
      <c r="F41" s="519"/>
      <c r="G41" s="519"/>
      <c r="H41" s="519"/>
      <c r="I41" s="519"/>
      <c r="J41" s="519"/>
      <c r="K41" s="519"/>
      <c r="M41" s="2"/>
      <c r="N41" s="2"/>
    </row>
    <row r="42" spans="1:15" ht="24" customHeight="1">
      <c r="B42" s="520" t="s">
        <v>1129</v>
      </c>
      <c r="C42" s="520"/>
      <c r="D42" s="520"/>
      <c r="E42" s="520"/>
      <c r="F42" s="520"/>
      <c r="G42" s="520"/>
      <c r="H42" s="520"/>
      <c r="I42" s="520"/>
      <c r="J42" s="520"/>
      <c r="K42" s="520"/>
      <c r="M42" s="2"/>
      <c r="N42" s="2"/>
    </row>
    <row r="43" spans="1:15" ht="24" customHeight="1">
      <c r="B43" s="519" t="s">
        <v>1228</v>
      </c>
      <c r="C43" s="519"/>
      <c r="D43" s="519"/>
      <c r="E43" s="519"/>
      <c r="F43" s="519"/>
      <c r="G43" s="519"/>
      <c r="H43" s="519"/>
      <c r="I43" s="519"/>
      <c r="J43" s="519"/>
      <c r="K43" s="519"/>
      <c r="M43" s="2"/>
      <c r="N43" s="2"/>
    </row>
    <row r="44" spans="1:15" ht="15" customHeight="1">
      <c r="M44" s="2"/>
      <c r="N44" s="2"/>
    </row>
    <row r="45" spans="1:15" ht="15" customHeight="1">
      <c r="C45" s="80"/>
      <c r="D45" s="80"/>
      <c r="E45" s="81" t="s">
        <v>312</v>
      </c>
      <c r="F45" s="80"/>
      <c r="M45" s="2"/>
      <c r="N45" s="2"/>
    </row>
    <row r="46" spans="1:15" ht="15" customHeight="1">
      <c r="C46" s="80" t="s">
        <v>1044</v>
      </c>
      <c r="D46" s="80" t="s">
        <v>253</v>
      </c>
      <c r="E46" s="62" t="s">
        <v>1045</v>
      </c>
      <c r="F46" s="81" t="s">
        <v>312</v>
      </c>
      <c r="G46" s="81" t="s">
        <v>313</v>
      </c>
      <c r="H46" s="81" t="s">
        <v>329</v>
      </c>
      <c r="I46" s="81" t="s">
        <v>332</v>
      </c>
      <c r="J46" s="81" t="s">
        <v>333</v>
      </c>
      <c r="K46" s="81" t="s">
        <v>1224</v>
      </c>
      <c r="M46" s="2"/>
      <c r="N46" s="2"/>
    </row>
    <row r="47" spans="1:15" ht="15" customHeight="1" thickBot="1">
      <c r="B47" s="82" t="s">
        <v>1115</v>
      </c>
      <c r="C47" s="83" t="s">
        <v>1</v>
      </c>
      <c r="D47" s="83" t="s">
        <v>1</v>
      </c>
      <c r="E47" s="83" t="s">
        <v>987</v>
      </c>
      <c r="F47" s="83" t="s">
        <v>24</v>
      </c>
      <c r="G47" s="83" t="s">
        <v>1045</v>
      </c>
      <c r="H47" s="83" t="s">
        <v>24</v>
      </c>
      <c r="I47" s="83" t="s">
        <v>24</v>
      </c>
      <c r="J47" s="83" t="s">
        <v>24</v>
      </c>
      <c r="K47" s="83" t="s">
        <v>24</v>
      </c>
      <c r="M47" s="2"/>
      <c r="N47" s="2"/>
    </row>
    <row r="48" spans="1:15" ht="15" customHeight="1">
      <c r="C48" s="85"/>
      <c r="D48" s="85"/>
      <c r="E48" s="85"/>
      <c r="F48" s="85"/>
      <c r="G48" s="85"/>
      <c r="H48" s="85"/>
      <c r="I48" s="85"/>
      <c r="J48" s="85"/>
      <c r="M48" s="147" t="s">
        <v>1456</v>
      </c>
      <c r="N48" s="147" t="s">
        <v>1455</v>
      </c>
      <c r="O48" s="147" t="s">
        <v>1445</v>
      </c>
    </row>
    <row r="49" spans="1:15" ht="24" customHeight="1">
      <c r="A49" s="86" t="s">
        <v>1116</v>
      </c>
      <c r="C49" s="2">
        <f>'Budget Detail FY 2013-18'!N329</f>
        <v>11296930</v>
      </c>
      <c r="D49" s="2">
        <f>'Budget Detail FY 2013-18'!O329</f>
        <v>10969330</v>
      </c>
      <c r="E49" s="2">
        <f>'Budget Detail FY 2013-18'!P329</f>
        <v>11379867</v>
      </c>
      <c r="F49" s="2">
        <f>'Budget Detail FY 2013-18'!Q329</f>
        <v>10875236</v>
      </c>
      <c r="G49" s="2">
        <f>'Budget Detail FY 2013-18'!R329</f>
        <v>13891560</v>
      </c>
      <c r="H49" s="2">
        <f>'Budget Detail FY 2013-18'!S329</f>
        <v>12648275</v>
      </c>
      <c r="I49" s="2">
        <f>'Budget Detail FY 2013-18'!T329</f>
        <v>13037173</v>
      </c>
      <c r="J49" s="2">
        <f>'Budget Detail FY 2013-18'!U329</f>
        <v>14476325</v>
      </c>
      <c r="K49" s="2">
        <f>'Budget Detail FY 2013-18'!V329</f>
        <v>13982166</v>
      </c>
      <c r="M49" s="2">
        <f>SUM(C49:K49)</f>
        <v>112556862</v>
      </c>
      <c r="N49" s="2">
        <f>SUM('Fund Cover Sheets'!C31:K31)</f>
        <v>112556862</v>
      </c>
      <c r="O49" s="103">
        <f>M49-N49</f>
        <v>0</v>
      </c>
    </row>
    <row r="50" spans="1:15" ht="15" customHeight="1">
      <c r="A50" s="86"/>
      <c r="C50" s="2"/>
      <c r="D50" s="2"/>
      <c r="E50" s="2"/>
      <c r="F50" s="2"/>
      <c r="G50" s="2"/>
      <c r="H50" s="2"/>
      <c r="I50" s="2"/>
      <c r="J50" s="2"/>
      <c r="K50" s="2"/>
      <c r="M50" s="2"/>
      <c r="N50" s="2"/>
    </row>
    <row r="51" spans="1:15" ht="24" customHeight="1">
      <c r="A51" s="86" t="s">
        <v>1117</v>
      </c>
      <c r="C51" s="88"/>
      <c r="D51" s="88"/>
      <c r="E51" s="88"/>
      <c r="F51" s="88"/>
      <c r="G51" s="88"/>
      <c r="H51" s="88"/>
      <c r="I51" s="88"/>
      <c r="J51" s="88"/>
      <c r="K51" s="88"/>
      <c r="M51" s="2"/>
      <c r="N51" s="2"/>
    </row>
    <row r="52" spans="1:15" ht="24" customHeight="1">
      <c r="A52" s="86"/>
      <c r="B52" s="1" t="s">
        <v>1019</v>
      </c>
      <c r="C52" s="88">
        <f>'Budget Detail FY 2013-18'!N402</f>
        <v>452490</v>
      </c>
      <c r="D52" s="88">
        <f>'Budget Detail FY 2013-18'!O402</f>
        <v>276141</v>
      </c>
      <c r="E52" s="88">
        <f>'Budget Detail FY 2013-18'!P402</f>
        <v>573860</v>
      </c>
      <c r="F52" s="88">
        <f>'Budget Detail FY 2013-18'!Q402</f>
        <v>395012</v>
      </c>
      <c r="G52" s="88">
        <f>'Budget Detail FY 2013-18'!R402</f>
        <v>1394456</v>
      </c>
      <c r="H52" s="88">
        <f>'Budget Detail FY 2013-18'!S402</f>
        <v>608112</v>
      </c>
      <c r="I52" s="88">
        <f>'Budget Detail FY 2013-18'!T402</f>
        <v>652867</v>
      </c>
      <c r="J52" s="88">
        <f>'Budget Detail FY 2013-18'!U402</f>
        <v>683269</v>
      </c>
      <c r="K52" s="88">
        <f>'Budget Detail FY 2013-18'!V402</f>
        <v>493384</v>
      </c>
      <c r="M52" s="2">
        <f t="shared" ref="M52:M59" si="9">SUM(C52:K52)</f>
        <v>5529591</v>
      </c>
      <c r="N52" s="2">
        <f>SUM('Fund Cover Sheets'!C166:K166)</f>
        <v>5529591</v>
      </c>
      <c r="O52" s="103">
        <f t="shared" ref="O52:O59" si="10">M52-N52</f>
        <v>0</v>
      </c>
    </row>
    <row r="53" spans="1:15" ht="24" customHeight="1">
      <c r="A53" s="87"/>
      <c r="B53" s="84" t="s">
        <v>1118</v>
      </c>
      <c r="C53" s="88">
        <f>'Budget Detail FY 2013-18'!N891</f>
        <v>1160854</v>
      </c>
      <c r="D53" s="88">
        <f>'Budget Detail FY 2013-18'!O891</f>
        <v>1151098</v>
      </c>
      <c r="E53" s="88">
        <f>'Budget Detail FY 2013-18'!P891</f>
        <v>1506767</v>
      </c>
      <c r="F53" s="88">
        <f>'Budget Detail FY 2013-18'!Q891</f>
        <v>1406158</v>
      </c>
      <c r="G53" s="88">
        <f>'Budget Detail FY 2013-18'!R891</f>
        <v>2199048</v>
      </c>
      <c r="H53" s="88">
        <f>'Budget Detail FY 2013-18'!S891</f>
        <v>1662357</v>
      </c>
      <c r="I53" s="88">
        <f>'Budget Detail FY 2013-18'!T891</f>
        <v>1664210</v>
      </c>
      <c r="J53" s="88">
        <f>'Budget Detail FY 2013-18'!U891</f>
        <v>1688342</v>
      </c>
      <c r="K53" s="88">
        <f>'Budget Detail FY 2013-18'!V891</f>
        <v>1713876</v>
      </c>
      <c r="M53" s="2">
        <f t="shared" si="9"/>
        <v>14152710</v>
      </c>
      <c r="N53" s="2">
        <f>SUM('Fund Cover Sheets'!C603:K603)</f>
        <v>14152710</v>
      </c>
      <c r="O53" s="103">
        <f t="shared" si="10"/>
        <v>0</v>
      </c>
    </row>
    <row r="54" spans="1:15" ht="24" customHeight="1">
      <c r="A54" s="87"/>
      <c r="B54" s="84" t="s">
        <v>860</v>
      </c>
      <c r="C54" s="88">
        <f>'Budget Detail FY 2013-18'!N800</f>
        <v>259839</v>
      </c>
      <c r="D54" s="88">
        <f>'Budget Detail FY 2013-18'!O800</f>
        <v>336920</v>
      </c>
      <c r="E54" s="88">
        <f>'Budget Detail FY 2013-18'!P800</f>
        <v>323825</v>
      </c>
      <c r="F54" s="88">
        <f>'Budget Detail FY 2013-18'!Q800</f>
        <v>72247</v>
      </c>
      <c r="G54" s="88">
        <f>'Budget Detail FY 2013-18'!R800</f>
        <v>89000</v>
      </c>
      <c r="H54" s="88">
        <f>'Budget Detail FY 2013-18'!S800</f>
        <v>356850</v>
      </c>
      <c r="I54" s="88">
        <f>'Budget Detail FY 2013-18'!T800</f>
        <v>263000</v>
      </c>
      <c r="J54" s="88">
        <f>'Budget Detail FY 2013-18'!U800</f>
        <v>13000</v>
      </c>
      <c r="K54" s="88">
        <f>'Budget Detail FY 2013-18'!V800</f>
        <v>63000</v>
      </c>
      <c r="M54" s="2">
        <f t="shared" si="9"/>
        <v>1777681</v>
      </c>
      <c r="N54" s="2">
        <f>SUM('Fund Cover Sheets'!C552:K552)</f>
        <v>1777681</v>
      </c>
      <c r="O54" s="103">
        <f t="shared" si="10"/>
        <v>0</v>
      </c>
    </row>
    <row r="55" spans="1:15" ht="24" customHeight="1">
      <c r="A55" s="87"/>
      <c r="B55" s="84" t="s">
        <v>984</v>
      </c>
      <c r="C55" s="3">
        <f>'Budget Detail FY 2013-18'!N1099</f>
        <v>81922</v>
      </c>
      <c r="D55" s="3">
        <f>'Budget Detail FY 2013-18'!O1099</f>
        <v>829117</v>
      </c>
      <c r="E55" s="3">
        <f>'Budget Detail FY 2013-18'!P1099</f>
        <v>0</v>
      </c>
      <c r="F55" s="3">
        <f>'Budget Detail FY 2013-18'!Q1099</f>
        <v>0</v>
      </c>
      <c r="G55" s="3">
        <f>'Budget Detail FY 2013-18'!R1099</f>
        <v>0</v>
      </c>
      <c r="H55" s="3">
        <f>'Budget Detail FY 2013-18'!S1099</f>
        <v>0</v>
      </c>
      <c r="I55" s="3">
        <f>'Budget Detail FY 2013-18'!T1099</f>
        <v>0</v>
      </c>
      <c r="J55" s="3">
        <f>'Budget Detail FY 2013-18'!U1099</f>
        <v>0</v>
      </c>
      <c r="K55" s="3">
        <f>'Budget Detail FY 2013-18'!V1099</f>
        <v>0</v>
      </c>
      <c r="M55" s="2">
        <f t="shared" si="9"/>
        <v>911039</v>
      </c>
      <c r="N55" s="2">
        <f>SUM('Fund Cover Sheets'!C847:K847)</f>
        <v>911039</v>
      </c>
      <c r="O55" s="103">
        <f t="shared" si="10"/>
        <v>0</v>
      </c>
    </row>
    <row r="56" spans="1:15" ht="24" customHeight="1">
      <c r="A56" s="87"/>
      <c r="B56" s="84" t="s">
        <v>747</v>
      </c>
      <c r="C56" s="3">
        <f>'Budget Detail FY 2013-18'!N1122</f>
        <v>308716</v>
      </c>
      <c r="D56" s="3">
        <f>'Budget Detail FY 2013-18'!O1122</f>
        <v>307585</v>
      </c>
      <c r="E56" s="3">
        <f>'Budget Detail FY 2013-18'!P1122</f>
        <v>306043</v>
      </c>
      <c r="F56" s="3">
        <f>'Budget Detail FY 2013-18'!Q1122</f>
        <v>307043</v>
      </c>
      <c r="G56" s="3">
        <f>'Budget Detail FY 2013-18'!R1122</f>
        <v>2105113</v>
      </c>
      <c r="H56" s="3">
        <f>'Budget Detail FY 2013-18'!S1122</f>
        <v>307898</v>
      </c>
      <c r="I56" s="3">
        <f>'Budget Detail FY 2013-18'!T1122</f>
        <v>305098</v>
      </c>
      <c r="J56" s="3">
        <f>'Budget Detail FY 2013-18'!U1122</f>
        <v>307098</v>
      </c>
      <c r="K56" s="3">
        <f>'Budget Detail FY 2013-18'!V1122</f>
        <v>308698</v>
      </c>
      <c r="M56" s="2">
        <f t="shared" si="9"/>
        <v>4563292</v>
      </c>
      <c r="N56" s="2">
        <f>SUM('Fund Cover Sheets'!C891:K891)</f>
        <v>4563292</v>
      </c>
      <c r="O56" s="103">
        <f t="shared" si="10"/>
        <v>0</v>
      </c>
    </row>
    <row r="57" spans="1:15" ht="24" customHeight="1">
      <c r="A57" s="87"/>
      <c r="B57" s="84" t="s">
        <v>755</v>
      </c>
      <c r="C57" s="3">
        <f>'Budget Detail FY 2013-18'!N1141</f>
        <v>1896</v>
      </c>
      <c r="D57" s="3">
        <f>'Budget Detail FY 2013-18'!O1141</f>
        <v>19741</v>
      </c>
      <c r="E57" s="3">
        <f>'Budget Detail FY 2013-18'!P1141</f>
        <v>41500</v>
      </c>
      <c r="F57" s="3">
        <f>'Budget Detail FY 2013-18'!Q1141</f>
        <v>36834</v>
      </c>
      <c r="G57" s="3">
        <f>'Budget Detail FY 2013-18'!R1141</f>
        <v>45350</v>
      </c>
      <c r="H57" s="3">
        <f>'Budget Detail FY 2013-18'!S1141</f>
        <v>45355</v>
      </c>
      <c r="I57" s="3">
        <f>'Budget Detail FY 2013-18'!T1141</f>
        <v>45360</v>
      </c>
      <c r="J57" s="3">
        <f>'Budget Detail FY 2013-18'!U1141</f>
        <v>45365</v>
      </c>
      <c r="K57" s="3">
        <f>'Budget Detail FY 2013-18'!V1141</f>
        <v>45375</v>
      </c>
      <c r="M57" s="2">
        <f t="shared" si="9"/>
        <v>326776</v>
      </c>
      <c r="N57" s="2">
        <f>SUM('Fund Cover Sheets'!C934:K934)</f>
        <v>326776</v>
      </c>
      <c r="O57" s="103">
        <f t="shared" si="10"/>
        <v>0</v>
      </c>
    </row>
    <row r="58" spans="1:15" ht="24" customHeight="1">
      <c r="A58" s="87"/>
      <c r="B58" s="84" t="s">
        <v>1119</v>
      </c>
      <c r="C58" s="88">
        <f>'Budget Detail FY 2013-18'!N346</f>
        <v>4178</v>
      </c>
      <c r="D58" s="88">
        <f>'Budget Detail FY 2013-18'!O346</f>
        <v>4664</v>
      </c>
      <c r="E58" s="88">
        <f>'Budget Detail FY 2013-18'!P346</f>
        <v>4500</v>
      </c>
      <c r="F58" s="88">
        <f>'Budget Detail FY 2013-18'!Q346</f>
        <v>5476</v>
      </c>
      <c r="G58" s="88">
        <f>'Budget Detail FY 2013-18'!R346</f>
        <v>7500</v>
      </c>
      <c r="H58" s="88">
        <f>'Budget Detail FY 2013-18'!S346</f>
        <v>19603</v>
      </c>
      <c r="I58" s="88">
        <f>'Budget Detail FY 2013-18'!T346</f>
        <v>19603</v>
      </c>
      <c r="J58" s="88">
        <f>'Budget Detail FY 2013-18'!U346</f>
        <v>4603</v>
      </c>
      <c r="K58" s="88">
        <f>'Budget Detail FY 2013-18'!V346</f>
        <v>4603</v>
      </c>
      <c r="M58" s="2">
        <f t="shared" si="9"/>
        <v>74730</v>
      </c>
      <c r="N58" s="2">
        <f>SUM('Fund Cover Sheets'!C74:K74)</f>
        <v>74730</v>
      </c>
      <c r="O58" s="103">
        <f t="shared" si="10"/>
        <v>0</v>
      </c>
    </row>
    <row r="59" spans="1:15" ht="24" customHeight="1">
      <c r="A59" s="87"/>
      <c r="B59" s="84" t="s">
        <v>1120</v>
      </c>
      <c r="C59" s="88">
        <f>'Budget Detail FY 2013-18'!N363</f>
        <v>8136</v>
      </c>
      <c r="D59" s="88">
        <f>'Budget Detail FY 2013-18'!O363</f>
        <v>7272</v>
      </c>
      <c r="E59" s="88">
        <f>'Budget Detail FY 2013-18'!P363</f>
        <v>9986</v>
      </c>
      <c r="F59" s="88">
        <f>'Budget Detail FY 2013-18'!Q363</f>
        <v>11714</v>
      </c>
      <c r="G59" s="88">
        <f>'Budget Detail FY 2013-18'!R363</f>
        <v>14985</v>
      </c>
      <c r="H59" s="88">
        <f>'Budget Detail FY 2013-18'!S363</f>
        <v>35985</v>
      </c>
      <c r="I59" s="88">
        <f>'Budget Detail FY 2013-18'!T363</f>
        <v>35985</v>
      </c>
      <c r="J59" s="88">
        <f>'Budget Detail FY 2013-18'!U363</f>
        <v>10985</v>
      </c>
      <c r="K59" s="88">
        <f>'Budget Detail FY 2013-18'!V363</f>
        <v>10985</v>
      </c>
      <c r="M59" s="2">
        <f t="shared" si="9"/>
        <v>146033</v>
      </c>
      <c r="N59" s="2">
        <f>SUM('Fund Cover Sheets'!C118:K118)</f>
        <v>146033</v>
      </c>
      <c r="O59" s="103">
        <f t="shared" si="10"/>
        <v>0</v>
      </c>
    </row>
    <row r="60" spans="1:15">
      <c r="A60" s="87"/>
      <c r="B60" s="84"/>
      <c r="C60" s="88"/>
      <c r="D60" s="88"/>
      <c r="E60" s="88"/>
      <c r="F60" s="88"/>
      <c r="G60" s="88"/>
      <c r="H60" s="88"/>
      <c r="I60" s="88"/>
      <c r="J60" s="88"/>
      <c r="K60" s="88"/>
      <c r="M60" s="2"/>
      <c r="N60" s="2"/>
    </row>
    <row r="61" spans="1:15" ht="24" customHeight="1">
      <c r="A61" s="86" t="s">
        <v>1121</v>
      </c>
      <c r="B61" s="79"/>
      <c r="C61" s="3">
        <f>'Budget Detail FY 2013-18'!N577</f>
        <v>429404</v>
      </c>
      <c r="D61" s="3">
        <f>'Budget Detail FY 2013-18'!O577</f>
        <v>428668</v>
      </c>
      <c r="E61" s="3">
        <f>'Budget Detail FY 2013-18'!P577</f>
        <v>505370</v>
      </c>
      <c r="F61" s="3">
        <f>'Budget Detail FY 2013-18'!Q577</f>
        <v>505370</v>
      </c>
      <c r="G61" s="3">
        <f>'Budget Detail FY 2013-18'!R577</f>
        <v>328554</v>
      </c>
      <c r="H61" s="3">
        <f>'Budget Detail FY 2013-18'!S577</f>
        <v>329954</v>
      </c>
      <c r="I61" s="3">
        <f>'Budget Detail FY 2013-18'!T577</f>
        <v>330954</v>
      </c>
      <c r="J61" s="3">
        <f>'Budget Detail FY 2013-18'!U577</f>
        <v>336554</v>
      </c>
      <c r="K61" s="3">
        <f>'Budget Detail FY 2013-18'!V577</f>
        <v>336554</v>
      </c>
      <c r="M61" s="2">
        <f>SUM(C61:K61)</f>
        <v>3531382</v>
      </c>
      <c r="N61" s="2">
        <f>SUM('Fund Cover Sheets'!C399:K399)</f>
        <v>3531382</v>
      </c>
      <c r="O61" s="103">
        <f>M61-N61</f>
        <v>0</v>
      </c>
    </row>
    <row r="62" spans="1:15">
      <c r="A62" s="86"/>
      <c r="B62" s="79"/>
      <c r="C62" s="3"/>
      <c r="D62" s="3"/>
      <c r="E62" s="3"/>
      <c r="F62" s="3"/>
      <c r="G62" s="3"/>
      <c r="H62" s="3"/>
      <c r="I62" s="3"/>
      <c r="J62" s="3"/>
      <c r="K62" s="3"/>
      <c r="M62" s="2"/>
      <c r="N62" s="2"/>
    </row>
    <row r="63" spans="1:15" ht="24" customHeight="1">
      <c r="A63" s="86" t="s">
        <v>1122</v>
      </c>
      <c r="B63" s="79"/>
      <c r="C63" s="3"/>
      <c r="D63" s="3"/>
      <c r="E63" s="3"/>
      <c r="F63" s="3"/>
      <c r="G63" s="3"/>
      <c r="H63" s="3"/>
      <c r="I63" s="3"/>
      <c r="J63" s="3"/>
      <c r="K63" s="3"/>
      <c r="M63" s="2"/>
      <c r="N63" s="2"/>
    </row>
    <row r="64" spans="1:15" ht="24" customHeight="1">
      <c r="A64" s="86"/>
      <c r="B64" s="84" t="s">
        <v>1123</v>
      </c>
      <c r="C64" s="3">
        <f>'Budget Detail FY 2013-18'!N418</f>
        <v>0</v>
      </c>
      <c r="D64" s="3">
        <f>'Budget Detail FY 2013-18'!O418</f>
        <v>750</v>
      </c>
      <c r="E64" s="3">
        <f>'Budget Detail FY 2013-18'!P418</f>
        <v>0</v>
      </c>
      <c r="F64" s="3">
        <f>'Budget Detail FY 2013-18'!Q418</f>
        <v>3150</v>
      </c>
      <c r="G64" s="3">
        <f>'Budget Detail FY 2013-18'!R418</f>
        <v>0</v>
      </c>
      <c r="H64" s="3">
        <f>'Budget Detail FY 2013-18'!S418</f>
        <v>0</v>
      </c>
      <c r="I64" s="3">
        <f>'Budget Detail FY 2013-18'!T418</f>
        <v>0</v>
      </c>
      <c r="J64" s="3">
        <f>'Budget Detail FY 2013-18'!U418</f>
        <v>0</v>
      </c>
      <c r="K64" s="3">
        <f>'Budget Detail FY 2013-18'!V418</f>
        <v>0</v>
      </c>
      <c r="M64" s="2">
        <f t="shared" ref="M64:M66" si="11">SUM(C64:K64)</f>
        <v>3900</v>
      </c>
      <c r="N64" s="2">
        <f>SUM('Fund Cover Sheets'!C209:K209)</f>
        <v>3900</v>
      </c>
      <c r="O64" s="103">
        <f t="shared" ref="O64:O66" si="12">M64-N64</f>
        <v>0</v>
      </c>
    </row>
    <row r="65" spans="1:15" ht="24" customHeight="1">
      <c r="A65" s="87"/>
      <c r="B65" s="84" t="s">
        <v>1305</v>
      </c>
      <c r="C65" s="3">
        <f>'Budget Detail FY 2013-18'!N544</f>
        <v>164267</v>
      </c>
      <c r="D65" s="3">
        <f>'Budget Detail FY 2013-18'!O544</f>
        <v>98518</v>
      </c>
      <c r="E65" s="3">
        <f>'Budget Detail FY 2013-18'!P544</f>
        <v>282295</v>
      </c>
      <c r="F65" s="3">
        <f>'Budget Detail FY 2013-18'!Q544</f>
        <v>352108</v>
      </c>
      <c r="G65" s="3">
        <f>'Budget Detail FY 2013-18'!R544</f>
        <v>292462</v>
      </c>
      <c r="H65" s="3">
        <f>'Budget Detail FY 2013-18'!S544</f>
        <v>211462</v>
      </c>
      <c r="I65" s="3">
        <f>'Budget Detail FY 2013-18'!T544</f>
        <v>195462</v>
      </c>
      <c r="J65" s="3">
        <f>'Budget Detail FY 2013-18'!U544</f>
        <v>195462</v>
      </c>
      <c r="K65" s="3">
        <f>'Budget Detail FY 2013-18'!V544</f>
        <v>195462</v>
      </c>
      <c r="M65" s="2">
        <f t="shared" si="11"/>
        <v>1987498</v>
      </c>
      <c r="N65" s="2">
        <f>SUM('Fund Cover Sheets'!C342:K342)</f>
        <v>1987498</v>
      </c>
      <c r="O65" s="103">
        <f t="shared" si="12"/>
        <v>0</v>
      </c>
    </row>
    <row r="66" spans="1:15" ht="24" customHeight="1">
      <c r="A66" s="87"/>
      <c r="B66" s="84" t="s">
        <v>1125</v>
      </c>
      <c r="C66" s="88">
        <f>'Budget Detail FY 2013-18'!N477</f>
        <v>302773</v>
      </c>
      <c r="D66" s="88">
        <f>'Budget Detail FY 2013-18'!O477</f>
        <v>146573</v>
      </c>
      <c r="E66" s="88">
        <f>'Budget Detail FY 2013-18'!P477</f>
        <v>1040500</v>
      </c>
      <c r="F66" s="88">
        <f>'Budget Detail FY 2013-18'!Q477</f>
        <v>538461</v>
      </c>
      <c r="G66" s="88">
        <f>'Budget Detail FY 2013-18'!R477</f>
        <v>1261446</v>
      </c>
      <c r="H66" s="88">
        <f>'Budget Detail FY 2013-18'!S477</f>
        <v>1340804</v>
      </c>
      <c r="I66" s="88">
        <f>'Budget Detail FY 2013-18'!T477</f>
        <v>5088159</v>
      </c>
      <c r="J66" s="88">
        <f>'Budget Detail FY 2013-18'!U477</f>
        <v>2658164</v>
      </c>
      <c r="K66" s="88">
        <f>'Budget Detail FY 2013-18'!V477</f>
        <v>1502980</v>
      </c>
      <c r="M66" s="2">
        <f t="shared" si="11"/>
        <v>13879860</v>
      </c>
      <c r="N66" s="2">
        <f>SUM('Fund Cover Sheets'!C260:K260)</f>
        <v>13879860</v>
      </c>
      <c r="O66" s="103">
        <f t="shared" si="12"/>
        <v>0</v>
      </c>
    </row>
    <row r="67" spans="1:15">
      <c r="A67" s="87"/>
      <c r="B67" s="84"/>
      <c r="C67" s="88"/>
      <c r="D67" s="88"/>
      <c r="E67" s="88"/>
      <c r="F67" s="88"/>
      <c r="G67" s="88"/>
      <c r="H67" s="88"/>
      <c r="I67" s="88"/>
      <c r="J67" s="88"/>
      <c r="K67" s="88"/>
      <c r="M67" s="2"/>
      <c r="N67" s="2"/>
    </row>
    <row r="68" spans="1:15" ht="24" customHeight="1">
      <c r="A68" s="86" t="s">
        <v>1126</v>
      </c>
      <c r="B68" s="84"/>
      <c r="C68" s="88"/>
      <c r="D68" s="88"/>
      <c r="E68" s="88"/>
      <c r="F68" s="88"/>
      <c r="G68" s="88"/>
      <c r="H68" s="88"/>
      <c r="I68" s="88"/>
      <c r="J68" s="88"/>
      <c r="K68" s="88"/>
      <c r="M68" s="2"/>
      <c r="N68" s="2"/>
    </row>
    <row r="69" spans="1:15" ht="24" customHeight="1">
      <c r="B69" s="84" t="s">
        <v>858</v>
      </c>
      <c r="C69" s="88">
        <f>'Budget Detail FY 2013-18'!N669</f>
        <v>2272173</v>
      </c>
      <c r="D69" s="88">
        <f>'Budget Detail FY 2013-18'!O669</f>
        <v>2379621</v>
      </c>
      <c r="E69" s="88">
        <f>'Budget Detail FY 2013-18'!P669</f>
        <v>3085983</v>
      </c>
      <c r="F69" s="88">
        <f>'Budget Detail FY 2013-18'!Q669</f>
        <v>3053376</v>
      </c>
      <c r="G69" s="88">
        <f>'Budget Detail FY 2013-18'!R669</f>
        <v>2859595</v>
      </c>
      <c r="H69" s="88">
        <f>'Budget Detail FY 2013-18'!S669</f>
        <v>3536059</v>
      </c>
      <c r="I69" s="88">
        <f>'Budget Detail FY 2013-18'!T669</f>
        <v>3671470</v>
      </c>
      <c r="J69" s="88">
        <f>'Budget Detail FY 2013-18'!U669</f>
        <v>3398285</v>
      </c>
      <c r="K69" s="88">
        <f>'Budget Detail FY 2013-18'!V669</f>
        <v>2855727</v>
      </c>
      <c r="M69" s="2">
        <f t="shared" ref="M69:M71" si="13">SUM(C69:K69)</f>
        <v>27112289</v>
      </c>
      <c r="N69" s="2">
        <f>SUM('Fund Cover Sheets'!C453:K453)</f>
        <v>27112289</v>
      </c>
      <c r="O69" s="103">
        <f t="shared" ref="O69:O71" si="14">M69-N69</f>
        <v>0</v>
      </c>
    </row>
    <row r="70" spans="1:15" ht="24" customHeight="1">
      <c r="B70" s="84" t="s">
        <v>859</v>
      </c>
      <c r="C70" s="88">
        <f>'Budget Detail FY 2013-18'!N762</f>
        <v>1835456</v>
      </c>
      <c r="D70" s="88">
        <f>'Budget Detail FY 2013-18'!O762</f>
        <v>2494670</v>
      </c>
      <c r="E70" s="88">
        <f>'Budget Detail FY 2013-18'!P762</f>
        <v>1895210</v>
      </c>
      <c r="F70" s="88">
        <f>'Budget Detail FY 2013-18'!Q762</f>
        <v>1750812</v>
      </c>
      <c r="G70" s="88">
        <f>'Budget Detail FY 2013-18'!R762</f>
        <v>2570120</v>
      </c>
      <c r="H70" s="88">
        <f>'Budget Detail FY 2013-18'!S762</f>
        <v>3043689</v>
      </c>
      <c r="I70" s="88">
        <f>'Budget Detail FY 2013-18'!T762</f>
        <v>2681712</v>
      </c>
      <c r="J70" s="88">
        <f>'Budget Detail FY 2013-18'!U762</f>
        <v>2851779</v>
      </c>
      <c r="K70" s="88">
        <f>'Budget Detail FY 2013-18'!V762</f>
        <v>2529201</v>
      </c>
      <c r="M70" s="2">
        <f t="shared" si="13"/>
        <v>21652649</v>
      </c>
      <c r="N70" s="2">
        <f>SUM('Fund Cover Sheets'!C507:K507)</f>
        <v>21652649</v>
      </c>
      <c r="O70" s="103">
        <f t="shared" si="14"/>
        <v>0</v>
      </c>
    </row>
    <row r="71" spans="1:15" ht="24" customHeight="1">
      <c r="B71" s="84" t="s">
        <v>777</v>
      </c>
      <c r="C71" s="88">
        <f>'Budget Detail FY 2013-18'!N947</f>
        <v>687290</v>
      </c>
      <c r="D71" s="88">
        <f>'Budget Detail FY 2013-18'!O947</f>
        <v>659476</v>
      </c>
      <c r="E71" s="88">
        <f>'Budget Detail FY 2013-18'!P947</f>
        <v>703633</v>
      </c>
      <c r="F71" s="88">
        <f>'Budget Detail FY 2013-18'!Q947</f>
        <v>760673</v>
      </c>
      <c r="G71" s="88">
        <f>'Budget Detail FY 2013-18'!R947</f>
        <v>150489</v>
      </c>
      <c r="H71" s="88">
        <f>'Budget Detail FY 2013-18'!S947</f>
        <v>0</v>
      </c>
      <c r="I71" s="88">
        <f>'Budget Detail FY 2013-18'!T947</f>
        <v>0</v>
      </c>
      <c r="J71" s="88">
        <f>'Budget Detail FY 2013-18'!U947</f>
        <v>0</v>
      </c>
      <c r="K71" s="88">
        <f>'Budget Detail FY 2013-18'!V947</f>
        <v>0</v>
      </c>
      <c r="M71" s="2">
        <f t="shared" si="13"/>
        <v>2961561</v>
      </c>
      <c r="N71" s="2">
        <f>SUM('Fund Cover Sheets'!C651:K651)</f>
        <v>2961561</v>
      </c>
      <c r="O71" s="103">
        <f t="shared" si="14"/>
        <v>0</v>
      </c>
    </row>
    <row r="72" spans="1:15">
      <c r="B72" s="84"/>
      <c r="C72" s="88"/>
      <c r="D72" s="88"/>
      <c r="E72" s="88"/>
      <c r="F72" s="88"/>
      <c r="G72" s="88"/>
      <c r="H72" s="88"/>
      <c r="I72" s="88"/>
      <c r="J72" s="88"/>
      <c r="K72" s="88"/>
      <c r="M72" s="2"/>
      <c r="N72" s="2"/>
    </row>
    <row r="73" spans="1:15" ht="24" customHeight="1">
      <c r="A73" s="86" t="s">
        <v>1130</v>
      </c>
      <c r="B73" s="84"/>
      <c r="C73" s="88"/>
      <c r="D73" s="88"/>
      <c r="E73" s="88"/>
      <c r="F73" s="88"/>
      <c r="G73" s="88"/>
      <c r="H73" s="88"/>
      <c r="I73" s="88"/>
      <c r="J73" s="88"/>
      <c r="K73" s="88"/>
      <c r="M73" s="2"/>
      <c r="N73" s="2"/>
    </row>
    <row r="74" spans="1:15" ht="24" customHeight="1">
      <c r="A74" s="86"/>
      <c r="B74" s="84" t="s">
        <v>841</v>
      </c>
      <c r="C74" s="88">
        <f>'Budget Detail FY 2013-18'!N1029</f>
        <v>1587712</v>
      </c>
      <c r="D74" s="88">
        <f>'Budget Detail FY 2013-18'!O1029</f>
        <v>1024044</v>
      </c>
      <c r="E74" s="88">
        <f>'Budget Detail FY 2013-18'!P1029</f>
        <v>794413</v>
      </c>
      <c r="F74" s="88">
        <f>'Budget Detail FY 2013-18'!Q1029</f>
        <v>776780</v>
      </c>
      <c r="G74" s="88">
        <f>'Budget Detail FY 2013-18'!R1029</f>
        <v>771363</v>
      </c>
      <c r="H74" s="88">
        <f>'Budget Detail FY 2013-18'!S1029</f>
        <v>783759</v>
      </c>
      <c r="I74" s="88">
        <f>'Budget Detail FY 2013-18'!T1029</f>
        <v>797294</v>
      </c>
      <c r="J74" s="88">
        <f>'Budget Detail FY 2013-18'!U1029</f>
        <v>807205</v>
      </c>
      <c r="K74" s="88">
        <f>'Budget Detail FY 2013-18'!V1029</f>
        <v>817702</v>
      </c>
      <c r="M74" s="2">
        <f t="shared" ref="M74:M76" si="15">SUM(C74:K74)</f>
        <v>8160272</v>
      </c>
      <c r="N74" s="2">
        <f>SUM('Fund Cover Sheets'!C707:K707)</f>
        <v>8160272</v>
      </c>
      <c r="O74" s="103">
        <f t="shared" ref="O74:O78" si="16">M74-N74</f>
        <v>0</v>
      </c>
    </row>
    <row r="75" spans="1:15" ht="24" customHeight="1">
      <c r="A75" s="86"/>
      <c r="B75" s="84" t="s">
        <v>734</v>
      </c>
      <c r="C75" s="88">
        <f>'Budget Detail FY 2013-18'!N1054</f>
        <v>0</v>
      </c>
      <c r="D75" s="88">
        <f>'Budget Detail FY 2013-18'!O1054</f>
        <v>720800</v>
      </c>
      <c r="E75" s="88">
        <f>'Budget Detail FY 2013-18'!P1054</f>
        <v>795488</v>
      </c>
      <c r="F75" s="88">
        <f>'Budget Detail FY 2013-18'!Q1054</f>
        <v>795488</v>
      </c>
      <c r="G75" s="88">
        <f>'Budget Detail FY 2013-18'!R1054</f>
        <v>769638</v>
      </c>
      <c r="H75" s="88">
        <f>'Budget Detail FY 2013-18'!S1054</f>
        <v>730288</v>
      </c>
      <c r="I75" s="88">
        <f>'Budget Detail FY 2013-18'!T1054</f>
        <v>743513</v>
      </c>
      <c r="J75" s="88">
        <f>'Budget Detail FY 2013-18'!U1054</f>
        <v>751238</v>
      </c>
      <c r="K75" s="88">
        <f>'Budget Detail FY 2013-18'!V1054</f>
        <v>753563</v>
      </c>
      <c r="M75" s="2">
        <f t="shared" si="15"/>
        <v>6060016</v>
      </c>
      <c r="N75" s="2">
        <f>SUM('Fund Cover Sheets'!C753:K753)</f>
        <v>6060016</v>
      </c>
      <c r="O75" s="103">
        <f t="shared" si="16"/>
        <v>0</v>
      </c>
    </row>
    <row r="76" spans="1:15" ht="24" customHeight="1">
      <c r="A76" s="86"/>
      <c r="B76" s="84" t="s">
        <v>1128</v>
      </c>
      <c r="C76" s="88">
        <f>'Budget Detail FY 2013-18'!N1077</f>
        <v>0</v>
      </c>
      <c r="D76" s="88">
        <f>'Budget Detail FY 2013-18'!O1077</f>
        <v>343465</v>
      </c>
      <c r="E76" s="88">
        <f>'Budget Detail FY 2013-18'!P1077</f>
        <v>13474</v>
      </c>
      <c r="F76" s="88">
        <f>'Budget Detail FY 2013-18'!Q1077</f>
        <v>17974</v>
      </c>
      <c r="G76" s="88">
        <f>'Budget Detail FY 2013-18'!R1077</f>
        <v>38850</v>
      </c>
      <c r="H76" s="88">
        <f>'Budget Detail FY 2013-18'!S1077</f>
        <v>20020</v>
      </c>
      <c r="I76" s="88">
        <f>'Budget Detail FY 2013-18'!T1077</f>
        <v>20020</v>
      </c>
      <c r="J76" s="88">
        <f>'Budget Detail FY 2013-18'!U1077</f>
        <v>20020</v>
      </c>
      <c r="K76" s="88">
        <f>'Budget Detail FY 2013-18'!V1077</f>
        <v>20020</v>
      </c>
      <c r="M76" s="2">
        <f t="shared" si="15"/>
        <v>493843</v>
      </c>
      <c r="N76" s="2">
        <f>SUM('Fund Cover Sheets'!C801:K801)</f>
        <v>493843</v>
      </c>
      <c r="O76" s="103">
        <f t="shared" si="16"/>
        <v>0</v>
      </c>
    </row>
    <row r="77" spans="1:15">
      <c r="C77" s="2"/>
      <c r="D77" s="2"/>
      <c r="E77" s="2"/>
      <c r="F77" s="2"/>
      <c r="G77" s="2"/>
      <c r="H77" s="2"/>
      <c r="I77" s="2"/>
      <c r="J77" s="2"/>
      <c r="K77" s="2"/>
      <c r="M77" s="2"/>
      <c r="N77" s="2"/>
    </row>
    <row r="78" spans="1:15" ht="24" customHeight="1" thickBot="1">
      <c r="A78" s="8"/>
      <c r="B78" s="90" t="s">
        <v>1189</v>
      </c>
      <c r="C78" s="91">
        <f>SUM(C49:C77)</f>
        <v>20854036</v>
      </c>
      <c r="D78" s="91">
        <f t="shared" ref="D78:K78" si="17">SUM(D49:D77)</f>
        <v>22198453</v>
      </c>
      <c r="E78" s="91">
        <f t="shared" si="17"/>
        <v>23262714</v>
      </c>
      <c r="F78" s="91">
        <f t="shared" si="17"/>
        <v>21663912</v>
      </c>
      <c r="G78" s="91">
        <f t="shared" si="17"/>
        <v>28789529</v>
      </c>
      <c r="H78" s="91">
        <f t="shared" si="17"/>
        <v>25680470</v>
      </c>
      <c r="I78" s="91">
        <f t="shared" si="17"/>
        <v>29551880</v>
      </c>
      <c r="J78" s="91">
        <f t="shared" si="17"/>
        <v>28247694</v>
      </c>
      <c r="K78" s="91">
        <f t="shared" si="17"/>
        <v>25633296</v>
      </c>
      <c r="M78" s="2">
        <f>SUM(M49:M76)</f>
        <v>225881984</v>
      </c>
      <c r="N78" s="2">
        <f>SUM(N49:N76)</f>
        <v>225881984</v>
      </c>
      <c r="O78" s="103">
        <f t="shared" si="16"/>
        <v>0</v>
      </c>
    </row>
    <row r="79" spans="1:15" ht="15.75" thickTop="1">
      <c r="M79" s="2"/>
      <c r="N79" s="2"/>
    </row>
    <row r="80" spans="1:15">
      <c r="M80" s="2"/>
      <c r="N80" s="2"/>
    </row>
    <row r="81" spans="13:14">
      <c r="M81" s="2"/>
      <c r="N81" s="2"/>
    </row>
    <row r="82" spans="13:14">
      <c r="M82" s="2"/>
      <c r="N82" s="2"/>
    </row>
    <row r="83" spans="13:14">
      <c r="M83" s="2"/>
      <c r="N83" s="2"/>
    </row>
    <row r="84" spans="13:14">
      <c r="M84" s="2"/>
      <c r="N84" s="2"/>
    </row>
    <row r="85" spans="13:14">
      <c r="M85" s="2"/>
      <c r="N85" s="2"/>
    </row>
    <row r="86" spans="13:14">
      <c r="M86" s="2"/>
      <c r="N86" s="2"/>
    </row>
    <row r="87" spans="13:14">
      <c r="M87" s="2"/>
      <c r="N87" s="2"/>
    </row>
    <row r="88" spans="13:14">
      <c r="M88" s="2"/>
      <c r="N88" s="2"/>
    </row>
    <row r="89" spans="13:14">
      <c r="M89" s="2"/>
      <c r="N89" s="2"/>
    </row>
    <row r="90" spans="13:14">
      <c r="M90" s="2"/>
      <c r="N90" s="2"/>
    </row>
    <row r="91" spans="13:14">
      <c r="M91" s="2"/>
      <c r="N91" s="2"/>
    </row>
    <row r="92" spans="13:14">
      <c r="M92" s="2"/>
      <c r="N92" s="2"/>
    </row>
    <row r="93" spans="13:14">
      <c r="M93" s="2"/>
      <c r="N93" s="2"/>
    </row>
    <row r="94" spans="13:14">
      <c r="M94" s="2"/>
      <c r="N94" s="2"/>
    </row>
    <row r="95" spans="13:14">
      <c r="M95" s="2"/>
      <c r="N95" s="2"/>
    </row>
    <row r="96" spans="13:14">
      <c r="M96" s="2"/>
      <c r="N96" s="2"/>
    </row>
    <row r="97" spans="13:14">
      <c r="M97" s="2"/>
      <c r="N97" s="2"/>
    </row>
    <row r="98" spans="13:14">
      <c r="M98" s="2"/>
      <c r="N98" s="2"/>
    </row>
    <row r="99" spans="13:14">
      <c r="M99" s="2"/>
      <c r="N99" s="2"/>
    </row>
    <row r="100" spans="13:14">
      <c r="M100" s="2"/>
      <c r="N100" s="2"/>
    </row>
    <row r="101" spans="13:14">
      <c r="M101" s="2"/>
      <c r="N101" s="2"/>
    </row>
    <row r="102" spans="13:14">
      <c r="M102" s="2"/>
      <c r="N102" s="2"/>
    </row>
    <row r="103" spans="13:14">
      <c r="M103" s="2"/>
      <c r="N103" s="2"/>
    </row>
    <row r="104" spans="13:14">
      <c r="M104" s="2"/>
      <c r="N104" s="2"/>
    </row>
    <row r="105" spans="13:14">
      <c r="M105" s="2"/>
      <c r="N105" s="2"/>
    </row>
    <row r="106" spans="13:14">
      <c r="M106" s="2"/>
      <c r="N106" s="2"/>
    </row>
    <row r="107" spans="13:14">
      <c r="M107" s="2"/>
      <c r="N107" s="2"/>
    </row>
  </sheetData>
  <mergeCells count="6">
    <mergeCell ref="B41:K41"/>
    <mergeCell ref="B42:K42"/>
    <mergeCell ref="B43:K43"/>
    <mergeCell ref="B1:K1"/>
    <mergeCell ref="B2:K2"/>
    <mergeCell ref="B3:K3"/>
  </mergeCells>
  <printOptions horizontalCentered="1"/>
  <pageMargins left="0" right="0" top="0.5" bottom="0.25" header="0" footer="0"/>
  <pageSetup scale="66" orientation="landscape" r:id="rId1"/>
  <rowBreaks count="1" manualBreakCount="1">
    <brk id="40" max="10" man="1"/>
  </rowBreaks>
</worksheet>
</file>

<file path=xl/worksheets/sheet2.xml><?xml version="1.0" encoding="utf-8"?>
<worksheet xmlns="http://schemas.openxmlformats.org/spreadsheetml/2006/main" xmlns:r="http://schemas.openxmlformats.org/officeDocument/2006/relationships">
  <dimension ref="A1:U112"/>
  <sheetViews>
    <sheetView zoomScaleNormal="100" workbookViewId="0">
      <selection activeCell="W41" sqref="W41"/>
    </sheetView>
  </sheetViews>
  <sheetFormatPr defaultColWidth="10.42578125" defaultRowHeight="15"/>
  <cols>
    <col min="1" max="1" width="3.7109375" style="1" customWidth="1"/>
    <col min="2" max="2" width="25.85546875" style="1" customWidth="1"/>
    <col min="3" max="13" width="12.7109375" style="1" customWidth="1"/>
    <col min="14" max="14" width="6.28515625" style="80" hidden="1" customWidth="1"/>
    <col min="15" max="15" width="19.28515625" style="94" hidden="1" customWidth="1"/>
    <col min="16" max="16" width="12.7109375" style="1" hidden="1" customWidth="1"/>
    <col min="17" max="18" width="0" style="1" hidden="1" customWidth="1"/>
    <col min="19" max="19" width="14" style="1" hidden="1" customWidth="1"/>
    <col min="20" max="21" width="0" style="1" hidden="1" customWidth="1"/>
    <col min="22" max="16384" width="10.42578125" style="1"/>
  </cols>
  <sheetData>
    <row r="1" spans="1:16" ht="24" customHeight="1">
      <c r="A1" s="519" t="s">
        <v>1113</v>
      </c>
      <c r="B1" s="519"/>
      <c r="C1" s="519"/>
      <c r="D1" s="519"/>
      <c r="E1" s="519"/>
      <c r="F1" s="519"/>
      <c r="G1" s="519"/>
      <c r="H1" s="519"/>
      <c r="I1" s="519"/>
      <c r="J1" s="519"/>
      <c r="K1" s="519"/>
      <c r="L1" s="519"/>
      <c r="M1" s="519"/>
      <c r="N1" s="93"/>
    </row>
    <row r="2" spans="1:16" ht="24" customHeight="1">
      <c r="A2" s="520" t="s">
        <v>1131</v>
      </c>
      <c r="B2" s="520"/>
      <c r="C2" s="520"/>
      <c r="D2" s="520"/>
      <c r="E2" s="520"/>
      <c r="F2" s="520"/>
      <c r="G2" s="520"/>
      <c r="H2" s="520"/>
      <c r="I2" s="520"/>
      <c r="J2" s="520"/>
      <c r="K2" s="520"/>
      <c r="L2" s="520"/>
      <c r="M2" s="520"/>
      <c r="N2" s="93"/>
    </row>
    <row r="3" spans="1:16" ht="24" customHeight="1">
      <c r="A3" s="519" t="s">
        <v>1237</v>
      </c>
      <c r="B3" s="519"/>
      <c r="C3" s="519"/>
      <c r="D3" s="519"/>
      <c r="E3" s="519"/>
      <c r="F3" s="519"/>
      <c r="G3" s="519"/>
      <c r="H3" s="519"/>
      <c r="I3" s="519"/>
      <c r="J3" s="519"/>
      <c r="K3" s="519"/>
      <c r="L3" s="519"/>
      <c r="M3" s="519"/>
      <c r="N3" s="93"/>
    </row>
    <row r="4" spans="1:16" ht="15" customHeight="1"/>
    <row r="5" spans="1:16" ht="15" customHeight="1">
      <c r="L5" s="81" t="s">
        <v>1132</v>
      </c>
      <c r="O5" s="146" t="s">
        <v>1452</v>
      </c>
    </row>
    <row r="6" spans="1:16" ht="15" customHeight="1">
      <c r="D6" s="80" t="s">
        <v>1133</v>
      </c>
      <c r="E6" s="80" t="s">
        <v>1134</v>
      </c>
      <c r="F6" s="81" t="s">
        <v>1135</v>
      </c>
      <c r="G6" s="80" t="s">
        <v>1136</v>
      </c>
      <c r="H6" s="80" t="s">
        <v>1137</v>
      </c>
      <c r="I6" s="80" t="s">
        <v>1138</v>
      </c>
      <c r="J6" s="81" t="s">
        <v>1139</v>
      </c>
      <c r="K6" s="81" t="s">
        <v>1140</v>
      </c>
      <c r="L6" s="81" t="s">
        <v>1141</v>
      </c>
      <c r="M6" s="81" t="s">
        <v>1142</v>
      </c>
      <c r="N6" s="81"/>
      <c r="O6" s="146" t="s">
        <v>1451</v>
      </c>
      <c r="P6" s="147" t="s">
        <v>1445</v>
      </c>
    </row>
    <row r="7" spans="1:16" ht="15" customHeight="1" thickBot="1">
      <c r="A7" s="82"/>
      <c r="B7" s="82" t="s">
        <v>1115</v>
      </c>
      <c r="C7" s="95" t="s">
        <v>1047</v>
      </c>
      <c r="D7" s="95" t="s">
        <v>1143</v>
      </c>
      <c r="E7" s="83" t="s">
        <v>1144</v>
      </c>
      <c r="F7" s="83" t="s">
        <v>1145</v>
      </c>
      <c r="G7" s="83" t="s">
        <v>1146</v>
      </c>
      <c r="H7" s="83" t="s">
        <v>1147</v>
      </c>
      <c r="I7" s="83" t="s">
        <v>1148</v>
      </c>
      <c r="J7" s="83" t="s">
        <v>1149</v>
      </c>
      <c r="K7" s="83" t="s">
        <v>1150</v>
      </c>
      <c r="L7" s="83" t="s">
        <v>1151</v>
      </c>
      <c r="M7" s="83" t="s">
        <v>1152</v>
      </c>
      <c r="N7" s="85"/>
    </row>
    <row r="8" spans="1:16" ht="15" customHeight="1">
      <c r="A8" s="84"/>
      <c r="B8" s="84"/>
      <c r="C8" s="96"/>
      <c r="D8" s="96"/>
      <c r="E8" s="85"/>
      <c r="F8" s="85"/>
      <c r="G8" s="85"/>
      <c r="H8" s="85"/>
      <c r="I8" s="85"/>
      <c r="J8" s="85"/>
      <c r="K8" s="85"/>
      <c r="L8" s="85"/>
      <c r="M8" s="85"/>
      <c r="N8" s="85"/>
    </row>
    <row r="9" spans="1:16" ht="15" customHeight="1"/>
    <row r="10" spans="1:16" ht="24" customHeight="1">
      <c r="A10" s="86" t="s">
        <v>1116</v>
      </c>
      <c r="C10" s="2">
        <f>'Fund Cover Sheets'!G11</f>
        <v>9359104</v>
      </c>
      <c r="D10" s="2">
        <f>'Fund Cover Sheets'!G12</f>
        <v>1998200</v>
      </c>
      <c r="E10" s="2">
        <f>'Fund Cover Sheets'!G13</f>
        <v>193000</v>
      </c>
      <c r="F10" s="2">
        <f>'Fund Cover Sheets'!G14</f>
        <v>180200</v>
      </c>
      <c r="G10" s="2">
        <f>'Fund Cover Sheets'!G15</f>
        <v>1181235</v>
      </c>
      <c r="H10" s="2">
        <f>'Fund Cover Sheets'!G16</f>
        <v>6500</v>
      </c>
      <c r="I10" s="2">
        <f>'Fund Cover Sheets'!G17</f>
        <v>75000</v>
      </c>
      <c r="J10" s="2">
        <f>'Fund Cover Sheets'!G18</f>
        <v>11000</v>
      </c>
      <c r="K10" s="2">
        <v>0</v>
      </c>
      <c r="L10" s="2">
        <f>'Fund Cover Sheets'!G19</f>
        <v>5250</v>
      </c>
      <c r="M10" s="2">
        <f>SUM(C10:L10)</f>
        <v>13009489</v>
      </c>
      <c r="N10" s="97"/>
      <c r="O10" s="2">
        <f>'Fund Cover Sheets'!G20</f>
        <v>13009489</v>
      </c>
      <c r="P10" s="2">
        <f>M10-O10</f>
        <v>0</v>
      </c>
    </row>
    <row r="11" spans="1:16" ht="15" customHeight="1">
      <c r="A11" s="86"/>
      <c r="C11" s="2"/>
      <c r="D11" s="2"/>
      <c r="E11" s="2"/>
      <c r="F11" s="2"/>
      <c r="G11" s="2"/>
      <c r="H11" s="2"/>
      <c r="I11" s="2"/>
      <c r="J11" s="2"/>
      <c r="K11" s="2"/>
      <c r="L11" s="2"/>
      <c r="M11" s="2"/>
      <c r="N11" s="97"/>
      <c r="O11" s="2"/>
      <c r="P11" s="2"/>
    </row>
    <row r="12" spans="1:16" ht="24" customHeight="1">
      <c r="A12" s="86" t="s">
        <v>1117</v>
      </c>
      <c r="C12" s="88"/>
      <c r="D12" s="88"/>
      <c r="E12" s="88"/>
      <c r="F12" s="88"/>
      <c r="G12" s="88"/>
      <c r="H12" s="88"/>
      <c r="I12" s="88"/>
      <c r="J12" s="88"/>
      <c r="K12" s="88"/>
      <c r="L12" s="3"/>
      <c r="M12" s="3"/>
      <c r="N12" s="97"/>
      <c r="O12" s="2"/>
      <c r="P12" s="2"/>
    </row>
    <row r="13" spans="1:16" ht="24" customHeight="1">
      <c r="A13" s="86"/>
      <c r="B13" s="1" t="s">
        <v>1019</v>
      </c>
      <c r="C13" s="88">
        <v>0</v>
      </c>
      <c r="D13" s="88">
        <f>'Fund Cover Sheets'!G153</f>
        <v>942000</v>
      </c>
      <c r="E13" s="88">
        <v>0</v>
      </c>
      <c r="F13" s="88">
        <v>0</v>
      </c>
      <c r="G13" s="88">
        <v>0</v>
      </c>
      <c r="H13" s="88">
        <f>'Fund Cover Sheets'!G154</f>
        <v>2000</v>
      </c>
      <c r="I13" s="88">
        <f>'Fund Cover Sheets'!G155</f>
        <v>0</v>
      </c>
      <c r="J13" s="88">
        <f>'Fund Cover Sheets'!G156</f>
        <v>0</v>
      </c>
      <c r="K13" s="88">
        <v>0</v>
      </c>
      <c r="L13" s="3">
        <v>0</v>
      </c>
      <c r="M13" s="2">
        <f>SUM(C13:L13)</f>
        <v>944000</v>
      </c>
      <c r="N13" s="97"/>
      <c r="O13" s="2">
        <f>'Fund Cover Sheets'!G157</f>
        <v>944000</v>
      </c>
      <c r="P13" s="2">
        <f t="shared" ref="P13:P19" si="0">M13-O13</f>
        <v>0</v>
      </c>
    </row>
    <row r="14" spans="1:16" ht="24" customHeight="1">
      <c r="A14" s="87"/>
      <c r="B14" s="84" t="s">
        <v>1118</v>
      </c>
      <c r="C14" s="88">
        <v>0</v>
      </c>
      <c r="D14" s="2">
        <v>0</v>
      </c>
      <c r="E14" s="88">
        <v>0</v>
      </c>
      <c r="F14" s="88">
        <v>0</v>
      </c>
      <c r="G14" s="2">
        <f>'Fund Cover Sheets'!G588</f>
        <v>240000</v>
      </c>
      <c r="H14" s="2">
        <f>'Fund Cover Sheets'!G589</f>
        <v>200</v>
      </c>
      <c r="I14" s="2">
        <f>'Fund Cover Sheets'!G590</f>
        <v>0</v>
      </c>
      <c r="J14" s="2">
        <f>'Fund Cover Sheets'!G591</f>
        <v>223000</v>
      </c>
      <c r="K14" s="2">
        <v>0</v>
      </c>
      <c r="L14" s="2">
        <f>'Fund Cover Sheets'!G592</f>
        <v>1765504</v>
      </c>
      <c r="M14" s="2">
        <f t="shared" ref="M14:M19" si="1">SUM(C14:L14)</f>
        <v>2228704</v>
      </c>
      <c r="N14" s="97"/>
      <c r="O14" s="2">
        <f>'Fund Cover Sheets'!G593</f>
        <v>2228704</v>
      </c>
      <c r="P14" s="2">
        <f t="shared" si="0"/>
        <v>0</v>
      </c>
    </row>
    <row r="15" spans="1:16" ht="24" customHeight="1">
      <c r="A15" s="87"/>
      <c r="B15" s="84" t="s">
        <v>860</v>
      </c>
      <c r="C15" s="88">
        <v>0</v>
      </c>
      <c r="D15" s="88">
        <f>'Fund Cover Sheets'!G542</f>
        <v>96000</v>
      </c>
      <c r="E15" s="88">
        <v>0</v>
      </c>
      <c r="F15" s="88">
        <v>0</v>
      </c>
      <c r="G15" s="88">
        <v>0</v>
      </c>
      <c r="H15" s="88">
        <v>0</v>
      </c>
      <c r="I15" s="88">
        <v>0</v>
      </c>
      <c r="J15" s="88">
        <v>0</v>
      </c>
      <c r="K15" s="88">
        <f>'Fund Cover Sheets'!G543</f>
        <v>20500</v>
      </c>
      <c r="L15" s="3">
        <f>'Fund Cover Sheets'!G544</f>
        <v>50000</v>
      </c>
      <c r="M15" s="2">
        <f>SUM(C15:L15)</f>
        <v>166500</v>
      </c>
      <c r="N15" s="97"/>
      <c r="O15" s="2">
        <f>'Fund Cover Sheets'!G545</f>
        <v>166500</v>
      </c>
      <c r="P15" s="2">
        <f t="shared" si="0"/>
        <v>0</v>
      </c>
    </row>
    <row r="16" spans="1:16" ht="24" customHeight="1">
      <c r="A16" s="87"/>
      <c r="B16" s="84" t="s">
        <v>747</v>
      </c>
      <c r="C16" s="88">
        <f>'Fund Cover Sheets'!G882</f>
        <v>0</v>
      </c>
      <c r="D16" s="88">
        <v>0</v>
      </c>
      <c r="E16" s="88">
        <v>0</v>
      </c>
      <c r="F16" s="88">
        <v>0</v>
      </c>
      <c r="G16" s="88">
        <v>0</v>
      </c>
      <c r="H16" s="88">
        <f>'Fund Cover Sheets'!G883</f>
        <v>1550</v>
      </c>
      <c r="I16" s="88">
        <v>0</v>
      </c>
      <c r="J16" s="3">
        <v>0</v>
      </c>
      <c r="K16" s="3">
        <v>0</v>
      </c>
      <c r="L16" s="3">
        <v>0</v>
      </c>
      <c r="M16" s="2">
        <f>SUM(C16:L16)</f>
        <v>1550</v>
      </c>
      <c r="N16" s="97"/>
      <c r="O16" s="2">
        <f>'Fund Cover Sheets'!G884</f>
        <v>1550</v>
      </c>
      <c r="P16" s="2">
        <f t="shared" si="0"/>
        <v>0</v>
      </c>
    </row>
    <row r="17" spans="1:16" ht="24" customHeight="1">
      <c r="A17" s="87"/>
      <c r="B17" s="84" t="s">
        <v>755</v>
      </c>
      <c r="C17" s="2">
        <f>'Fund Cover Sheets'!G925</f>
        <v>35000</v>
      </c>
      <c r="D17" s="3">
        <v>0</v>
      </c>
      <c r="E17" s="3">
        <v>0</v>
      </c>
      <c r="F17" s="3">
        <v>0</v>
      </c>
      <c r="G17" s="3">
        <v>0</v>
      </c>
      <c r="H17" s="3">
        <f>'Fund Cover Sheets'!G926</f>
        <v>350</v>
      </c>
      <c r="I17" s="3">
        <v>0</v>
      </c>
      <c r="J17" s="3">
        <v>0</v>
      </c>
      <c r="K17" s="3">
        <v>0</v>
      </c>
      <c r="L17" s="3">
        <v>0</v>
      </c>
      <c r="M17" s="2">
        <f t="shared" si="1"/>
        <v>35350</v>
      </c>
      <c r="N17" s="97"/>
      <c r="O17" s="2">
        <f>'Fund Cover Sheets'!G927</f>
        <v>35350</v>
      </c>
      <c r="P17" s="2">
        <f t="shared" si="0"/>
        <v>0</v>
      </c>
    </row>
    <row r="18" spans="1:16" ht="24" customHeight="1">
      <c r="A18" s="87"/>
      <c r="B18" s="84" t="s">
        <v>1119</v>
      </c>
      <c r="C18" s="2">
        <f>'Fund Cover Sheets'!G66</f>
        <v>3786</v>
      </c>
      <c r="D18" s="2">
        <v>0</v>
      </c>
      <c r="E18" s="2">
        <v>0</v>
      </c>
      <c r="F18" s="2">
        <v>0</v>
      </c>
      <c r="G18" s="2">
        <v>0</v>
      </c>
      <c r="H18" s="2">
        <v>0</v>
      </c>
      <c r="I18" s="3">
        <v>0</v>
      </c>
      <c r="J18" s="3">
        <v>0</v>
      </c>
      <c r="K18" s="3">
        <v>0</v>
      </c>
      <c r="L18" s="3">
        <v>0</v>
      </c>
      <c r="M18" s="2">
        <f>SUM(C18:L18)</f>
        <v>3786</v>
      </c>
      <c r="N18" s="98"/>
      <c r="O18" s="2">
        <f>'Fund Cover Sheets'!G68</f>
        <v>3786</v>
      </c>
      <c r="P18" s="2">
        <f t="shared" si="0"/>
        <v>0</v>
      </c>
    </row>
    <row r="19" spans="1:16" ht="24" customHeight="1">
      <c r="A19" s="87"/>
      <c r="B19" s="84" t="s">
        <v>1120</v>
      </c>
      <c r="C19" s="3">
        <f>'Fund Cover Sheets'!G110</f>
        <v>7531</v>
      </c>
      <c r="D19" s="3">
        <v>0</v>
      </c>
      <c r="E19" s="3">
        <v>0</v>
      </c>
      <c r="F19" s="3">
        <v>0</v>
      </c>
      <c r="G19" s="3">
        <v>0</v>
      </c>
      <c r="H19" s="3">
        <f>'Fund Cover Sheets'!G111</f>
        <v>0</v>
      </c>
      <c r="I19" s="3">
        <v>0</v>
      </c>
      <c r="J19" s="88">
        <v>0</v>
      </c>
      <c r="K19" s="88">
        <v>0</v>
      </c>
      <c r="L19" s="3">
        <v>0</v>
      </c>
      <c r="M19" s="2">
        <f t="shared" si="1"/>
        <v>7531</v>
      </c>
      <c r="N19" s="98"/>
      <c r="O19" s="2">
        <f>'Fund Cover Sheets'!G112</f>
        <v>7531</v>
      </c>
      <c r="P19" s="2">
        <f t="shared" si="0"/>
        <v>0</v>
      </c>
    </row>
    <row r="20" spans="1:16">
      <c r="A20" s="87"/>
      <c r="B20" s="84"/>
      <c r="C20" s="3"/>
      <c r="D20" s="3"/>
      <c r="E20" s="3"/>
      <c r="F20" s="3"/>
      <c r="G20" s="3"/>
      <c r="H20" s="3"/>
      <c r="I20" s="3"/>
      <c r="J20" s="88"/>
      <c r="K20" s="88"/>
      <c r="L20" s="3"/>
      <c r="M20" s="2"/>
      <c r="N20" s="98"/>
      <c r="O20" s="2"/>
      <c r="P20" s="2"/>
    </row>
    <row r="21" spans="1:16" ht="24" customHeight="1">
      <c r="A21" s="86" t="s">
        <v>1121</v>
      </c>
      <c r="B21" s="79"/>
      <c r="C21" s="2">
        <f>'Fund Cover Sheets'!G388</f>
        <v>328179</v>
      </c>
      <c r="D21" s="3">
        <v>0</v>
      </c>
      <c r="E21" s="3">
        <f>'Fund Cover Sheets'!G389</f>
        <v>1000</v>
      </c>
      <c r="F21" s="3">
        <v>0</v>
      </c>
      <c r="G21" s="3">
        <v>0</v>
      </c>
      <c r="H21" s="3">
        <f>'Fund Cover Sheets'!G390</f>
        <v>300</v>
      </c>
      <c r="I21" s="3">
        <v>0</v>
      </c>
      <c r="J21" s="3">
        <v>0</v>
      </c>
      <c r="K21" s="3">
        <v>0</v>
      </c>
      <c r="L21" s="3">
        <f>'Fund Cover Sheets'!G391</f>
        <v>0</v>
      </c>
      <c r="M21" s="2">
        <f>SUM(C21:L21)</f>
        <v>329479</v>
      </c>
      <c r="N21" s="98"/>
      <c r="O21" s="2">
        <f>'Fund Cover Sheets'!G392</f>
        <v>329479</v>
      </c>
      <c r="P21" s="2">
        <f>M21-O21</f>
        <v>0</v>
      </c>
    </row>
    <row r="22" spans="1:16" ht="15" customHeight="1">
      <c r="A22" s="86"/>
      <c r="B22" s="79"/>
      <c r="C22" s="2"/>
      <c r="D22" s="3"/>
      <c r="E22" s="3"/>
      <c r="F22" s="3"/>
      <c r="G22" s="3"/>
      <c r="H22" s="3"/>
      <c r="I22" s="3"/>
      <c r="J22" s="3"/>
      <c r="K22" s="3"/>
      <c r="L22" s="3"/>
      <c r="M22" s="2"/>
      <c r="N22" s="98"/>
      <c r="O22" s="2"/>
      <c r="P22" s="2"/>
    </row>
    <row r="23" spans="1:16" ht="24" customHeight="1">
      <c r="A23" s="86" t="s">
        <v>1122</v>
      </c>
      <c r="B23" s="79"/>
      <c r="C23" s="88"/>
      <c r="D23" s="88"/>
      <c r="E23" s="88"/>
      <c r="F23" s="88"/>
      <c r="G23" s="88"/>
      <c r="H23" s="88"/>
      <c r="I23" s="88"/>
      <c r="J23" s="88"/>
      <c r="K23" s="88"/>
      <c r="L23" s="88"/>
      <c r="M23" s="2"/>
      <c r="N23" s="97"/>
      <c r="O23" s="2"/>
      <c r="P23" s="2"/>
    </row>
    <row r="24" spans="1:16" ht="24" customHeight="1">
      <c r="A24" s="86"/>
      <c r="B24" s="84" t="s">
        <v>1123</v>
      </c>
      <c r="C24" s="3">
        <v>0</v>
      </c>
      <c r="D24" s="88">
        <v>0</v>
      </c>
      <c r="E24" s="88">
        <f>'Fund Cover Sheets'!G201</f>
        <v>0</v>
      </c>
      <c r="F24" s="88">
        <v>0</v>
      </c>
      <c r="G24" s="88">
        <v>0</v>
      </c>
      <c r="H24" s="88">
        <v>0</v>
      </c>
      <c r="I24" s="88">
        <v>0</v>
      </c>
      <c r="J24" s="3">
        <v>0</v>
      </c>
      <c r="K24" s="3">
        <v>0</v>
      </c>
      <c r="L24" s="3">
        <f>'Fund Cover Sheets'!G202</f>
        <v>573374</v>
      </c>
      <c r="M24" s="2">
        <f>SUM(C24:L24)</f>
        <v>573374</v>
      </c>
      <c r="N24" s="97"/>
      <c r="O24" s="2">
        <f>'Fund Cover Sheets'!G203</f>
        <v>573374</v>
      </c>
      <c r="P24" s="2">
        <f t="shared" ref="P24:P26" si="2">M24-O24</f>
        <v>0</v>
      </c>
    </row>
    <row r="25" spans="1:16" ht="24" customHeight="1">
      <c r="A25" s="87"/>
      <c r="B25" s="84" t="s">
        <v>1305</v>
      </c>
      <c r="C25" s="88">
        <v>0</v>
      </c>
      <c r="D25" s="3">
        <v>0</v>
      </c>
      <c r="E25" s="3">
        <f>'Fund Cover Sheets'!G306</f>
        <v>49275</v>
      </c>
      <c r="F25" s="3">
        <f>'Fund Cover Sheets'!G307</f>
        <v>8850</v>
      </c>
      <c r="G25" s="3">
        <f>'Fund Cover Sheets'!G308</f>
        <v>150150</v>
      </c>
      <c r="H25" s="3">
        <f>'Fund Cover Sheets'!G309</f>
        <v>475</v>
      </c>
      <c r="I25" s="2">
        <f>'Fund Cover Sheets'!G310</f>
        <v>50000</v>
      </c>
      <c r="J25" s="3">
        <f>'Fund Cover Sheets'!G311</f>
        <v>1000</v>
      </c>
      <c r="K25" s="3">
        <v>0</v>
      </c>
      <c r="L25" s="3">
        <f>'Fund Cover Sheets'!G312</f>
        <v>0</v>
      </c>
      <c r="M25" s="2">
        <f>SUM(C25:L25)</f>
        <v>259750</v>
      </c>
      <c r="N25" s="97"/>
      <c r="O25" s="2">
        <f>'Fund Cover Sheets'!G313</f>
        <v>259750</v>
      </c>
      <c r="P25" s="2">
        <f t="shared" si="2"/>
        <v>0</v>
      </c>
    </row>
    <row r="26" spans="1:16" ht="24" customHeight="1">
      <c r="A26" s="87"/>
      <c r="B26" s="84" t="s">
        <v>1125</v>
      </c>
      <c r="C26" s="3">
        <v>0</v>
      </c>
      <c r="D26" s="3">
        <f>'Fund Cover Sheets'!G244</f>
        <v>327600</v>
      </c>
      <c r="E26" s="6">
        <f>'Fund Cover Sheets'!G245</f>
        <v>20250</v>
      </c>
      <c r="F26" s="3">
        <v>0</v>
      </c>
      <c r="G26" s="88">
        <f>'Fund Cover Sheets'!G246</f>
        <v>669120</v>
      </c>
      <c r="H26" s="88">
        <f>'Fund Cover Sheets'!F247</f>
        <v>250</v>
      </c>
      <c r="I26" s="88">
        <f>'Fund Cover Sheets'!G248</f>
        <v>0</v>
      </c>
      <c r="J26" s="3">
        <f>'Fund Cover Sheets'!G249</f>
        <v>126441</v>
      </c>
      <c r="K26" s="3">
        <v>0</v>
      </c>
      <c r="L26" s="3">
        <f>'Fund Cover Sheets'!G250</f>
        <v>435401</v>
      </c>
      <c r="M26" s="2">
        <f>SUM(C26:L26)</f>
        <v>1579062</v>
      </c>
      <c r="N26" s="97"/>
      <c r="O26" s="2">
        <f>'Fund Cover Sheets'!G251</f>
        <v>1579062</v>
      </c>
      <c r="P26" s="2">
        <f t="shared" si="2"/>
        <v>0</v>
      </c>
    </row>
    <row r="27" spans="1:16">
      <c r="A27" s="87"/>
      <c r="B27" s="84"/>
      <c r="C27" s="3"/>
      <c r="D27" s="3"/>
      <c r="E27" s="6"/>
      <c r="F27" s="3"/>
      <c r="G27" s="88"/>
      <c r="H27" s="88"/>
      <c r="I27" s="88"/>
      <c r="J27" s="3"/>
      <c r="K27" s="3"/>
      <c r="L27" s="3"/>
      <c r="M27" s="2"/>
      <c r="N27" s="97"/>
      <c r="O27" s="2"/>
      <c r="P27" s="2"/>
    </row>
    <row r="28" spans="1:16" ht="24" customHeight="1">
      <c r="A28" s="86" t="s">
        <v>1126</v>
      </c>
      <c r="B28" s="84"/>
      <c r="C28" s="2"/>
      <c r="D28" s="88"/>
      <c r="E28" s="88"/>
      <c r="F28" s="88"/>
      <c r="G28" s="88"/>
      <c r="H28" s="88"/>
      <c r="I28" s="88"/>
      <c r="J28" s="88"/>
      <c r="K28" s="88"/>
      <c r="L28" s="3"/>
      <c r="M28" s="3"/>
      <c r="N28" s="97"/>
      <c r="O28" s="2"/>
      <c r="P28" s="2"/>
    </row>
    <row r="29" spans="1:16" ht="24" customHeight="1">
      <c r="B29" s="84" t="s">
        <v>858</v>
      </c>
      <c r="C29" s="88">
        <f>'Fund Cover Sheets'!G434</f>
        <v>43027</v>
      </c>
      <c r="D29" s="88">
        <v>0</v>
      </c>
      <c r="E29" s="88">
        <v>0</v>
      </c>
      <c r="F29" s="88">
        <v>0</v>
      </c>
      <c r="G29" s="2">
        <f>'Fund Cover Sheets'!G436</f>
        <v>2458740</v>
      </c>
      <c r="H29" s="2">
        <f>'Fund Cover Sheets'!G437</f>
        <v>2000</v>
      </c>
      <c r="I29" s="2">
        <f>'Fund Cover Sheets'!G438</f>
        <v>0</v>
      </c>
      <c r="J29" s="88">
        <f>'Fund Cover Sheets'!G439</f>
        <v>54336</v>
      </c>
      <c r="K29" s="88">
        <v>0</v>
      </c>
      <c r="L29" s="3">
        <f>'Fund Cover Sheets'!G440</f>
        <v>82988</v>
      </c>
      <c r="M29" s="2">
        <f>SUM(C29:L29)</f>
        <v>2641091</v>
      </c>
      <c r="N29" s="97"/>
      <c r="O29" s="2">
        <f>'Fund Cover Sheets'!G441</f>
        <v>2641091</v>
      </c>
      <c r="P29" s="2">
        <f t="shared" ref="P29:P31" si="3">M29-O29</f>
        <v>0</v>
      </c>
    </row>
    <row r="30" spans="1:16" ht="24" customHeight="1">
      <c r="B30" s="84" t="s">
        <v>859</v>
      </c>
      <c r="C30" s="88">
        <f>'Fund Cover Sheets'!G488</f>
        <v>114940</v>
      </c>
      <c r="D30" s="88">
        <v>0</v>
      </c>
      <c r="E30" s="88">
        <v>0</v>
      </c>
      <c r="F30" s="88">
        <v>0</v>
      </c>
      <c r="G30" s="88">
        <f>'Fund Cover Sheets'!G490</f>
        <v>1097560</v>
      </c>
      <c r="H30" s="88">
        <f>'Fund Cover Sheets'!G491</f>
        <v>5500</v>
      </c>
      <c r="I30" s="88">
        <f>'Fund Cover Sheets'!G492</f>
        <v>0</v>
      </c>
      <c r="J30" s="88">
        <v>0</v>
      </c>
      <c r="K30" s="88">
        <v>0</v>
      </c>
      <c r="L30" s="3">
        <f>'Fund Cover Sheets'!G493</f>
        <v>1137220</v>
      </c>
      <c r="M30" s="2">
        <f>SUM(C30:L30)</f>
        <v>2355220</v>
      </c>
      <c r="N30" s="97"/>
      <c r="O30" s="2">
        <f>'Fund Cover Sheets'!G494</f>
        <v>2355220</v>
      </c>
      <c r="P30" s="2">
        <f t="shared" si="3"/>
        <v>0</v>
      </c>
    </row>
    <row r="31" spans="1:16" ht="24" customHeight="1">
      <c r="B31" s="84" t="s">
        <v>777</v>
      </c>
      <c r="C31" s="88">
        <v>0</v>
      </c>
      <c r="D31" s="88">
        <v>0</v>
      </c>
      <c r="E31" s="88">
        <v>0</v>
      </c>
      <c r="F31" s="88">
        <v>0</v>
      </c>
      <c r="G31" s="88">
        <f>'Fund Cover Sheets'!G639</f>
        <v>61000</v>
      </c>
      <c r="H31" s="88">
        <v>0</v>
      </c>
      <c r="I31" s="88">
        <v>0</v>
      </c>
      <c r="J31" s="88">
        <f>'Fund Cover Sheets'!G640</f>
        <v>0</v>
      </c>
      <c r="K31" s="88">
        <v>0</v>
      </c>
      <c r="L31" s="3">
        <f>'Fund Cover Sheets'!G641</f>
        <v>556957</v>
      </c>
      <c r="M31" s="2">
        <f>SUM(C31:L31)</f>
        <v>617957</v>
      </c>
      <c r="N31" s="97"/>
      <c r="O31" s="2">
        <f>'Fund Cover Sheets'!G642</f>
        <v>617957</v>
      </c>
      <c r="P31" s="2">
        <f t="shared" si="3"/>
        <v>0</v>
      </c>
    </row>
    <row r="32" spans="1:16" ht="15" customHeight="1">
      <c r="B32" s="84"/>
      <c r="C32" s="88"/>
      <c r="D32" s="88"/>
      <c r="E32" s="88"/>
      <c r="F32" s="88"/>
      <c r="G32" s="88"/>
      <c r="H32" s="88"/>
      <c r="I32" s="88"/>
      <c r="J32" s="88"/>
      <c r="K32" s="88"/>
      <c r="L32" s="3"/>
      <c r="M32" s="2"/>
      <c r="N32" s="97"/>
      <c r="O32" s="2"/>
      <c r="P32" s="2"/>
    </row>
    <row r="33" spans="1:21" ht="24" customHeight="1">
      <c r="A33" s="86" t="s">
        <v>1127</v>
      </c>
      <c r="B33" s="84"/>
      <c r="C33" s="88"/>
      <c r="D33" s="88"/>
      <c r="E33" s="88"/>
      <c r="F33" s="88"/>
      <c r="G33" s="88"/>
      <c r="H33" s="88"/>
      <c r="I33" s="88"/>
      <c r="J33" s="88"/>
      <c r="K33" s="88"/>
      <c r="L33" s="88"/>
      <c r="M33" s="2"/>
      <c r="N33" s="97"/>
      <c r="O33" s="2"/>
      <c r="P33" s="2"/>
    </row>
    <row r="34" spans="1:21" ht="24" customHeight="1">
      <c r="A34" s="86"/>
      <c r="B34" s="84" t="s">
        <v>841</v>
      </c>
      <c r="C34" s="88">
        <f>'Fund Cover Sheets'!G686</f>
        <v>670415</v>
      </c>
      <c r="D34" s="88">
        <f>'Fund Cover Sheets'!G687</f>
        <v>22200</v>
      </c>
      <c r="E34" s="88">
        <f>'Fund Cover Sheets'!G688</f>
        <v>0</v>
      </c>
      <c r="F34" s="88">
        <f>'Fund Cover Sheets'!G689</f>
        <v>9300</v>
      </c>
      <c r="G34" s="88">
        <f>'Fund Cover Sheets'!G690</f>
        <v>14000</v>
      </c>
      <c r="H34" s="88">
        <f>'Fund Cover Sheets'!G691</f>
        <v>1300</v>
      </c>
      <c r="I34" s="88">
        <f>'Fund Cover Sheets'!G692</f>
        <v>0</v>
      </c>
      <c r="J34" s="88">
        <f>'Fund Cover Sheets'!G693</f>
        <v>9250</v>
      </c>
      <c r="K34" s="88">
        <v>0</v>
      </c>
      <c r="L34" s="88">
        <f>'Fund Cover Sheets'!G694</f>
        <v>52174</v>
      </c>
      <c r="M34" s="2">
        <f>SUM(C34:L34)</f>
        <v>778639</v>
      </c>
      <c r="N34" s="97"/>
      <c r="O34" s="2">
        <f>'Fund Cover Sheets'!G695</f>
        <v>778639</v>
      </c>
      <c r="P34" s="2">
        <f t="shared" ref="P34:P36" si="4">M34-O34</f>
        <v>0</v>
      </c>
    </row>
    <row r="35" spans="1:21" ht="24" customHeight="1">
      <c r="A35" s="86"/>
      <c r="B35" s="84" t="s">
        <v>734</v>
      </c>
      <c r="C35" s="88">
        <f>'Fund Cover Sheets'!G744</f>
        <v>771763</v>
      </c>
      <c r="D35" s="88">
        <v>0</v>
      </c>
      <c r="E35" s="88">
        <v>0</v>
      </c>
      <c r="F35" s="88">
        <v>0</v>
      </c>
      <c r="G35" s="88">
        <v>0</v>
      </c>
      <c r="H35" s="88">
        <f>'Fund Cover Sheets'!G745</f>
        <v>200</v>
      </c>
      <c r="I35" s="88">
        <v>0</v>
      </c>
      <c r="J35" s="88">
        <v>0</v>
      </c>
      <c r="K35" s="88">
        <v>0</v>
      </c>
      <c r="L35" s="88">
        <f>'Fund Cover Sheets'!G746</f>
        <v>0</v>
      </c>
      <c r="M35" s="2">
        <f>SUM(C35:L35)</f>
        <v>771963</v>
      </c>
      <c r="N35" s="97"/>
      <c r="O35" s="2">
        <f>'Fund Cover Sheets'!G747</f>
        <v>771963</v>
      </c>
      <c r="P35" s="2">
        <f t="shared" si="4"/>
        <v>0</v>
      </c>
    </row>
    <row r="36" spans="1:21" ht="24" customHeight="1">
      <c r="A36" s="86"/>
      <c r="B36" s="84" t="s">
        <v>1128</v>
      </c>
      <c r="C36" s="88">
        <v>0</v>
      </c>
      <c r="D36" s="88">
        <v>0</v>
      </c>
      <c r="E36" s="88">
        <f>'Fund Cover Sheets'!G789</f>
        <v>20000</v>
      </c>
      <c r="F36" s="88">
        <v>0</v>
      </c>
      <c r="G36" s="88">
        <v>0</v>
      </c>
      <c r="H36" s="88">
        <f>'Fund Cover Sheets'!G790</f>
        <v>20</v>
      </c>
      <c r="I36" s="88">
        <v>0</v>
      </c>
      <c r="J36" s="88">
        <v>0</v>
      </c>
      <c r="K36" s="88">
        <v>0</v>
      </c>
      <c r="L36" s="88">
        <f>'Fund Cover Sheets'!G791</f>
        <v>0</v>
      </c>
      <c r="M36" s="2">
        <f>SUM(C36:L36)</f>
        <v>20020</v>
      </c>
      <c r="N36" s="97"/>
      <c r="O36" s="2">
        <f>'Fund Cover Sheets'!G792</f>
        <v>20020</v>
      </c>
      <c r="P36" s="2">
        <f t="shared" si="4"/>
        <v>0</v>
      </c>
    </row>
    <row r="37" spans="1:21" ht="15" customHeight="1">
      <c r="A37" s="86"/>
      <c r="B37" s="84"/>
      <c r="C37" s="88"/>
      <c r="D37" s="88"/>
      <c r="E37" s="88"/>
      <c r="F37" s="88"/>
      <c r="G37" s="88"/>
      <c r="H37" s="88"/>
      <c r="I37" s="88"/>
      <c r="J37" s="88"/>
      <c r="K37" s="88"/>
      <c r="L37" s="88"/>
      <c r="M37" s="2"/>
      <c r="N37" s="97"/>
      <c r="O37" s="148" t="s">
        <v>1454</v>
      </c>
      <c r="P37" s="148" t="s">
        <v>1450</v>
      </c>
      <c r="S37" s="147" t="s">
        <v>1457</v>
      </c>
      <c r="T37" s="147"/>
      <c r="U37" s="147" t="s">
        <v>1445</v>
      </c>
    </row>
    <row r="38" spans="1:21" ht="24" customHeight="1" thickBot="1">
      <c r="A38" s="8"/>
      <c r="B38" s="90" t="s">
        <v>1188</v>
      </c>
      <c r="C38" s="99">
        <f t="shared" ref="C38:M38" si="5">SUM(C10:C37)</f>
        <v>11333745</v>
      </c>
      <c r="D38" s="99">
        <f t="shared" si="5"/>
        <v>3386000</v>
      </c>
      <c r="E38" s="99">
        <f t="shared" si="5"/>
        <v>283525</v>
      </c>
      <c r="F38" s="99">
        <f t="shared" si="5"/>
        <v>198350</v>
      </c>
      <c r="G38" s="99">
        <f t="shared" si="5"/>
        <v>5871805</v>
      </c>
      <c r="H38" s="99">
        <f t="shared" si="5"/>
        <v>20645</v>
      </c>
      <c r="I38" s="99">
        <f t="shared" si="5"/>
        <v>125000</v>
      </c>
      <c r="J38" s="99">
        <f t="shared" si="5"/>
        <v>425027</v>
      </c>
      <c r="K38" s="99">
        <f t="shared" si="5"/>
        <v>20500</v>
      </c>
      <c r="L38" s="99">
        <f t="shared" si="5"/>
        <v>4658868</v>
      </c>
      <c r="M38" s="99">
        <f t="shared" si="5"/>
        <v>26323465</v>
      </c>
      <c r="N38" s="139" t="s">
        <v>1449</v>
      </c>
      <c r="O38" s="2">
        <f>SUM(C38:L38)</f>
        <v>26323465</v>
      </c>
      <c r="P38" s="2">
        <f>M38-O38</f>
        <v>0</v>
      </c>
      <c r="S38" s="2">
        <f>'Budget Summary'!G38</f>
        <v>26323465</v>
      </c>
      <c r="U38" s="103">
        <f>M38-S38</f>
        <v>0</v>
      </c>
    </row>
    <row r="39" spans="1:21" ht="15" customHeight="1" thickTop="1">
      <c r="C39" s="2"/>
      <c r="D39" s="2"/>
      <c r="E39" s="2"/>
      <c r="F39" s="2"/>
      <c r="G39" s="2"/>
      <c r="H39" s="2"/>
      <c r="I39" s="2"/>
      <c r="J39" s="2"/>
      <c r="K39" s="2"/>
      <c r="L39" s="2"/>
      <c r="N39" s="97"/>
      <c r="O39" s="2">
        <f>SUM(O10:O36)-O38</f>
        <v>0</v>
      </c>
      <c r="P39" s="139" t="s">
        <v>1453</v>
      </c>
    </row>
    <row r="40" spans="1:21" ht="15" customHeight="1">
      <c r="C40" s="100"/>
      <c r="D40" s="100"/>
      <c r="E40" s="100"/>
      <c r="F40" s="100"/>
      <c r="G40" s="100"/>
      <c r="H40" s="100"/>
      <c r="I40" s="100"/>
      <c r="J40" s="100"/>
      <c r="K40" s="100"/>
      <c r="L40" s="100"/>
      <c r="M40" s="100"/>
      <c r="N40" s="97"/>
      <c r="O40" s="2"/>
      <c r="P40" s="2"/>
    </row>
    <row r="41" spans="1:21" ht="24" customHeight="1">
      <c r="A41" s="519" t="s">
        <v>1113</v>
      </c>
      <c r="B41" s="519"/>
      <c r="C41" s="519"/>
      <c r="D41" s="519"/>
      <c r="E41" s="519"/>
      <c r="F41" s="519"/>
      <c r="G41" s="519"/>
      <c r="H41" s="519"/>
      <c r="I41" s="519"/>
      <c r="J41" s="519"/>
      <c r="K41" s="519"/>
      <c r="L41" s="519"/>
      <c r="M41" s="2"/>
      <c r="N41" s="97"/>
      <c r="O41" s="2"/>
      <c r="P41" s="2"/>
    </row>
    <row r="42" spans="1:21" ht="24" customHeight="1">
      <c r="A42" s="520" t="s">
        <v>1153</v>
      </c>
      <c r="B42" s="520"/>
      <c r="C42" s="520"/>
      <c r="D42" s="520"/>
      <c r="E42" s="520"/>
      <c r="F42" s="520"/>
      <c r="G42" s="520"/>
      <c r="H42" s="520"/>
      <c r="I42" s="520"/>
      <c r="J42" s="520"/>
      <c r="K42" s="520"/>
      <c r="L42" s="520"/>
    </row>
    <row r="43" spans="1:21" ht="24" customHeight="1">
      <c r="A43" s="519" t="s">
        <v>1237</v>
      </c>
      <c r="B43" s="519"/>
      <c r="C43" s="519"/>
      <c r="D43" s="519"/>
      <c r="E43" s="519"/>
      <c r="F43" s="519"/>
      <c r="G43" s="519"/>
      <c r="H43" s="519"/>
      <c r="I43" s="519"/>
      <c r="J43" s="519"/>
      <c r="K43" s="519"/>
      <c r="L43" s="519"/>
      <c r="M43" s="2"/>
      <c r="N43" s="97"/>
      <c r="O43" s="2"/>
      <c r="P43" s="2"/>
    </row>
    <row r="44" spans="1:21" ht="15" customHeight="1">
      <c r="M44" s="2"/>
      <c r="N44" s="97"/>
      <c r="O44" s="2"/>
      <c r="P44" s="2"/>
    </row>
    <row r="45" spans="1:21" ht="15" customHeight="1">
      <c r="K45" s="80" t="s">
        <v>1132</v>
      </c>
      <c r="M45" s="2"/>
      <c r="N45" s="97"/>
      <c r="O45" s="2"/>
      <c r="P45" s="2"/>
    </row>
    <row r="46" spans="1:21" ht="15" customHeight="1">
      <c r="C46" s="80"/>
      <c r="D46" s="80"/>
      <c r="E46" s="80" t="s">
        <v>1154</v>
      </c>
      <c r="F46" s="81"/>
      <c r="G46" s="80" t="s">
        <v>1155</v>
      </c>
      <c r="H46" s="80"/>
      <c r="I46" s="80" t="s">
        <v>1156</v>
      </c>
      <c r="J46" s="80" t="s">
        <v>1157</v>
      </c>
      <c r="K46" s="81" t="s">
        <v>1158</v>
      </c>
      <c r="L46" s="81" t="s">
        <v>1142</v>
      </c>
      <c r="M46" s="2"/>
      <c r="N46" s="97"/>
      <c r="O46" s="146" t="s">
        <v>1452</v>
      </c>
    </row>
    <row r="47" spans="1:21" ht="15" customHeight="1" thickBot="1">
      <c r="A47" s="82"/>
      <c r="B47" s="82" t="s">
        <v>1115</v>
      </c>
      <c r="C47" s="95" t="s">
        <v>1057</v>
      </c>
      <c r="D47" s="95" t="s">
        <v>1058</v>
      </c>
      <c r="E47" s="83" t="s">
        <v>1159</v>
      </c>
      <c r="F47" s="83" t="s">
        <v>1060</v>
      </c>
      <c r="G47" s="83" t="s">
        <v>1160</v>
      </c>
      <c r="H47" s="83" t="s">
        <v>1062</v>
      </c>
      <c r="I47" s="83" t="s">
        <v>1161</v>
      </c>
      <c r="J47" s="83" t="s">
        <v>1162</v>
      </c>
      <c r="K47" s="83" t="s">
        <v>1163</v>
      </c>
      <c r="L47" s="83" t="s">
        <v>1152</v>
      </c>
      <c r="M47" s="2"/>
      <c r="N47" s="97"/>
      <c r="O47" s="146" t="s">
        <v>1451</v>
      </c>
      <c r="P47" s="147" t="s">
        <v>1445</v>
      </c>
    </row>
    <row r="48" spans="1:21" s="79" customFormat="1" ht="15" customHeight="1">
      <c r="A48" s="84"/>
      <c r="B48" s="84"/>
      <c r="C48" s="96"/>
      <c r="D48" s="96"/>
      <c r="E48" s="85"/>
      <c r="F48" s="85"/>
      <c r="G48" s="85"/>
      <c r="H48" s="85"/>
      <c r="I48" s="85"/>
      <c r="J48" s="85"/>
      <c r="K48" s="85"/>
      <c r="L48" s="85"/>
      <c r="M48" s="3"/>
      <c r="N48" s="98"/>
      <c r="O48" s="3"/>
      <c r="P48" s="3"/>
    </row>
    <row r="49" spans="1:16" ht="15" customHeight="1">
      <c r="M49" s="2"/>
      <c r="N49" s="97"/>
      <c r="O49" s="2"/>
      <c r="P49" s="2"/>
    </row>
    <row r="50" spans="1:16" ht="24" customHeight="1">
      <c r="A50" s="86" t="s">
        <v>1116</v>
      </c>
      <c r="C50" s="3">
        <f>'Fund Cover Sheets'!G25</f>
        <v>3546298</v>
      </c>
      <c r="D50" s="3">
        <f>'Fund Cover Sheets'!G26</f>
        <v>2270039</v>
      </c>
      <c r="E50" s="3">
        <f>'Fund Cover Sheets'!G27</f>
        <v>3934440</v>
      </c>
      <c r="F50" s="3">
        <f>'Fund Cover Sheets'!G28</f>
        <v>292110</v>
      </c>
      <c r="G50" s="3">
        <v>0</v>
      </c>
      <c r="H50" s="3">
        <f>'Fund Cover Sheets'!G29</f>
        <v>50000</v>
      </c>
      <c r="I50" s="3">
        <v>0</v>
      </c>
      <c r="J50" s="3">
        <v>0</v>
      </c>
      <c r="K50" s="3">
        <f>'Fund Cover Sheets'!G30</f>
        <v>3798673</v>
      </c>
      <c r="L50" s="3">
        <f>SUM(C50:K50)</f>
        <v>13891560</v>
      </c>
      <c r="M50" s="2"/>
      <c r="N50" s="97"/>
      <c r="O50" s="2">
        <f>'Fund Cover Sheets'!G31</f>
        <v>13891560</v>
      </c>
      <c r="P50" s="2">
        <f>L50-O50</f>
        <v>0</v>
      </c>
    </row>
    <row r="51" spans="1:16" ht="15" customHeight="1">
      <c r="A51" s="86"/>
      <c r="C51" s="3"/>
      <c r="D51" s="3"/>
      <c r="E51" s="3"/>
      <c r="F51" s="3"/>
      <c r="G51" s="3"/>
      <c r="H51" s="3"/>
      <c r="I51" s="3"/>
      <c r="J51" s="3"/>
      <c r="K51" s="3"/>
      <c r="L51" s="3"/>
      <c r="M51" s="2"/>
      <c r="N51" s="97"/>
      <c r="O51" s="2"/>
      <c r="P51" s="2"/>
    </row>
    <row r="52" spans="1:16" ht="24" customHeight="1">
      <c r="A52" s="86" t="s">
        <v>1117</v>
      </c>
      <c r="C52" s="88"/>
      <c r="D52" s="88"/>
      <c r="E52" s="88"/>
      <c r="F52" s="88"/>
      <c r="G52" s="88"/>
      <c r="H52" s="88"/>
      <c r="I52" s="88"/>
      <c r="J52" s="88"/>
      <c r="K52" s="3"/>
      <c r="L52" s="3"/>
      <c r="M52" s="6"/>
      <c r="N52" s="101"/>
      <c r="O52" s="2"/>
    </row>
    <row r="53" spans="1:16" ht="24" customHeight="1">
      <c r="A53" s="86"/>
      <c r="B53" s="1" t="s">
        <v>1019</v>
      </c>
      <c r="C53" s="88">
        <v>0</v>
      </c>
      <c r="D53" s="88">
        <v>0</v>
      </c>
      <c r="E53" s="88">
        <f>'Fund Cover Sheets'!G162</f>
        <v>23500</v>
      </c>
      <c r="F53" s="88">
        <f>'Fund Cover Sheets'!G163</f>
        <v>219556</v>
      </c>
      <c r="G53" s="88">
        <f>'Fund Cover Sheets'!G164</f>
        <v>1151400</v>
      </c>
      <c r="H53" s="88">
        <v>0</v>
      </c>
      <c r="I53" s="88">
        <v>0</v>
      </c>
      <c r="J53" s="88">
        <v>0</v>
      </c>
      <c r="K53" s="3">
        <f>'Fund Cover Sheets'!G165</f>
        <v>0</v>
      </c>
      <c r="L53" s="3">
        <f t="shared" ref="L53:L61" si="6">SUM(C53:K53)</f>
        <v>1394456</v>
      </c>
      <c r="M53" s="6"/>
      <c r="N53" s="101"/>
      <c r="O53" s="2">
        <f>'Fund Cover Sheets'!G166</f>
        <v>1394456</v>
      </c>
      <c r="P53" s="2">
        <f t="shared" ref="P53:P59" si="7">L53-O53</f>
        <v>0</v>
      </c>
    </row>
    <row r="54" spans="1:16" ht="24" customHeight="1">
      <c r="A54" s="87"/>
      <c r="B54" s="84" t="s">
        <v>1118</v>
      </c>
      <c r="C54" s="88">
        <f>'Fund Cover Sheets'!G598</f>
        <v>771493</v>
      </c>
      <c r="D54" s="88">
        <f>'Fund Cover Sheets'!G599</f>
        <v>351668</v>
      </c>
      <c r="E54" s="2">
        <f>'Fund Cover Sheets'!G600</f>
        <v>227280</v>
      </c>
      <c r="F54" s="88">
        <f>'Fund Cover Sheets'!G601</f>
        <v>291650</v>
      </c>
      <c r="G54" s="88">
        <v>0</v>
      </c>
      <c r="H54" s="88">
        <v>0</v>
      </c>
      <c r="I54" s="88">
        <v>0</v>
      </c>
      <c r="J54" s="88">
        <v>0</v>
      </c>
      <c r="K54" s="3">
        <f>'Fund Cover Sheets'!G602</f>
        <v>556957</v>
      </c>
      <c r="L54" s="3">
        <f t="shared" si="6"/>
        <v>2199048</v>
      </c>
      <c r="M54" s="6"/>
      <c r="N54" s="101"/>
      <c r="O54" s="2">
        <f>'Fund Cover Sheets'!G603</f>
        <v>2199048</v>
      </c>
      <c r="P54" s="2">
        <f t="shared" si="7"/>
        <v>0</v>
      </c>
    </row>
    <row r="55" spans="1:16" ht="24" customHeight="1">
      <c r="A55" s="87"/>
      <c r="B55" s="84" t="s">
        <v>860</v>
      </c>
      <c r="C55" s="88">
        <v>0</v>
      </c>
      <c r="D55" s="88">
        <v>0</v>
      </c>
      <c r="E55" s="88">
        <v>0</v>
      </c>
      <c r="F55" s="88">
        <v>0</v>
      </c>
      <c r="G55" s="88">
        <f>'Fund Cover Sheets'!G551</f>
        <v>89000</v>
      </c>
      <c r="H55" s="88">
        <v>0</v>
      </c>
      <c r="I55" s="88">
        <v>0</v>
      </c>
      <c r="J55" s="88">
        <v>0</v>
      </c>
      <c r="K55" s="3">
        <v>0</v>
      </c>
      <c r="L55" s="3">
        <f>SUM(C55:K55)</f>
        <v>89000</v>
      </c>
      <c r="M55" s="6"/>
      <c r="N55" s="101"/>
      <c r="O55" s="2">
        <f>'Fund Cover Sheets'!G552</f>
        <v>89000</v>
      </c>
      <c r="P55" s="2">
        <f t="shared" si="7"/>
        <v>0</v>
      </c>
    </row>
    <row r="56" spans="1:16" ht="24" customHeight="1">
      <c r="A56" s="87"/>
      <c r="B56" s="84" t="s">
        <v>747</v>
      </c>
      <c r="C56" s="88">
        <v>0</v>
      </c>
      <c r="D56" s="88">
        <v>0</v>
      </c>
      <c r="E56" s="88">
        <f>'Fund Cover Sheets'!G889</f>
        <v>1802375</v>
      </c>
      <c r="F56" s="88">
        <v>0</v>
      </c>
      <c r="G56" s="88">
        <v>0</v>
      </c>
      <c r="H56" s="88">
        <v>0</v>
      </c>
      <c r="I56" s="88">
        <v>0</v>
      </c>
      <c r="J56" s="88">
        <f>'Fund Cover Sheets'!G890</f>
        <v>302738</v>
      </c>
      <c r="K56" s="3">
        <v>0</v>
      </c>
      <c r="L56" s="3">
        <f t="shared" si="6"/>
        <v>2105113</v>
      </c>
      <c r="M56" s="6"/>
      <c r="N56" s="101"/>
      <c r="O56" s="2">
        <f>'Fund Cover Sheets'!G891</f>
        <v>2105113</v>
      </c>
      <c r="P56" s="2">
        <f t="shared" si="7"/>
        <v>0</v>
      </c>
    </row>
    <row r="57" spans="1:16" ht="24" customHeight="1">
      <c r="A57" s="87"/>
      <c r="B57" s="84" t="s">
        <v>755</v>
      </c>
      <c r="C57" s="2">
        <v>0</v>
      </c>
      <c r="D57" s="88">
        <v>0</v>
      </c>
      <c r="E57" s="2">
        <f>'Fund Cover Sheets'!G932</f>
        <v>15350</v>
      </c>
      <c r="F57" s="88">
        <v>0</v>
      </c>
      <c r="G57" s="88">
        <f>'Fund Cover Sheets'!G933</f>
        <v>30000</v>
      </c>
      <c r="H57" s="88">
        <v>0</v>
      </c>
      <c r="I57" s="88">
        <v>0</v>
      </c>
      <c r="J57" s="88">
        <v>0</v>
      </c>
      <c r="K57" s="3">
        <v>0</v>
      </c>
      <c r="L57" s="3">
        <f t="shared" si="6"/>
        <v>45350</v>
      </c>
      <c r="M57" s="6"/>
      <c r="N57" s="101"/>
      <c r="O57" s="2">
        <f>'Fund Cover Sheets'!G934</f>
        <v>45350</v>
      </c>
      <c r="P57" s="2">
        <f t="shared" si="7"/>
        <v>0</v>
      </c>
    </row>
    <row r="58" spans="1:16" ht="24" customHeight="1">
      <c r="A58" s="87"/>
      <c r="B58" s="84" t="s">
        <v>1119</v>
      </c>
      <c r="C58" s="3">
        <v>0</v>
      </c>
      <c r="D58" s="3">
        <v>0</v>
      </c>
      <c r="E58" s="3">
        <f>'Fund Cover Sheets'!G73</f>
        <v>7500</v>
      </c>
      <c r="F58" s="3">
        <v>0</v>
      </c>
      <c r="G58" s="3">
        <v>0</v>
      </c>
      <c r="H58" s="3">
        <v>0</v>
      </c>
      <c r="I58" s="3">
        <v>0</v>
      </c>
      <c r="J58" s="3">
        <v>0</v>
      </c>
      <c r="K58" s="3">
        <v>0</v>
      </c>
      <c r="L58" s="3">
        <f t="shared" si="6"/>
        <v>7500</v>
      </c>
      <c r="M58" s="6"/>
      <c r="N58" s="101"/>
      <c r="O58" s="2">
        <f>'Fund Cover Sheets'!G73</f>
        <v>7500</v>
      </c>
      <c r="P58" s="2">
        <f t="shared" si="7"/>
        <v>0</v>
      </c>
    </row>
    <row r="59" spans="1:16" ht="24" customHeight="1">
      <c r="A59" s="87"/>
      <c r="B59" s="84" t="s">
        <v>1120</v>
      </c>
      <c r="C59" s="3">
        <v>0</v>
      </c>
      <c r="D59" s="3">
        <v>0</v>
      </c>
      <c r="E59" s="3">
        <f>'Fund Cover Sheets'!G117</f>
        <v>14985</v>
      </c>
      <c r="F59" s="3">
        <v>0</v>
      </c>
      <c r="G59" s="3">
        <v>0</v>
      </c>
      <c r="H59" s="3">
        <v>0</v>
      </c>
      <c r="I59" s="3">
        <v>0</v>
      </c>
      <c r="J59" s="88">
        <v>0</v>
      </c>
      <c r="K59" s="2">
        <v>0</v>
      </c>
      <c r="L59" s="3">
        <f t="shared" si="6"/>
        <v>14985</v>
      </c>
      <c r="M59" s="6"/>
      <c r="N59" s="101"/>
      <c r="O59" s="2">
        <f>'Fund Cover Sheets'!G117</f>
        <v>14985</v>
      </c>
      <c r="P59" s="2">
        <f t="shared" si="7"/>
        <v>0</v>
      </c>
    </row>
    <row r="60" spans="1:16">
      <c r="A60" s="87"/>
      <c r="B60" s="84"/>
      <c r="C60" s="3"/>
      <c r="D60" s="3"/>
      <c r="E60" s="3"/>
      <c r="F60" s="3"/>
      <c r="G60" s="3"/>
      <c r="H60" s="3"/>
      <c r="I60" s="3"/>
      <c r="J60" s="88"/>
      <c r="K60" s="2"/>
      <c r="L60" s="3"/>
      <c r="M60" s="6"/>
      <c r="N60" s="101"/>
      <c r="O60" s="2"/>
    </row>
    <row r="61" spans="1:16" ht="24" customHeight="1">
      <c r="A61" s="86" t="s">
        <v>1121</v>
      </c>
      <c r="B61" s="79"/>
      <c r="C61" s="88">
        <v>0</v>
      </c>
      <c r="D61" s="88">
        <v>0</v>
      </c>
      <c r="E61" s="88">
        <f>'Fund Cover Sheets'!G397</f>
        <v>375</v>
      </c>
      <c r="F61" s="88">
        <v>0</v>
      </c>
      <c r="G61" s="88">
        <v>0</v>
      </c>
      <c r="H61" s="88">
        <v>0</v>
      </c>
      <c r="I61" s="88">
        <v>0</v>
      </c>
      <c r="J61" s="3">
        <f>'Fund Cover Sheets'!G398</f>
        <v>328179</v>
      </c>
      <c r="K61" s="2">
        <v>0</v>
      </c>
      <c r="L61" s="3">
        <f t="shared" si="6"/>
        <v>328554</v>
      </c>
      <c r="M61" s="6"/>
      <c r="N61" s="101"/>
      <c r="O61" s="2">
        <f>'Fund Cover Sheets'!G399</f>
        <v>328554</v>
      </c>
      <c r="P61" s="2">
        <f>L61-O61</f>
        <v>0</v>
      </c>
    </row>
    <row r="62" spans="1:16">
      <c r="A62" s="87"/>
      <c r="B62" s="79"/>
      <c r="C62" s="3"/>
      <c r="D62" s="3"/>
      <c r="E62" s="2"/>
      <c r="F62" s="3"/>
      <c r="G62" s="88"/>
      <c r="H62" s="88"/>
      <c r="I62" s="88"/>
      <c r="J62" s="3"/>
      <c r="K62" s="2"/>
      <c r="L62" s="3"/>
      <c r="O62" s="2"/>
    </row>
    <row r="63" spans="1:16" ht="24" customHeight="1">
      <c r="A63" s="86" t="s">
        <v>1122</v>
      </c>
      <c r="B63" s="79"/>
      <c r="C63" s="88"/>
      <c r="D63" s="88"/>
      <c r="E63" s="2"/>
      <c r="F63" s="88"/>
      <c r="G63" s="88"/>
      <c r="H63" s="88"/>
      <c r="I63" s="88"/>
      <c r="J63" s="88"/>
      <c r="K63" s="2"/>
      <c r="L63" s="3"/>
      <c r="O63" s="2"/>
    </row>
    <row r="64" spans="1:16" ht="24" customHeight="1">
      <c r="A64" s="86"/>
      <c r="B64" s="84" t="s">
        <v>1123</v>
      </c>
      <c r="C64" s="88">
        <v>0</v>
      </c>
      <c r="D64" s="88">
        <v>0</v>
      </c>
      <c r="E64" s="2">
        <v>0</v>
      </c>
      <c r="F64" s="88">
        <v>0</v>
      </c>
      <c r="G64" s="88">
        <v>0</v>
      </c>
      <c r="H64" s="88">
        <v>0</v>
      </c>
      <c r="I64" s="88">
        <v>0</v>
      </c>
      <c r="J64" s="88">
        <v>0</v>
      </c>
      <c r="K64" s="88">
        <v>0</v>
      </c>
      <c r="L64" s="3">
        <f>SUM(C64:K64)</f>
        <v>0</v>
      </c>
      <c r="O64" s="2">
        <f>'Fund Cover Sheets'!G209</f>
        <v>0</v>
      </c>
      <c r="P64" s="2">
        <f t="shared" ref="P64:P66" si="8">L64-O64</f>
        <v>0</v>
      </c>
    </row>
    <row r="65" spans="1:21" ht="24" customHeight="1">
      <c r="A65" s="87"/>
      <c r="B65" s="84" t="s">
        <v>1305</v>
      </c>
      <c r="C65" s="3">
        <v>0</v>
      </c>
      <c r="D65" s="3">
        <v>0</v>
      </c>
      <c r="E65" s="2">
        <f>'Fund Cover Sheets'!G318+'Fund Cover Sheets'!G326</f>
        <v>18167</v>
      </c>
      <c r="F65" s="3">
        <f>'Fund Cover Sheets'!G319+'Fund Cover Sheets'!G327</f>
        <v>2000</v>
      </c>
      <c r="G65" s="3">
        <f>'Fund Cover Sheets'!G320+'Fund Cover Sheets'!G328+'Fund Cover Sheets'!G335</f>
        <v>140000</v>
      </c>
      <c r="H65" s="3">
        <v>0</v>
      </c>
      <c r="I65" s="3">
        <v>0</v>
      </c>
      <c r="J65" s="3">
        <f>'Fund Cover Sheets'!G329+'Fund Cover Sheets'!G336</f>
        <v>82295</v>
      </c>
      <c r="K65" s="3">
        <f>'Fund Cover Sheets'!G337</f>
        <v>50000</v>
      </c>
      <c r="L65" s="3">
        <f>SUM(C65:K65)</f>
        <v>292462</v>
      </c>
      <c r="O65" s="2">
        <f>'Fund Cover Sheets'!G342</f>
        <v>292462</v>
      </c>
      <c r="P65" s="2">
        <f t="shared" si="8"/>
        <v>0</v>
      </c>
    </row>
    <row r="66" spans="1:21" ht="24" customHeight="1">
      <c r="A66" s="87"/>
      <c r="B66" s="84" t="s">
        <v>1125</v>
      </c>
      <c r="C66" s="3">
        <v>0</v>
      </c>
      <c r="D66" s="88">
        <v>0</v>
      </c>
      <c r="E66" s="88">
        <f>'Fund Cover Sheets'!G256</f>
        <v>50000</v>
      </c>
      <c r="F66" s="88">
        <v>0</v>
      </c>
      <c r="G66" s="88">
        <f>'Fund Cover Sheets'!G257</f>
        <v>1122863</v>
      </c>
      <c r="H66" s="88">
        <v>0</v>
      </c>
      <c r="I66" s="88">
        <v>0</v>
      </c>
      <c r="J66" s="88">
        <f>'Fund Cover Sheets'!G258</f>
        <v>83333</v>
      </c>
      <c r="K66" s="88">
        <f>'Fund Cover Sheets'!G259</f>
        <v>5250</v>
      </c>
      <c r="L66" s="3">
        <f>SUM(C66:K66)</f>
        <v>1261446</v>
      </c>
      <c r="O66" s="2">
        <f>'Fund Cover Sheets'!G260</f>
        <v>1261446</v>
      </c>
      <c r="P66" s="2">
        <f t="shared" si="8"/>
        <v>0</v>
      </c>
    </row>
    <row r="67" spans="1:21">
      <c r="A67" s="87"/>
      <c r="B67" s="84"/>
      <c r="C67" s="3"/>
      <c r="D67" s="88"/>
      <c r="E67" s="88"/>
      <c r="F67" s="88"/>
      <c r="G67" s="88"/>
      <c r="H67" s="88"/>
      <c r="I67" s="88"/>
      <c r="J67" s="88"/>
      <c r="K67" s="88"/>
      <c r="L67" s="3"/>
      <c r="O67" s="2"/>
    </row>
    <row r="68" spans="1:21" ht="24" customHeight="1">
      <c r="A68" s="86" t="s">
        <v>1126</v>
      </c>
      <c r="B68" s="84"/>
      <c r="C68" s="2"/>
      <c r="D68" s="88"/>
      <c r="E68" s="88"/>
      <c r="F68" s="88"/>
      <c r="G68" s="88"/>
      <c r="H68" s="88"/>
      <c r="I68" s="88"/>
      <c r="J68" s="88"/>
      <c r="K68" s="3"/>
      <c r="L68" s="3"/>
      <c r="O68" s="2"/>
    </row>
    <row r="69" spans="1:21" ht="24" customHeight="1">
      <c r="B69" s="84" t="s">
        <v>858</v>
      </c>
      <c r="C69" s="2">
        <f>'Fund Cover Sheets'!G446</f>
        <v>339697</v>
      </c>
      <c r="D69" s="88">
        <f>'Fund Cover Sheets'!G447</f>
        <v>202339</v>
      </c>
      <c r="E69" s="88">
        <f>'Fund Cover Sheets'!G448</f>
        <v>497450</v>
      </c>
      <c r="F69" s="88">
        <f>'Fund Cover Sheets'!G449</f>
        <v>301873</v>
      </c>
      <c r="G69" s="88">
        <f>'Fund Cover Sheets'!G450</f>
        <v>345434</v>
      </c>
      <c r="H69" s="88">
        <v>0</v>
      </c>
      <c r="I69" s="88">
        <f>'Fund Cover Sheets'!G451</f>
        <v>0</v>
      </c>
      <c r="J69" s="88">
        <f>'Fund Cover Sheets'!G452</f>
        <v>1172802</v>
      </c>
      <c r="K69" s="3">
        <v>0</v>
      </c>
      <c r="L69" s="3">
        <f>SUM(C69:K69)</f>
        <v>2859595</v>
      </c>
      <c r="O69" s="2">
        <f>'Fund Cover Sheets'!G453</f>
        <v>2859595</v>
      </c>
      <c r="P69" s="2">
        <f t="shared" ref="P69:P71" si="9">L69-O69</f>
        <v>0</v>
      </c>
    </row>
    <row r="70" spans="1:21" ht="24" customHeight="1">
      <c r="B70" s="84" t="s">
        <v>859</v>
      </c>
      <c r="C70" s="2">
        <f>'Fund Cover Sheets'!G499</f>
        <v>189544</v>
      </c>
      <c r="D70" s="2">
        <f>'Fund Cover Sheets'!G500</f>
        <v>98540</v>
      </c>
      <c r="E70" s="2">
        <f>'Fund Cover Sheets'!G501</f>
        <v>80950</v>
      </c>
      <c r="F70" s="88">
        <f>'Fund Cover Sheets'!G502</f>
        <v>83206</v>
      </c>
      <c r="G70" s="88">
        <f>'Fund Cover Sheets'!G503</f>
        <v>66773</v>
      </c>
      <c r="H70" s="88">
        <v>0</v>
      </c>
      <c r="I70" s="88">
        <f>'Fund Cover Sheets'!G504</f>
        <v>0</v>
      </c>
      <c r="J70" s="88">
        <f>'Fund Cover Sheets'!G505</f>
        <v>1968119</v>
      </c>
      <c r="K70" s="3">
        <f>'Fund Cover Sheets'!G506</f>
        <v>82988</v>
      </c>
      <c r="L70" s="3">
        <f>SUM(C70:K70)</f>
        <v>2570120</v>
      </c>
      <c r="O70" s="2">
        <f>'Fund Cover Sheets'!G507</f>
        <v>2570120</v>
      </c>
      <c r="P70" s="2">
        <f t="shared" si="9"/>
        <v>0</v>
      </c>
    </row>
    <row r="71" spans="1:21" ht="24" customHeight="1">
      <c r="B71" s="84" t="s">
        <v>777</v>
      </c>
      <c r="C71" s="88">
        <f>'Fund Cover Sheets'!G647</f>
        <v>20000</v>
      </c>
      <c r="D71" s="88">
        <f>'Fund Cover Sheets'!G648</f>
        <v>0</v>
      </c>
      <c r="E71" s="88">
        <f>'Fund Cover Sheets'!G649</f>
        <v>114250</v>
      </c>
      <c r="F71" s="88">
        <f>'Fund Cover Sheets'!G650</f>
        <v>16239</v>
      </c>
      <c r="G71" s="88">
        <v>0</v>
      </c>
      <c r="H71" s="88">
        <v>0</v>
      </c>
      <c r="I71" s="88">
        <v>0</v>
      </c>
      <c r="J71" s="88">
        <v>0</v>
      </c>
      <c r="K71" s="88">
        <v>0</v>
      </c>
      <c r="L71" s="3">
        <f>SUM(C71:K71)</f>
        <v>150489</v>
      </c>
      <c r="O71" s="2">
        <f>'Fund Cover Sheets'!G651</f>
        <v>150489</v>
      </c>
      <c r="P71" s="2">
        <f t="shared" si="9"/>
        <v>0</v>
      </c>
    </row>
    <row r="72" spans="1:21">
      <c r="B72" s="84"/>
      <c r="C72" s="88"/>
      <c r="D72" s="88"/>
      <c r="E72" s="88"/>
      <c r="F72" s="88"/>
      <c r="G72" s="88"/>
      <c r="H72" s="88"/>
      <c r="I72" s="88"/>
      <c r="J72" s="88"/>
      <c r="K72" s="88"/>
      <c r="L72" s="3"/>
      <c r="O72" s="2"/>
    </row>
    <row r="73" spans="1:21" ht="24" customHeight="1">
      <c r="A73" s="86" t="s">
        <v>1127</v>
      </c>
      <c r="B73" s="84"/>
      <c r="C73" s="88"/>
      <c r="D73" s="88"/>
      <c r="E73" s="88"/>
      <c r="F73" s="88"/>
      <c r="G73" s="88"/>
      <c r="H73" s="88"/>
      <c r="I73" s="88"/>
      <c r="J73" s="88"/>
      <c r="K73" s="88"/>
      <c r="L73" s="3"/>
      <c r="O73" s="2"/>
    </row>
    <row r="74" spans="1:21" ht="24" customHeight="1">
      <c r="A74" s="86"/>
      <c r="B74" s="84" t="s">
        <v>841</v>
      </c>
      <c r="C74" s="88">
        <f>'Fund Cover Sheets'!G700</f>
        <v>447540</v>
      </c>
      <c r="D74" s="88">
        <f>'Fund Cover Sheets'!G701</f>
        <v>193524</v>
      </c>
      <c r="E74" s="88">
        <f>'Fund Cover Sheets'!G702</f>
        <v>109049</v>
      </c>
      <c r="F74" s="88">
        <f>'Fund Cover Sheets'!G703</f>
        <v>21250</v>
      </c>
      <c r="G74" s="88">
        <v>0</v>
      </c>
      <c r="H74" s="88">
        <f>'Fund Cover Sheets'!G704</f>
        <v>0</v>
      </c>
      <c r="I74" s="88">
        <v>0</v>
      </c>
      <c r="J74" s="88">
        <f>'Fund Cover Sheets'!G705</f>
        <v>0</v>
      </c>
      <c r="K74" s="88">
        <f>'Fund Cover Sheets'!G706</f>
        <v>0</v>
      </c>
      <c r="L74" s="3">
        <f>SUM(C74:K74)</f>
        <v>771363</v>
      </c>
      <c r="O74" s="2">
        <f>'Fund Cover Sheets'!G707</f>
        <v>771363</v>
      </c>
      <c r="P74" s="2">
        <f t="shared" ref="P74:P76" si="10">L74-O74</f>
        <v>0</v>
      </c>
    </row>
    <row r="75" spans="1:21" ht="24" customHeight="1">
      <c r="A75" s="86"/>
      <c r="B75" s="84" t="s">
        <v>734</v>
      </c>
      <c r="C75" s="88">
        <v>0</v>
      </c>
      <c r="D75" s="88">
        <v>0</v>
      </c>
      <c r="E75" s="88">
        <v>0</v>
      </c>
      <c r="F75" s="88">
        <v>0</v>
      </c>
      <c r="G75" s="88">
        <v>0</v>
      </c>
      <c r="H75" s="88">
        <v>0</v>
      </c>
      <c r="I75" s="88">
        <v>0</v>
      </c>
      <c r="J75" s="88">
        <f>'Fund Cover Sheets'!G752</f>
        <v>769638</v>
      </c>
      <c r="K75" s="88"/>
      <c r="L75" s="3">
        <f>SUM(C75:K75)</f>
        <v>769638</v>
      </c>
      <c r="O75" s="2">
        <f>'Fund Cover Sheets'!G753</f>
        <v>769638</v>
      </c>
      <c r="P75" s="2">
        <f t="shared" si="10"/>
        <v>0</v>
      </c>
    </row>
    <row r="76" spans="1:21" ht="24" customHeight="1">
      <c r="A76" s="86"/>
      <c r="B76" s="84" t="s">
        <v>1128</v>
      </c>
      <c r="C76" s="88">
        <v>0</v>
      </c>
      <c r="D76" s="88">
        <v>0</v>
      </c>
      <c r="E76" s="88">
        <f>'Fund Cover Sheets'!G797</f>
        <v>3500</v>
      </c>
      <c r="F76" s="88">
        <f>'Fund Cover Sheets'!G798</f>
        <v>35350</v>
      </c>
      <c r="G76" s="88">
        <f>'Fund Cover Sheets'!G799</f>
        <v>0</v>
      </c>
      <c r="H76" s="88">
        <v>0</v>
      </c>
      <c r="I76" s="88">
        <v>0</v>
      </c>
      <c r="J76" s="88">
        <v>0</v>
      </c>
      <c r="K76" s="88">
        <f>'Fund Cover Sheets'!G800</f>
        <v>0</v>
      </c>
      <c r="L76" s="3">
        <f>SUM(C76:K76)</f>
        <v>38850</v>
      </c>
      <c r="O76" s="2">
        <f>'Fund Cover Sheets'!G801</f>
        <v>38850</v>
      </c>
      <c r="P76" s="2">
        <f t="shared" si="10"/>
        <v>0</v>
      </c>
    </row>
    <row r="77" spans="1:21">
      <c r="A77" s="89"/>
      <c r="B77" s="84"/>
      <c r="C77" s="88"/>
      <c r="D77" s="88"/>
      <c r="E77" s="88"/>
      <c r="F77" s="88"/>
      <c r="G77" s="88"/>
      <c r="H77" s="88"/>
      <c r="I77" s="88"/>
      <c r="J77" s="88"/>
      <c r="K77" s="3"/>
      <c r="L77" s="3"/>
      <c r="O77" s="7" t="s">
        <v>1454</v>
      </c>
      <c r="P77" s="1" t="s">
        <v>1450</v>
      </c>
      <c r="S77" s="147" t="s">
        <v>1457</v>
      </c>
      <c r="T77" s="147"/>
      <c r="U77" s="147" t="s">
        <v>1445</v>
      </c>
    </row>
    <row r="78" spans="1:21" ht="24" customHeight="1" thickBot="1">
      <c r="A78" s="8"/>
      <c r="B78" s="90" t="s">
        <v>1189</v>
      </c>
      <c r="C78" s="99">
        <f t="shared" ref="C78:L78" si="11">SUM(C50:C77)</f>
        <v>5314572</v>
      </c>
      <c r="D78" s="99">
        <f t="shared" si="11"/>
        <v>3116110</v>
      </c>
      <c r="E78" s="99">
        <f t="shared" si="11"/>
        <v>6899171</v>
      </c>
      <c r="F78" s="99">
        <f t="shared" si="11"/>
        <v>1263234</v>
      </c>
      <c r="G78" s="99">
        <f t="shared" si="11"/>
        <v>2945470</v>
      </c>
      <c r="H78" s="99">
        <f t="shared" si="11"/>
        <v>50000</v>
      </c>
      <c r="I78" s="99">
        <f t="shared" si="11"/>
        <v>0</v>
      </c>
      <c r="J78" s="99">
        <f t="shared" si="11"/>
        <v>4707104</v>
      </c>
      <c r="K78" s="99">
        <f t="shared" si="11"/>
        <v>4493868</v>
      </c>
      <c r="L78" s="99">
        <f t="shared" si="11"/>
        <v>28789529</v>
      </c>
      <c r="N78" s="1" t="s">
        <v>1449</v>
      </c>
      <c r="O78" s="2">
        <f>SUM(C78:K78)</f>
        <v>28789529</v>
      </c>
      <c r="P78" s="103">
        <f>L78-O78</f>
        <v>0</v>
      </c>
      <c r="S78" s="2">
        <f>'Budget Summary'!G78</f>
        <v>28789529</v>
      </c>
      <c r="U78" s="103">
        <f>L78-S78</f>
        <v>0</v>
      </c>
    </row>
    <row r="79" spans="1:21" ht="15.75" thickTop="1">
      <c r="C79" s="92"/>
      <c r="D79" s="92"/>
      <c r="E79" s="92"/>
      <c r="F79" s="92"/>
      <c r="G79" s="92"/>
      <c r="H79" s="92"/>
      <c r="I79" s="92"/>
      <c r="O79" s="2">
        <f>SUM(O50:O76)-O78</f>
        <v>0</v>
      </c>
      <c r="P79" s="139" t="s">
        <v>1453</v>
      </c>
    </row>
    <row r="80" spans="1:21">
      <c r="C80" s="92"/>
      <c r="D80" s="92"/>
      <c r="E80" s="92"/>
      <c r="F80" s="92"/>
      <c r="G80" s="92"/>
      <c r="H80" s="92"/>
      <c r="I80" s="92"/>
      <c r="O80" s="2"/>
    </row>
    <row r="81" spans="3:15">
      <c r="C81" s="92"/>
      <c r="D81" s="92"/>
      <c r="E81" s="92"/>
      <c r="F81" s="92"/>
      <c r="G81" s="92"/>
      <c r="H81" s="92"/>
      <c r="I81" s="92"/>
      <c r="O81" s="2"/>
    </row>
    <row r="82" spans="3:15">
      <c r="C82" s="92"/>
      <c r="D82" s="92"/>
      <c r="E82" s="92"/>
      <c r="F82" s="92"/>
      <c r="G82" s="92"/>
      <c r="H82" s="92"/>
      <c r="I82" s="92"/>
      <c r="O82" s="2"/>
    </row>
    <row r="83" spans="3:15">
      <c r="C83" s="92"/>
      <c r="D83" s="92"/>
      <c r="E83" s="92"/>
      <c r="F83" s="92"/>
      <c r="G83" s="92"/>
      <c r="H83" s="92"/>
      <c r="I83" s="92"/>
    </row>
    <row r="84" spans="3:15">
      <c r="C84" s="92"/>
      <c r="D84" s="92"/>
      <c r="E84" s="92"/>
      <c r="F84" s="92"/>
      <c r="G84" s="92"/>
      <c r="H84" s="92"/>
      <c r="I84" s="92"/>
    </row>
    <row r="85" spans="3:15">
      <c r="C85" s="92"/>
      <c r="D85" s="92"/>
      <c r="E85" s="92"/>
      <c r="F85" s="92"/>
      <c r="G85" s="92"/>
      <c r="H85" s="92"/>
      <c r="I85" s="92"/>
    </row>
    <row r="86" spans="3:15">
      <c r="C86" s="92"/>
      <c r="D86" s="92"/>
      <c r="E86" s="92"/>
      <c r="F86" s="92"/>
      <c r="G86" s="92"/>
      <c r="H86" s="92"/>
      <c r="I86" s="92"/>
    </row>
    <row r="87" spans="3:15">
      <c r="C87" s="92"/>
      <c r="D87" s="92"/>
      <c r="E87" s="92"/>
      <c r="F87" s="92"/>
      <c r="G87" s="92"/>
      <c r="H87" s="92"/>
      <c r="I87" s="92"/>
    </row>
    <row r="88" spans="3:15">
      <c r="C88" s="92"/>
      <c r="D88" s="92"/>
      <c r="E88" s="92"/>
      <c r="F88" s="92"/>
      <c r="G88" s="92"/>
      <c r="H88" s="92"/>
      <c r="I88" s="92"/>
    </row>
    <row r="89" spans="3:15">
      <c r="C89" s="92"/>
      <c r="D89" s="92"/>
      <c r="E89" s="92"/>
      <c r="F89" s="92"/>
      <c r="G89" s="92"/>
      <c r="H89" s="92"/>
      <c r="I89" s="92"/>
    </row>
    <row r="90" spans="3:15">
      <c r="C90" s="92"/>
      <c r="D90" s="92"/>
      <c r="E90" s="92"/>
      <c r="F90" s="92"/>
      <c r="G90" s="92"/>
      <c r="H90" s="92"/>
      <c r="I90" s="92"/>
    </row>
    <row r="91" spans="3:15">
      <c r="C91" s="92"/>
      <c r="D91" s="92"/>
      <c r="E91" s="92"/>
      <c r="F91" s="92"/>
      <c r="G91" s="92"/>
      <c r="H91" s="92"/>
      <c r="I91" s="92"/>
    </row>
    <row r="92" spans="3:15">
      <c r="C92" s="92"/>
      <c r="D92" s="92"/>
      <c r="E92" s="92"/>
      <c r="F92" s="92"/>
      <c r="G92" s="92"/>
      <c r="H92" s="92"/>
      <c r="I92" s="92"/>
    </row>
    <row r="93" spans="3:15">
      <c r="C93" s="92"/>
      <c r="D93" s="92"/>
      <c r="E93" s="92"/>
      <c r="F93" s="92"/>
      <c r="G93" s="92"/>
      <c r="H93" s="92"/>
      <c r="I93" s="92"/>
    </row>
    <row r="94" spans="3:15">
      <c r="C94" s="92"/>
      <c r="D94" s="92"/>
      <c r="E94" s="92"/>
      <c r="F94" s="92"/>
      <c r="G94" s="92"/>
      <c r="H94" s="92"/>
      <c r="I94" s="92"/>
    </row>
    <row r="95" spans="3:15">
      <c r="C95" s="92"/>
      <c r="D95" s="92"/>
      <c r="E95" s="92"/>
      <c r="F95" s="92"/>
      <c r="G95" s="92"/>
      <c r="H95" s="92"/>
      <c r="I95" s="92"/>
    </row>
    <row r="96" spans="3:15">
      <c r="C96" s="92"/>
      <c r="D96" s="92"/>
      <c r="E96" s="92"/>
      <c r="F96" s="92"/>
      <c r="G96" s="92"/>
      <c r="H96" s="92"/>
      <c r="I96" s="92"/>
    </row>
    <row r="97" spans="3:9">
      <c r="C97" s="92"/>
      <c r="D97" s="92"/>
      <c r="E97" s="92"/>
      <c r="F97" s="92"/>
      <c r="G97" s="92"/>
      <c r="H97" s="92"/>
      <c r="I97" s="92"/>
    </row>
    <row r="98" spans="3:9">
      <c r="C98" s="92"/>
      <c r="D98" s="92"/>
      <c r="E98" s="92"/>
      <c r="F98" s="92"/>
      <c r="G98" s="92"/>
      <c r="H98" s="92"/>
      <c r="I98" s="92"/>
    </row>
    <row r="99" spans="3:9">
      <c r="C99" s="92"/>
      <c r="D99" s="92"/>
      <c r="E99" s="92"/>
      <c r="F99" s="92"/>
      <c r="G99" s="92"/>
      <c r="H99" s="92"/>
      <c r="I99" s="92"/>
    </row>
    <row r="100" spans="3:9">
      <c r="C100" s="92"/>
      <c r="D100" s="92"/>
      <c r="E100" s="92"/>
      <c r="F100" s="92"/>
      <c r="G100" s="92"/>
      <c r="H100" s="92"/>
      <c r="I100" s="92"/>
    </row>
    <row r="101" spans="3:9">
      <c r="C101" s="92"/>
      <c r="D101" s="92"/>
      <c r="E101" s="92"/>
      <c r="F101" s="92"/>
      <c r="G101" s="92"/>
      <c r="H101" s="92"/>
      <c r="I101" s="92"/>
    </row>
    <row r="102" spans="3:9">
      <c r="C102" s="92"/>
      <c r="D102" s="92"/>
      <c r="E102" s="92"/>
      <c r="F102" s="92"/>
      <c r="G102" s="92"/>
      <c r="H102" s="92"/>
      <c r="I102" s="92"/>
    </row>
    <row r="103" spans="3:9">
      <c r="C103" s="92"/>
      <c r="D103" s="92"/>
      <c r="E103" s="92"/>
      <c r="F103" s="92"/>
      <c r="G103" s="92"/>
      <c r="H103" s="92"/>
      <c r="I103" s="92"/>
    </row>
    <row r="104" spans="3:9">
      <c r="C104" s="92"/>
      <c r="D104" s="92"/>
      <c r="E104" s="92"/>
      <c r="F104" s="92"/>
      <c r="G104" s="92"/>
      <c r="H104" s="92"/>
      <c r="I104" s="92"/>
    </row>
    <row r="105" spans="3:9">
      <c r="C105" s="92"/>
      <c r="D105" s="92"/>
      <c r="E105" s="92"/>
      <c r="F105" s="92"/>
      <c r="G105" s="92"/>
      <c r="H105" s="92"/>
      <c r="I105" s="92"/>
    </row>
    <row r="106" spans="3:9">
      <c r="C106" s="92"/>
      <c r="D106" s="92"/>
      <c r="E106" s="92"/>
      <c r="F106" s="92"/>
      <c r="G106" s="92"/>
      <c r="H106" s="92"/>
      <c r="I106" s="92"/>
    </row>
    <row r="107" spans="3:9">
      <c r="C107" s="92"/>
      <c r="D107" s="92"/>
      <c r="E107" s="92"/>
      <c r="F107" s="92"/>
      <c r="G107" s="92"/>
      <c r="H107" s="92"/>
      <c r="I107" s="92"/>
    </row>
    <row r="108" spans="3:9">
      <c r="C108" s="92"/>
      <c r="D108" s="92"/>
      <c r="E108" s="92"/>
      <c r="F108" s="92"/>
      <c r="G108" s="92"/>
      <c r="H108" s="92"/>
      <c r="I108" s="92"/>
    </row>
    <row r="109" spans="3:9">
      <c r="C109" s="92"/>
      <c r="D109" s="92"/>
      <c r="E109" s="92"/>
      <c r="F109" s="92"/>
      <c r="G109" s="92"/>
      <c r="H109" s="92"/>
      <c r="I109" s="92"/>
    </row>
    <row r="110" spans="3:9">
      <c r="C110" s="92"/>
      <c r="D110" s="92"/>
      <c r="E110" s="92"/>
      <c r="F110" s="92"/>
      <c r="G110" s="92"/>
      <c r="H110" s="92"/>
      <c r="I110" s="92"/>
    </row>
    <row r="111" spans="3:9">
      <c r="C111" s="92"/>
      <c r="D111" s="92"/>
      <c r="E111" s="92"/>
      <c r="F111" s="92"/>
      <c r="G111" s="92"/>
      <c r="H111" s="92"/>
      <c r="I111" s="92"/>
    </row>
    <row r="112" spans="3:9">
      <c r="C112" s="92"/>
      <c r="D112" s="92"/>
      <c r="E112" s="92"/>
      <c r="F112" s="92"/>
      <c r="G112" s="92"/>
      <c r="H112" s="92"/>
      <c r="I112" s="92"/>
    </row>
  </sheetData>
  <mergeCells count="6">
    <mergeCell ref="A43:L43"/>
    <mergeCell ref="A1:M1"/>
    <mergeCell ref="A2:M2"/>
    <mergeCell ref="A3:M3"/>
    <mergeCell ref="A41:L41"/>
    <mergeCell ref="A42:L42"/>
  </mergeCells>
  <printOptions horizontalCentered="1"/>
  <pageMargins left="0" right="0" top="0.5" bottom="0.25" header="0" footer="0"/>
  <pageSetup scale="68" orientation="landscape" r:id="rId1"/>
  <rowBreaks count="1" manualBreakCount="1">
    <brk id="40" max="12" man="1"/>
  </rowBreaks>
</worksheet>
</file>

<file path=xl/worksheets/sheet3.xml><?xml version="1.0" encoding="utf-8"?>
<worksheet xmlns="http://schemas.openxmlformats.org/spreadsheetml/2006/main" xmlns:r="http://schemas.openxmlformats.org/officeDocument/2006/relationships">
  <dimension ref="A1:S104"/>
  <sheetViews>
    <sheetView zoomScaleNormal="100" workbookViewId="0">
      <selection activeCell="E65" sqref="E65"/>
    </sheetView>
  </sheetViews>
  <sheetFormatPr defaultColWidth="10.42578125" defaultRowHeight="15"/>
  <cols>
    <col min="1" max="1" width="2.7109375" style="50" customWidth="1"/>
    <col min="2" max="2" width="25.7109375" style="11" customWidth="1"/>
    <col min="3" max="3" width="12.7109375" style="11" customWidth="1"/>
    <col min="4" max="4" width="12.7109375" style="50" customWidth="1"/>
    <col min="5" max="11" width="12.7109375" style="120" customWidth="1"/>
    <col min="12" max="13" width="10.42578125" style="120"/>
    <col min="14" max="14" width="29" style="120" customWidth="1"/>
    <col min="15" max="16384" width="10.42578125" style="120"/>
  </cols>
  <sheetData>
    <row r="1" spans="1:19" ht="24" customHeight="1">
      <c r="A1" s="519" t="s">
        <v>1113</v>
      </c>
      <c r="B1" s="519"/>
      <c r="C1" s="519"/>
      <c r="D1" s="519"/>
      <c r="E1" s="519"/>
      <c r="F1" s="519"/>
      <c r="G1" s="519"/>
      <c r="H1" s="519"/>
      <c r="I1" s="519"/>
      <c r="J1" s="519"/>
      <c r="K1" s="519"/>
      <c r="M1" s="142"/>
      <c r="N1" s="141"/>
      <c r="O1" s="141"/>
    </row>
    <row r="2" spans="1:19" ht="24" customHeight="1">
      <c r="A2" s="520" t="s">
        <v>1173</v>
      </c>
      <c r="B2" s="520"/>
      <c r="C2" s="520"/>
      <c r="D2" s="520"/>
      <c r="E2" s="520"/>
      <c r="F2" s="520"/>
      <c r="G2" s="520"/>
      <c r="H2" s="520"/>
      <c r="I2" s="520"/>
      <c r="J2" s="520"/>
      <c r="K2" s="520"/>
      <c r="L2" s="121"/>
      <c r="M2" s="121"/>
      <c r="N2" s="121"/>
      <c r="O2" s="121"/>
      <c r="P2" s="121"/>
      <c r="Q2" s="122"/>
      <c r="R2" s="122"/>
      <c r="S2" s="122"/>
    </row>
    <row r="3" spans="1:19" ht="24" customHeight="1">
      <c r="A3" s="519" t="s">
        <v>1228</v>
      </c>
      <c r="B3" s="519"/>
      <c r="C3" s="519"/>
      <c r="D3" s="519"/>
      <c r="E3" s="519"/>
      <c r="F3" s="519"/>
      <c r="G3" s="519"/>
      <c r="H3" s="519"/>
      <c r="I3" s="519"/>
      <c r="J3" s="519"/>
      <c r="K3" s="519"/>
      <c r="L3" s="122"/>
      <c r="M3" s="122"/>
      <c r="N3" s="122"/>
      <c r="O3" s="122"/>
      <c r="P3" s="122"/>
      <c r="Q3" s="122"/>
      <c r="R3" s="122"/>
      <c r="S3" s="122"/>
    </row>
    <row r="4" spans="1:19" ht="15" customHeight="1">
      <c r="A4" s="123"/>
      <c r="B4" s="123"/>
      <c r="C4" s="123"/>
      <c r="D4" s="123"/>
      <c r="E4" s="123"/>
      <c r="F4" s="123"/>
      <c r="G4" s="123"/>
      <c r="H4" s="123"/>
      <c r="L4" s="122"/>
      <c r="M4" s="122"/>
      <c r="N4" s="122"/>
      <c r="O4" s="122"/>
      <c r="P4" s="122"/>
      <c r="Q4" s="122"/>
      <c r="R4" s="122"/>
      <c r="S4" s="122"/>
    </row>
    <row r="5" spans="1:19" ht="15" customHeight="1">
      <c r="B5" s="12"/>
      <c r="C5" s="80"/>
      <c r="D5" s="80"/>
      <c r="E5" s="81" t="s">
        <v>312</v>
      </c>
      <c r="F5" s="80"/>
      <c r="G5" s="1"/>
      <c r="H5" s="1"/>
      <c r="I5" s="1"/>
      <c r="J5" s="1"/>
      <c r="K5" s="1"/>
    </row>
    <row r="6" spans="1:19" ht="15" customHeight="1">
      <c r="C6" s="80" t="s">
        <v>23</v>
      </c>
      <c r="D6" s="80" t="s">
        <v>253</v>
      </c>
      <c r="E6" s="62" t="s">
        <v>1045</v>
      </c>
      <c r="F6" s="81" t="s">
        <v>312</v>
      </c>
      <c r="G6" s="81" t="s">
        <v>313</v>
      </c>
      <c r="H6" s="81" t="s">
        <v>329</v>
      </c>
      <c r="I6" s="81" t="s">
        <v>332</v>
      </c>
      <c r="J6" s="81" t="s">
        <v>333</v>
      </c>
      <c r="K6" s="81" t="s">
        <v>1224</v>
      </c>
    </row>
    <row r="7" spans="1:19" ht="15" customHeight="1" thickBot="1">
      <c r="B7" s="106" t="s">
        <v>1115</v>
      </c>
      <c r="C7" s="83" t="s">
        <v>1</v>
      </c>
      <c r="D7" s="83" t="s">
        <v>1</v>
      </c>
      <c r="E7" s="83" t="s">
        <v>987</v>
      </c>
      <c r="F7" s="83" t="s">
        <v>24</v>
      </c>
      <c r="G7" s="83" t="s">
        <v>1045</v>
      </c>
      <c r="H7" s="83" t="s">
        <v>24</v>
      </c>
      <c r="I7" s="83" t="s">
        <v>24</v>
      </c>
      <c r="J7" s="83" t="s">
        <v>24</v>
      </c>
      <c r="K7" s="83" t="s">
        <v>24</v>
      </c>
    </row>
    <row r="8" spans="1:19" ht="15" customHeight="1">
      <c r="B8" s="30"/>
      <c r="C8" s="85"/>
      <c r="D8" s="85"/>
      <c r="E8" s="85"/>
      <c r="F8" s="85"/>
      <c r="G8" s="85"/>
      <c r="H8" s="85"/>
      <c r="I8" s="85"/>
      <c r="J8" s="85"/>
      <c r="K8" s="85"/>
    </row>
    <row r="9" spans="1:19" ht="24" customHeight="1">
      <c r="A9" s="124" t="s">
        <v>1116</v>
      </c>
      <c r="C9" s="2">
        <f>'Fund Cover Sheets'!C39</f>
        <v>-271900</v>
      </c>
      <c r="D9" s="2">
        <f>'Fund Cover Sheets'!D39</f>
        <v>1270623</v>
      </c>
      <c r="E9" s="2">
        <f>'Fund Cover Sheets'!E39</f>
        <v>1596094</v>
      </c>
      <c r="F9" s="2">
        <f>'Fund Cover Sheets'!F39</f>
        <v>3423724</v>
      </c>
      <c r="G9" s="2">
        <f>'Fund Cover Sheets'!G39</f>
        <v>2541653</v>
      </c>
      <c r="H9" s="2">
        <f>'Fund Cover Sheets'!H39</f>
        <v>3043166</v>
      </c>
      <c r="I9" s="2">
        <f>'Fund Cover Sheets'!I39</f>
        <v>3336226</v>
      </c>
      <c r="J9" s="2">
        <f>'Fund Cover Sheets'!J39</f>
        <v>2351632</v>
      </c>
      <c r="K9" s="2">
        <f>'Fund Cover Sheets'!K39</f>
        <v>2089937</v>
      </c>
    </row>
    <row r="10" spans="1:19" ht="15" customHeight="1">
      <c r="A10" s="124"/>
      <c r="C10" s="3"/>
      <c r="D10" s="3"/>
      <c r="E10" s="110"/>
      <c r="F10" s="110"/>
      <c r="G10" s="110"/>
      <c r="H10" s="110"/>
      <c r="I10" s="125"/>
      <c r="J10" s="125"/>
      <c r="K10" s="125"/>
    </row>
    <row r="11" spans="1:19" ht="15" customHeight="1">
      <c r="A11" s="124"/>
      <c r="C11" s="3"/>
      <c r="D11" s="3"/>
      <c r="E11" s="110"/>
      <c r="F11" s="110"/>
      <c r="G11" s="110"/>
      <c r="H11" s="110"/>
      <c r="I11" s="125"/>
      <c r="J11" s="125"/>
      <c r="K11" s="125"/>
    </row>
    <row r="12" spans="1:19" ht="15" customHeight="1">
      <c r="A12" s="124"/>
      <c r="C12" s="88"/>
      <c r="D12" s="88"/>
      <c r="E12" s="110"/>
      <c r="F12" s="110"/>
      <c r="G12" s="110"/>
      <c r="H12" s="110"/>
      <c r="I12" s="125"/>
      <c r="J12" s="125"/>
      <c r="K12" s="125"/>
    </row>
    <row r="13" spans="1:19" ht="24" customHeight="1">
      <c r="A13" s="86" t="s">
        <v>1117</v>
      </c>
      <c r="B13" s="1"/>
      <c r="C13" s="88"/>
      <c r="D13" s="88"/>
      <c r="E13" s="110"/>
      <c r="F13" s="110"/>
      <c r="G13" s="110"/>
      <c r="H13" s="110"/>
      <c r="I13" s="125"/>
      <c r="J13" s="125"/>
      <c r="K13" s="125"/>
    </row>
    <row r="14" spans="1:19" ht="24" customHeight="1">
      <c r="A14" s="86"/>
      <c r="B14" s="1" t="s">
        <v>1019</v>
      </c>
      <c r="C14" s="2">
        <f>'Fund Cover Sheets'!C174</f>
        <v>640399</v>
      </c>
      <c r="D14" s="2">
        <f>'Fund Cover Sheets'!D174</f>
        <v>924857</v>
      </c>
      <c r="E14" s="2">
        <f>'Fund Cover Sheets'!E174</f>
        <v>465255</v>
      </c>
      <c r="F14" s="2">
        <f>'Fund Cover Sheets'!F174</f>
        <v>1055588</v>
      </c>
      <c r="G14" s="2">
        <f>'Fund Cover Sheets'!G174</f>
        <v>605132</v>
      </c>
      <c r="H14" s="2">
        <f>'Fund Cover Sheets'!H174</f>
        <v>453020</v>
      </c>
      <c r="I14" s="2">
        <f>'Fund Cover Sheets'!I174</f>
        <v>255653</v>
      </c>
      <c r="J14" s="2">
        <f>'Fund Cover Sheets'!J174</f>
        <v>32884</v>
      </c>
      <c r="K14" s="2">
        <f>'Fund Cover Sheets'!K174</f>
        <v>0</v>
      </c>
    </row>
    <row r="15" spans="1:19" s="127" customFormat="1" ht="24" customHeight="1">
      <c r="A15" s="87"/>
      <c r="B15" s="84" t="s">
        <v>1118</v>
      </c>
      <c r="C15" s="126">
        <f>'Fund Cover Sheets'!C611</f>
        <v>231558</v>
      </c>
      <c r="D15" s="126">
        <f>'Fund Cover Sheets'!D611</f>
        <v>280065</v>
      </c>
      <c r="E15" s="126">
        <f>'Fund Cover Sheets'!E611</f>
        <v>185635</v>
      </c>
      <c r="F15" s="126">
        <f>'Fund Cover Sheets'!F611</f>
        <v>293043</v>
      </c>
      <c r="G15" s="126">
        <f>'Fund Cover Sheets'!G611</f>
        <v>322699</v>
      </c>
      <c r="H15" s="126">
        <f>'Fund Cover Sheets'!H611</f>
        <v>233653</v>
      </c>
      <c r="I15" s="126">
        <f>'Fund Cover Sheets'!I611</f>
        <v>225351</v>
      </c>
      <c r="J15" s="126">
        <f>'Fund Cover Sheets'!J611</f>
        <v>217278</v>
      </c>
      <c r="K15" s="126">
        <f>'Fund Cover Sheets'!K611</f>
        <v>205746</v>
      </c>
    </row>
    <row r="16" spans="1:19" s="127" customFormat="1" ht="24" customHeight="1">
      <c r="A16" s="87"/>
      <c r="B16" s="84" t="s">
        <v>860</v>
      </c>
      <c r="C16" s="2">
        <f>'Fund Cover Sheets'!C560</f>
        <v>-388625</v>
      </c>
      <c r="D16" s="2">
        <f>'Fund Cover Sheets'!D560</f>
        <v>-294778</v>
      </c>
      <c r="E16" s="2">
        <f>'Fund Cover Sheets'!E560</f>
        <v>-172534</v>
      </c>
      <c r="F16" s="2">
        <f>'Fund Cover Sheets'!F560</f>
        <v>85081</v>
      </c>
      <c r="G16" s="2">
        <f>'Fund Cover Sheets'!G560</f>
        <v>162581</v>
      </c>
      <c r="H16" s="2">
        <f>'Fund Cover Sheets'!H560</f>
        <v>-171269</v>
      </c>
      <c r="I16" s="2">
        <f>'Fund Cover Sheets'!I560</f>
        <v>-411269</v>
      </c>
      <c r="J16" s="2">
        <f>'Fund Cover Sheets'!J560</f>
        <v>-1269</v>
      </c>
      <c r="K16" s="2">
        <f>'Fund Cover Sheets'!K560</f>
        <v>-41269</v>
      </c>
    </row>
    <row r="17" spans="1:11" ht="24" customHeight="1">
      <c r="A17" s="87"/>
      <c r="B17" s="84" t="s">
        <v>984</v>
      </c>
      <c r="C17" s="126">
        <f>'Fund Cover Sheets'!C855</f>
        <v>569790</v>
      </c>
      <c r="D17" s="126">
        <f>'Fund Cover Sheets'!D855</f>
        <v>0</v>
      </c>
      <c r="E17" s="126">
        <f>'Fund Cover Sheets'!E855</f>
        <v>0</v>
      </c>
      <c r="F17" s="126">
        <f>'Fund Cover Sheets'!F855</f>
        <v>0</v>
      </c>
      <c r="G17" s="126">
        <f>'Fund Cover Sheets'!G855</f>
        <v>0</v>
      </c>
      <c r="H17" s="126">
        <f>'Fund Cover Sheets'!H855</f>
        <v>0</v>
      </c>
      <c r="I17" s="126">
        <f>'Fund Cover Sheets'!I855</f>
        <v>0</v>
      </c>
      <c r="J17" s="126">
        <f>'Fund Cover Sheets'!J855</f>
        <v>0</v>
      </c>
      <c r="K17" s="126">
        <f>'Fund Cover Sheets'!K855</f>
        <v>0</v>
      </c>
    </row>
    <row r="18" spans="1:11" ht="24" customHeight="1">
      <c r="A18" s="87"/>
      <c r="B18" s="84" t="s">
        <v>747</v>
      </c>
      <c r="C18" s="2">
        <f>'Fund Cover Sheets'!C899</f>
        <v>2178550</v>
      </c>
      <c r="D18" s="2">
        <f>'Fund Cover Sheets'!D899</f>
        <v>1877872</v>
      </c>
      <c r="E18" s="2">
        <f>'Fund Cover Sheets'!E899</f>
        <v>1578277</v>
      </c>
      <c r="F18" s="2">
        <f>'Fund Cover Sheets'!F899</f>
        <v>1573929</v>
      </c>
      <c r="G18" s="2">
        <f>'Fund Cover Sheets'!G899</f>
        <v>-529634</v>
      </c>
      <c r="H18" s="2">
        <f>'Fund Cover Sheets'!H899</f>
        <v>-837532</v>
      </c>
      <c r="I18" s="2">
        <f>'Fund Cover Sheets'!I899</f>
        <v>-1042630</v>
      </c>
      <c r="J18" s="2">
        <f>'Fund Cover Sheets'!J899</f>
        <v>-1249728</v>
      </c>
      <c r="K18" s="2">
        <f>'Fund Cover Sheets'!K899</f>
        <v>-1458426</v>
      </c>
    </row>
    <row r="19" spans="1:11" ht="24" customHeight="1">
      <c r="A19" s="87"/>
      <c r="B19" s="84" t="s">
        <v>755</v>
      </c>
      <c r="C19" s="2">
        <f>'Fund Cover Sheets'!C942</f>
        <v>209760</v>
      </c>
      <c r="D19" s="2">
        <f>'Fund Cover Sheets'!D942</f>
        <v>257953</v>
      </c>
      <c r="E19" s="2">
        <f>'Fund Cover Sheets'!E942</f>
        <v>264867</v>
      </c>
      <c r="F19" s="2">
        <f>'Fund Cover Sheets'!F942</f>
        <v>261449</v>
      </c>
      <c r="G19" s="2">
        <f>'Fund Cover Sheets'!G942</f>
        <v>251449</v>
      </c>
      <c r="H19" s="2">
        <f>'Fund Cover Sheets'!H942</f>
        <v>241444</v>
      </c>
      <c r="I19" s="2">
        <f>'Fund Cover Sheets'!I942</f>
        <v>231434</v>
      </c>
      <c r="J19" s="2">
        <f>'Fund Cover Sheets'!J942</f>
        <v>221419</v>
      </c>
      <c r="K19" s="2">
        <f>'Fund Cover Sheets'!K942</f>
        <v>211394</v>
      </c>
    </row>
    <row r="20" spans="1:11" ht="24" customHeight="1">
      <c r="A20" s="87"/>
      <c r="B20" s="84" t="s">
        <v>1119</v>
      </c>
      <c r="C20" s="2">
        <f>'Fund Cover Sheets'!C82</f>
        <v>17942</v>
      </c>
      <c r="D20" s="2">
        <f>'Fund Cover Sheets'!D82</f>
        <v>17071</v>
      </c>
      <c r="E20" s="2">
        <f>'Fund Cover Sheets'!E82</f>
        <v>16719</v>
      </c>
      <c r="F20" s="2">
        <f>'Fund Cover Sheets'!F82</f>
        <v>15391</v>
      </c>
      <c r="G20" s="2">
        <f>'Fund Cover Sheets'!G82</f>
        <v>11677</v>
      </c>
      <c r="H20" s="2">
        <f>'Fund Cover Sheets'!H82</f>
        <v>610</v>
      </c>
      <c r="I20" s="2">
        <f>'Fund Cover Sheets'!I82</f>
        <v>-10457</v>
      </c>
      <c r="J20" s="2">
        <f>'Fund Cover Sheets'!J82</f>
        <v>-6524</v>
      </c>
      <c r="K20" s="2">
        <f>'Fund Cover Sheets'!K82</f>
        <v>-2591</v>
      </c>
    </row>
    <row r="21" spans="1:11" ht="24" customHeight="1">
      <c r="A21" s="87"/>
      <c r="B21" s="84" t="s">
        <v>1120</v>
      </c>
      <c r="C21" s="109">
        <f>'Fund Cover Sheets'!C126</f>
        <v>11922</v>
      </c>
      <c r="D21" s="109">
        <f>'Fund Cover Sheets'!D126</f>
        <v>12188</v>
      </c>
      <c r="E21" s="109">
        <f>'Fund Cover Sheets'!E126</f>
        <v>10007</v>
      </c>
      <c r="F21" s="109">
        <f>'Fund Cover Sheets'!F126</f>
        <v>8014</v>
      </c>
      <c r="G21" s="109">
        <f>'Fund Cover Sheets'!G126</f>
        <v>560</v>
      </c>
      <c r="H21" s="109">
        <f>'Fund Cover Sheets'!H126</f>
        <v>-18009</v>
      </c>
      <c r="I21" s="109">
        <f>'Fund Cover Sheets'!I126</f>
        <v>-36578</v>
      </c>
      <c r="J21" s="109">
        <f>'Fund Cover Sheets'!J126</f>
        <v>-30147</v>
      </c>
      <c r="K21" s="109">
        <f>'Fund Cover Sheets'!K126</f>
        <v>-23716</v>
      </c>
    </row>
    <row r="22" spans="1:11">
      <c r="A22" s="87"/>
      <c r="B22" s="84"/>
      <c r="C22" s="88"/>
      <c r="D22" s="88"/>
      <c r="E22" s="88"/>
      <c r="F22" s="88"/>
      <c r="G22" s="88"/>
      <c r="H22" s="88"/>
      <c r="I22" s="88"/>
      <c r="J22" s="88"/>
      <c r="K22" s="88"/>
    </row>
    <row r="23" spans="1:11">
      <c r="A23" s="87"/>
      <c r="B23" s="84"/>
      <c r="C23" s="88"/>
      <c r="D23" s="88"/>
      <c r="E23" s="88"/>
      <c r="F23" s="88"/>
      <c r="G23" s="88"/>
      <c r="H23" s="88"/>
      <c r="I23" s="88"/>
      <c r="J23" s="88"/>
      <c r="K23" s="88"/>
    </row>
    <row r="24" spans="1:11">
      <c r="A24" s="87"/>
      <c r="B24" s="84"/>
      <c r="C24" s="109"/>
      <c r="D24" s="109"/>
      <c r="E24" s="109"/>
      <c r="F24" s="109"/>
      <c r="G24" s="109"/>
      <c r="H24" s="109"/>
      <c r="I24" s="109"/>
      <c r="J24" s="109"/>
      <c r="K24" s="109"/>
    </row>
    <row r="25" spans="1:11" ht="24" customHeight="1">
      <c r="A25" s="86" t="s">
        <v>1121</v>
      </c>
      <c r="B25" s="79"/>
      <c r="C25" s="109">
        <f>'Fund Cover Sheets'!C407</f>
        <v>8653</v>
      </c>
      <c r="D25" s="109">
        <f>'Fund Cover Sheets'!D407</f>
        <v>87510</v>
      </c>
      <c r="E25" s="109">
        <f>'Fund Cover Sheets'!E407</f>
        <v>8925</v>
      </c>
      <c r="F25" s="109">
        <f>'Fund Cover Sheets'!F407</f>
        <v>10686</v>
      </c>
      <c r="G25" s="109">
        <f>'Fund Cover Sheets'!G407</f>
        <v>11611</v>
      </c>
      <c r="H25" s="109">
        <f>'Fund Cover Sheets'!H407</f>
        <v>12536</v>
      </c>
      <c r="I25" s="109">
        <f>'Fund Cover Sheets'!I407</f>
        <v>0</v>
      </c>
      <c r="J25" s="109">
        <f>'Fund Cover Sheets'!J407</f>
        <v>0</v>
      </c>
      <c r="K25" s="109">
        <f>'Fund Cover Sheets'!K407</f>
        <v>0</v>
      </c>
    </row>
    <row r="26" spans="1:11">
      <c r="A26" s="86"/>
      <c r="B26" s="79"/>
      <c r="C26" s="109"/>
      <c r="D26" s="109"/>
      <c r="E26" s="109"/>
      <c r="F26" s="109"/>
      <c r="G26" s="109"/>
      <c r="H26" s="109"/>
      <c r="I26" s="109"/>
      <c r="J26" s="109"/>
      <c r="K26" s="109"/>
    </row>
    <row r="27" spans="1:11">
      <c r="A27" s="86"/>
      <c r="B27" s="79"/>
      <c r="C27" s="109"/>
      <c r="D27" s="109"/>
      <c r="E27" s="109"/>
      <c r="F27" s="109"/>
      <c r="G27" s="109"/>
      <c r="H27" s="109"/>
      <c r="I27" s="109"/>
      <c r="J27" s="109"/>
      <c r="K27" s="109"/>
    </row>
    <row r="28" spans="1:11">
      <c r="A28" s="87"/>
      <c r="B28" s="79"/>
      <c r="C28" s="109"/>
      <c r="D28" s="109"/>
      <c r="E28" s="109"/>
      <c r="F28" s="109"/>
      <c r="G28" s="109"/>
      <c r="H28" s="109"/>
      <c r="I28" s="109"/>
      <c r="J28" s="109"/>
      <c r="K28" s="109"/>
    </row>
    <row r="29" spans="1:11" ht="24" customHeight="1">
      <c r="A29" s="86" t="s">
        <v>1122</v>
      </c>
      <c r="B29" s="79"/>
      <c r="C29" s="109"/>
      <c r="D29" s="109"/>
      <c r="E29" s="109"/>
      <c r="F29" s="109"/>
      <c r="G29" s="109"/>
      <c r="H29" s="109"/>
      <c r="I29" s="109"/>
      <c r="J29" s="109"/>
      <c r="K29" s="109"/>
    </row>
    <row r="30" spans="1:11" ht="24" customHeight="1">
      <c r="A30" s="86"/>
      <c r="B30" s="84" t="s">
        <v>1123</v>
      </c>
      <c r="C30" s="109">
        <f>'Fund Cover Sheets'!C217</f>
        <v>-587024</v>
      </c>
      <c r="D30" s="109">
        <f>'Fund Cover Sheets'!D217</f>
        <v>-579374</v>
      </c>
      <c r="E30" s="109">
        <f>'Fund Cover Sheets'!E217</f>
        <v>-575774</v>
      </c>
      <c r="F30" s="109">
        <f>'Fund Cover Sheets'!F217</f>
        <v>-573374</v>
      </c>
      <c r="G30" s="109">
        <f>'Fund Cover Sheets'!G217</f>
        <v>0</v>
      </c>
      <c r="H30" s="109">
        <f>'Fund Cover Sheets'!H217</f>
        <v>0</v>
      </c>
      <c r="I30" s="109">
        <f>'Fund Cover Sheets'!I217</f>
        <v>0</v>
      </c>
      <c r="J30" s="109">
        <f>'Fund Cover Sheets'!J217</f>
        <v>0</v>
      </c>
      <c r="K30" s="109">
        <f>'Fund Cover Sheets'!K217</f>
        <v>0</v>
      </c>
    </row>
    <row r="31" spans="1:11" ht="24" customHeight="1">
      <c r="A31" s="87"/>
      <c r="B31" s="84" t="s">
        <v>1305</v>
      </c>
      <c r="C31" s="109">
        <f>'Fund Cover Sheets'!C362</f>
        <v>355133</v>
      </c>
      <c r="D31" s="109">
        <f>'Fund Cover Sheets'!D362</f>
        <v>354595</v>
      </c>
      <c r="E31" s="109">
        <f>'Fund Cover Sheets'!E362</f>
        <v>62123</v>
      </c>
      <c r="F31" s="109">
        <f>'Fund Cover Sheets'!F362</f>
        <v>129270</v>
      </c>
      <c r="G31" s="109">
        <f>'Fund Cover Sheets'!G362</f>
        <v>96558</v>
      </c>
      <c r="H31" s="109">
        <f>'Fund Cover Sheets'!H362</f>
        <v>58148</v>
      </c>
      <c r="I31" s="109">
        <f>'Fund Cover Sheets'!I362</f>
        <v>58373</v>
      </c>
      <c r="J31" s="109">
        <f>'Fund Cover Sheets'!J362</f>
        <v>58598</v>
      </c>
      <c r="K31" s="109">
        <f>'Fund Cover Sheets'!K362</f>
        <v>58823</v>
      </c>
    </row>
    <row r="32" spans="1:11" ht="24" customHeight="1">
      <c r="A32" s="87"/>
      <c r="B32" s="84" t="s">
        <v>1125</v>
      </c>
      <c r="C32" s="109">
        <f>'Fund Cover Sheets'!C276</f>
        <v>652</v>
      </c>
      <c r="D32" s="109">
        <f>'Fund Cover Sheets'!D276</f>
        <v>81196</v>
      </c>
      <c r="E32" s="109">
        <f>'Fund Cover Sheets'!E276</f>
        <v>332500</v>
      </c>
      <c r="F32" s="109">
        <f>'Fund Cover Sheets'!F276</f>
        <v>373437</v>
      </c>
      <c r="G32" s="109">
        <f>'Fund Cover Sheets'!G276</f>
        <v>691053</v>
      </c>
      <c r="H32" s="109">
        <f>'Fund Cover Sheets'!H276</f>
        <v>4883879</v>
      </c>
      <c r="I32" s="109">
        <f>'Fund Cover Sheets'!I276</f>
        <v>703540</v>
      </c>
      <c r="J32" s="109">
        <f>'Fund Cover Sheets'!J276</f>
        <v>0</v>
      </c>
      <c r="K32" s="109">
        <f>'Fund Cover Sheets'!K276</f>
        <v>0</v>
      </c>
    </row>
    <row r="33" spans="1:11">
      <c r="A33" s="87"/>
      <c r="B33" s="84"/>
      <c r="C33" s="109"/>
      <c r="D33" s="109"/>
      <c r="E33" s="109"/>
      <c r="F33" s="109"/>
      <c r="G33" s="109"/>
      <c r="H33" s="109"/>
      <c r="I33" s="109"/>
      <c r="J33" s="109"/>
      <c r="K33" s="109"/>
    </row>
    <row r="34" spans="1:11">
      <c r="A34" s="87"/>
      <c r="B34" s="84"/>
      <c r="C34" s="109"/>
      <c r="D34" s="109"/>
      <c r="E34" s="109"/>
      <c r="F34" s="109"/>
      <c r="G34" s="109"/>
      <c r="H34" s="109"/>
      <c r="I34" s="109"/>
      <c r="J34" s="109"/>
      <c r="K34" s="109"/>
    </row>
    <row r="35" spans="1:11">
      <c r="A35" s="1"/>
      <c r="B35" s="84"/>
      <c r="C35" s="109"/>
      <c r="D35" s="109"/>
      <c r="E35" s="109"/>
      <c r="F35" s="109"/>
      <c r="G35" s="109"/>
      <c r="H35" s="109"/>
      <c r="I35" s="109"/>
      <c r="J35" s="109"/>
      <c r="K35" s="109"/>
    </row>
    <row r="36" spans="1:11" ht="24" customHeight="1">
      <c r="A36" s="86" t="s">
        <v>1174</v>
      </c>
      <c r="B36" s="84"/>
      <c r="C36" s="109"/>
      <c r="D36" s="109"/>
      <c r="E36" s="109"/>
      <c r="F36" s="109"/>
      <c r="G36" s="109"/>
      <c r="H36" s="109"/>
      <c r="I36" s="109"/>
      <c r="J36" s="109"/>
      <c r="K36" s="109"/>
    </row>
    <row r="37" spans="1:11" ht="24" customHeight="1">
      <c r="A37" s="1"/>
      <c r="B37" s="84" t="s">
        <v>858</v>
      </c>
      <c r="C37" s="109">
        <f>'Fund Cover Sheets'!C461</f>
        <v>825261</v>
      </c>
      <c r="D37" s="109">
        <f>'Fund Cover Sheets'!D461</f>
        <v>1300837</v>
      </c>
      <c r="E37" s="109">
        <f>'Fund Cover Sheets'!E461</f>
        <v>642452</v>
      </c>
      <c r="F37" s="109">
        <f>'Fund Cover Sheets'!F461</f>
        <v>1379272</v>
      </c>
      <c r="G37" s="109">
        <f>'Fund Cover Sheets'!G461</f>
        <v>1160768</v>
      </c>
      <c r="H37" s="109">
        <f>'Fund Cover Sheets'!H461</f>
        <v>296322</v>
      </c>
      <c r="I37" s="109">
        <f>'Fund Cover Sheets'!I461</f>
        <v>-713531</v>
      </c>
      <c r="J37" s="109">
        <f>'Fund Cover Sheets'!J461</f>
        <v>-1417857</v>
      </c>
      <c r="K37" s="109">
        <f>'Fund Cover Sheets'!K461</f>
        <v>-1549395</v>
      </c>
    </row>
    <row r="38" spans="1:11" ht="24" customHeight="1">
      <c r="A38" s="1"/>
      <c r="B38" s="84" t="s">
        <v>859</v>
      </c>
      <c r="C38" s="109">
        <f>'Fund Cover Sheets'!C515</f>
        <v>2377831</v>
      </c>
      <c r="D38" s="109">
        <f>'Fund Cover Sheets'!D515</f>
        <v>3003537</v>
      </c>
      <c r="E38" s="109">
        <f>'Fund Cover Sheets'!E515</f>
        <v>2625761</v>
      </c>
      <c r="F38" s="109">
        <f>'Fund Cover Sheets'!F515</f>
        <v>2895977</v>
      </c>
      <c r="G38" s="109">
        <f>'Fund Cover Sheets'!G515</f>
        <v>2681077</v>
      </c>
      <c r="H38" s="109">
        <f>'Fund Cover Sheets'!H515</f>
        <v>1874420</v>
      </c>
      <c r="I38" s="109">
        <f>'Fund Cover Sheets'!I515</f>
        <v>1429922</v>
      </c>
      <c r="J38" s="109">
        <f>'Fund Cover Sheets'!J515</f>
        <v>814255</v>
      </c>
      <c r="K38" s="109">
        <f>'Fund Cover Sheets'!K515</f>
        <v>524280</v>
      </c>
    </row>
    <row r="39" spans="1:11" ht="24" customHeight="1">
      <c r="A39" s="1"/>
      <c r="B39" s="84" t="s">
        <v>777</v>
      </c>
      <c r="C39" s="109">
        <f>'Fund Cover Sheets'!C659</f>
        <v>-195087</v>
      </c>
      <c r="D39" s="109">
        <f>'Fund Cover Sheets'!D659</f>
        <v>-220001</v>
      </c>
      <c r="E39" s="109">
        <f>'Fund Cover Sheets'!E659</f>
        <v>-367521</v>
      </c>
      <c r="F39" s="109">
        <f>'Fund Cover Sheets'!F659</f>
        <v>-467468</v>
      </c>
      <c r="G39" s="109">
        <f>'Fund Cover Sheets'!G659</f>
        <v>0</v>
      </c>
      <c r="H39" s="109">
        <f>'Fund Cover Sheets'!H659</f>
        <v>0</v>
      </c>
      <c r="I39" s="109">
        <f>'Fund Cover Sheets'!I659</f>
        <v>0</v>
      </c>
      <c r="J39" s="109">
        <f>'Fund Cover Sheets'!J659</f>
        <v>0</v>
      </c>
      <c r="K39" s="109">
        <f>'Fund Cover Sheets'!K659</f>
        <v>0</v>
      </c>
    </row>
    <row r="40" spans="1:11">
      <c r="A40" s="1"/>
      <c r="B40" s="84"/>
      <c r="C40" s="109"/>
      <c r="D40" s="109"/>
      <c r="E40" s="109"/>
      <c r="F40" s="109"/>
      <c r="G40" s="109"/>
      <c r="H40" s="109"/>
      <c r="I40" s="109"/>
      <c r="J40" s="109"/>
      <c r="K40" s="109"/>
    </row>
    <row r="41" spans="1:11">
      <c r="A41" s="1"/>
      <c r="B41" s="84"/>
      <c r="C41" s="109"/>
      <c r="D41" s="109"/>
      <c r="E41" s="109"/>
      <c r="F41" s="109"/>
      <c r="G41" s="109"/>
      <c r="H41" s="109"/>
      <c r="I41" s="109"/>
      <c r="J41" s="109"/>
      <c r="K41" s="109"/>
    </row>
    <row r="42" spans="1:11">
      <c r="A42" s="1"/>
      <c r="B42" s="84"/>
      <c r="C42" s="109"/>
      <c r="D42" s="109"/>
      <c r="E42" s="109"/>
      <c r="F42" s="109"/>
      <c r="G42" s="109"/>
      <c r="H42" s="109"/>
      <c r="I42" s="109"/>
      <c r="J42" s="109"/>
      <c r="K42" s="109"/>
    </row>
    <row r="43" spans="1:11" ht="24" customHeight="1">
      <c r="A43" s="86" t="s">
        <v>1127</v>
      </c>
      <c r="B43" s="84"/>
      <c r="C43" s="109"/>
      <c r="D43" s="109"/>
      <c r="E43" s="109"/>
      <c r="F43" s="109"/>
      <c r="G43" s="109"/>
      <c r="H43" s="109"/>
      <c r="I43" s="109"/>
      <c r="J43" s="109"/>
      <c r="K43" s="109"/>
    </row>
    <row r="44" spans="1:11" ht="24" customHeight="1">
      <c r="A44" s="86"/>
      <c r="B44" s="84" t="s">
        <v>841</v>
      </c>
      <c r="C44" s="109">
        <f>'Fund Cover Sheets'!C715</f>
        <v>317336</v>
      </c>
      <c r="D44" s="109">
        <f>'Fund Cover Sheets'!D715</f>
        <v>388831</v>
      </c>
      <c r="E44" s="109">
        <f>'Fund Cover Sheets'!E715</f>
        <v>370330</v>
      </c>
      <c r="F44" s="109">
        <f>'Fund Cover Sheets'!F715</f>
        <v>400154</v>
      </c>
      <c r="G44" s="109">
        <f>'Fund Cover Sheets'!G715</f>
        <v>407430</v>
      </c>
      <c r="H44" s="109">
        <f>'Fund Cover Sheets'!H715</f>
        <v>412096</v>
      </c>
      <c r="I44" s="109">
        <f>'Fund Cover Sheets'!I715</f>
        <v>405220</v>
      </c>
      <c r="J44" s="109">
        <f>'Fund Cover Sheets'!J715</f>
        <v>390333</v>
      </c>
      <c r="K44" s="109">
        <f>'Fund Cover Sheets'!K715</f>
        <v>391963</v>
      </c>
    </row>
    <row r="45" spans="1:11" ht="24" customHeight="1">
      <c r="A45" s="86"/>
      <c r="B45" s="84" t="s">
        <v>734</v>
      </c>
      <c r="C45" s="109">
        <f>'Fund Cover Sheets'!C761</f>
        <v>0</v>
      </c>
      <c r="D45" s="109">
        <f>'Fund Cover Sheets'!D761</f>
        <v>-1821</v>
      </c>
      <c r="E45" s="109">
        <f>'Fund Cover Sheets'!E761</f>
        <v>0</v>
      </c>
      <c r="F45" s="109">
        <f>'Fund Cover Sheets'!F761</f>
        <v>0</v>
      </c>
      <c r="G45" s="109">
        <f>'Fund Cover Sheets'!G761</f>
        <v>2325</v>
      </c>
      <c r="H45" s="109">
        <f>'Fund Cover Sheets'!H761</f>
        <v>2525</v>
      </c>
      <c r="I45" s="109">
        <f>'Fund Cover Sheets'!I761</f>
        <v>2725</v>
      </c>
      <c r="J45" s="109">
        <f>'Fund Cover Sheets'!J761</f>
        <v>2925</v>
      </c>
      <c r="K45" s="109">
        <f>'Fund Cover Sheets'!K761</f>
        <v>3125</v>
      </c>
    </row>
    <row r="46" spans="1:11" ht="24" customHeight="1">
      <c r="A46" s="86"/>
      <c r="B46" s="84" t="s">
        <v>1128</v>
      </c>
      <c r="C46" s="109">
        <f>'Fund Cover Sheets'!C809</f>
        <v>0</v>
      </c>
      <c r="D46" s="109">
        <f>'Fund Cover Sheets'!D809</f>
        <v>6794</v>
      </c>
      <c r="E46" s="109">
        <f>'Fund Cover Sheets'!E809</f>
        <v>0</v>
      </c>
      <c r="F46" s="109">
        <f>'Fund Cover Sheets'!F809</f>
        <v>18830</v>
      </c>
      <c r="G46" s="109">
        <f>'Fund Cover Sheets'!G809</f>
        <v>0</v>
      </c>
      <c r="H46" s="109">
        <f>'Fund Cover Sheets'!H809</f>
        <v>0</v>
      </c>
      <c r="I46" s="109">
        <f>'Fund Cover Sheets'!I809</f>
        <v>0</v>
      </c>
      <c r="J46" s="109">
        <f>'Fund Cover Sheets'!J809</f>
        <v>0</v>
      </c>
      <c r="K46" s="109">
        <f>'Fund Cover Sheets'!K809</f>
        <v>0</v>
      </c>
    </row>
    <row r="47" spans="1:11">
      <c r="A47" s="86"/>
      <c r="B47" s="84"/>
      <c r="C47" s="109"/>
      <c r="D47" s="109"/>
      <c r="E47" s="109"/>
      <c r="F47" s="109"/>
      <c r="G47" s="109"/>
      <c r="H47" s="109"/>
      <c r="I47" s="109"/>
      <c r="J47" s="109"/>
      <c r="K47" s="109"/>
    </row>
    <row r="48" spans="1:11">
      <c r="B48" s="89"/>
      <c r="C48" s="128"/>
      <c r="D48" s="129"/>
      <c r="E48" s="129"/>
      <c r="F48" s="129"/>
      <c r="G48" s="126"/>
      <c r="H48" s="126"/>
      <c r="I48" s="125"/>
      <c r="J48" s="125"/>
      <c r="K48" s="125"/>
    </row>
    <row r="49" spans="1:12" ht="24" customHeight="1" thickBot="1">
      <c r="B49" s="116" t="s">
        <v>1172</v>
      </c>
      <c r="C49" s="118">
        <f t="shared" ref="C49:J49" si="0">SUM(C9:C48)</f>
        <v>6302151</v>
      </c>
      <c r="D49" s="118">
        <f t="shared" si="0"/>
        <v>8767955</v>
      </c>
      <c r="E49" s="118">
        <f>SUM(E9:E48)</f>
        <v>7043116</v>
      </c>
      <c r="F49" s="118">
        <f t="shared" si="0"/>
        <v>10883003</v>
      </c>
      <c r="G49" s="118">
        <f t="shared" si="0"/>
        <v>8416939</v>
      </c>
      <c r="H49" s="118">
        <f t="shared" si="0"/>
        <v>10485009</v>
      </c>
      <c r="I49" s="118">
        <f t="shared" si="0"/>
        <v>4433979</v>
      </c>
      <c r="J49" s="118">
        <f t="shared" si="0"/>
        <v>1383799</v>
      </c>
      <c r="K49" s="118">
        <f>SUM(K9:K48)</f>
        <v>409871</v>
      </c>
    </row>
    <row r="50" spans="1:12" ht="15.75" thickTop="1">
      <c r="B50" s="1"/>
      <c r="C50" s="57"/>
      <c r="D50" s="125"/>
      <c r="E50" s="125"/>
      <c r="F50" s="125"/>
      <c r="G50" s="125"/>
      <c r="H50" s="125"/>
      <c r="I50" s="125"/>
      <c r="J50" s="125"/>
      <c r="K50" s="125"/>
    </row>
    <row r="51" spans="1:12">
      <c r="A51" s="130" t="s">
        <v>1175</v>
      </c>
      <c r="B51" s="131" t="s">
        <v>1328</v>
      </c>
      <c r="C51" s="57"/>
      <c r="D51" s="125"/>
      <c r="E51" s="125"/>
      <c r="F51" s="125"/>
      <c r="G51" s="125"/>
      <c r="H51" s="125"/>
      <c r="I51" s="125"/>
      <c r="J51" s="125"/>
      <c r="K51" s="125"/>
    </row>
    <row r="52" spans="1:12">
      <c r="B52" s="1"/>
      <c r="C52" s="57"/>
      <c r="D52" s="125"/>
      <c r="E52" s="125"/>
      <c r="F52" s="125"/>
      <c r="G52" s="125"/>
      <c r="H52" s="125"/>
      <c r="I52" s="125"/>
      <c r="J52" s="125"/>
      <c r="K52" s="125"/>
    </row>
    <row r="53" spans="1:12">
      <c r="B53" s="1"/>
      <c r="C53" s="57"/>
      <c r="D53" s="125"/>
      <c r="E53" s="125"/>
      <c r="F53" s="125"/>
      <c r="G53" s="125"/>
      <c r="H53" s="125"/>
      <c r="I53" s="125"/>
      <c r="J53" s="125"/>
      <c r="K53" s="125"/>
    </row>
    <row r="54" spans="1:12" s="516" customFormat="1" hidden="1">
      <c r="A54" s="149"/>
      <c r="B54" s="220"/>
      <c r="C54" s="515">
        <f>'Budget Detail FY 2013-18'!N1182+'Budget Detail FY 2013-18'!N1199+'Budget Detail FY 2013-18'!N1215</f>
        <v>6302151</v>
      </c>
      <c r="D54" s="515">
        <f>'Budget Detail FY 2013-18'!O1182+'Budget Detail FY 2013-18'!O1199+'Budget Detail FY 2013-18'!O1215</f>
        <v>8767955</v>
      </c>
      <c r="E54" s="515">
        <f>'Budget Detail FY 2013-18'!P1182+'Budget Detail FY 2013-18'!P1199+'Budget Detail FY 2013-18'!P1215</f>
        <v>7043116</v>
      </c>
      <c r="F54" s="515">
        <f>'Budget Detail FY 2013-18'!Q1182+'Budget Detail FY 2013-18'!Q1199+'Budget Detail FY 2013-18'!Q1215</f>
        <v>10883003</v>
      </c>
      <c r="G54" s="515">
        <f>'Budget Detail FY 2013-18'!R1182+'Budget Detail FY 2013-18'!R1199+'Budget Detail FY 2013-18'!R1215</f>
        <v>8416939</v>
      </c>
      <c r="H54" s="515">
        <f>'Budget Detail FY 2013-18'!S1182+'Budget Detail FY 2013-18'!S1199+'Budget Detail FY 2013-18'!S1215</f>
        <v>10485009</v>
      </c>
      <c r="I54" s="515">
        <f>'Budget Detail FY 2013-18'!T1182+'Budget Detail FY 2013-18'!T1199+'Budget Detail FY 2013-18'!T1215</f>
        <v>4433979</v>
      </c>
      <c r="J54" s="515">
        <f>'Budget Detail FY 2013-18'!U1182+'Budget Detail FY 2013-18'!U1199+'Budget Detail FY 2013-18'!U1215</f>
        <v>1383799</v>
      </c>
      <c r="K54" s="515">
        <f>'Budget Detail FY 2013-18'!V1182+'Budget Detail FY 2013-18'!V1199+'Budget Detail FY 2013-18'!V1215</f>
        <v>409871</v>
      </c>
      <c r="L54" s="507" t="s">
        <v>1444</v>
      </c>
    </row>
    <row r="55" spans="1:12" s="514" customFormat="1" hidden="1">
      <c r="A55" s="155"/>
      <c r="B55" s="221"/>
      <c r="C55" s="183">
        <f>C49-C54</f>
        <v>0</v>
      </c>
      <c r="D55" s="183">
        <f t="shared" ref="D55:K55" si="1">D49-D54</f>
        <v>0</v>
      </c>
      <c r="E55" s="183">
        <f t="shared" si="1"/>
        <v>0</v>
      </c>
      <c r="F55" s="183">
        <f t="shared" si="1"/>
        <v>0</v>
      </c>
      <c r="G55" s="183">
        <f t="shared" si="1"/>
        <v>0</v>
      </c>
      <c r="H55" s="183">
        <f t="shared" si="1"/>
        <v>0</v>
      </c>
      <c r="I55" s="183">
        <f t="shared" si="1"/>
        <v>0</v>
      </c>
      <c r="J55" s="183">
        <f t="shared" si="1"/>
        <v>0</v>
      </c>
      <c r="K55" s="183">
        <f t="shared" si="1"/>
        <v>0</v>
      </c>
      <c r="L55" s="499" t="s">
        <v>1445</v>
      </c>
    </row>
    <row r="56" spans="1:12">
      <c r="B56" s="1"/>
      <c r="C56" s="57"/>
      <c r="D56" s="125"/>
      <c r="E56" s="125"/>
      <c r="F56" s="125"/>
      <c r="G56" s="125"/>
      <c r="H56" s="125"/>
      <c r="I56" s="125"/>
      <c r="J56" s="125"/>
      <c r="K56" s="125"/>
    </row>
    <row r="57" spans="1:12">
      <c r="B57" s="1"/>
      <c r="C57" s="57"/>
      <c r="D57" s="125"/>
      <c r="E57" s="125"/>
      <c r="F57" s="125"/>
      <c r="G57" s="125"/>
      <c r="H57" s="125"/>
      <c r="I57" s="125"/>
      <c r="J57" s="125"/>
      <c r="K57" s="125"/>
    </row>
    <row r="58" spans="1:12">
      <c r="C58" s="57"/>
      <c r="D58" s="125"/>
      <c r="E58" s="125"/>
      <c r="F58" s="125"/>
      <c r="G58" s="125"/>
      <c r="H58" s="125"/>
      <c r="I58" s="125"/>
      <c r="J58" s="125"/>
      <c r="K58" s="125"/>
    </row>
    <row r="59" spans="1:12">
      <c r="C59" s="57"/>
      <c r="D59" s="125"/>
      <c r="E59" s="125"/>
      <c r="F59" s="125"/>
      <c r="G59" s="125"/>
      <c r="H59" s="125"/>
      <c r="I59" s="125"/>
      <c r="J59" s="125"/>
      <c r="K59" s="125"/>
    </row>
    <row r="60" spans="1:12">
      <c r="C60" s="57"/>
      <c r="D60" s="125"/>
      <c r="E60" s="125"/>
      <c r="F60" s="125"/>
      <c r="G60" s="125"/>
      <c r="H60" s="125"/>
      <c r="I60" s="125"/>
      <c r="J60" s="125"/>
      <c r="K60" s="125"/>
    </row>
    <row r="61" spans="1:12">
      <c r="C61" s="57"/>
      <c r="D61" s="125"/>
      <c r="E61" s="125"/>
      <c r="F61" s="125"/>
      <c r="G61" s="125"/>
      <c r="H61" s="125"/>
      <c r="I61" s="125"/>
      <c r="J61" s="125"/>
      <c r="K61" s="125"/>
    </row>
    <row r="62" spans="1:12">
      <c r="C62" s="57"/>
      <c r="D62" s="125"/>
      <c r="E62" s="125"/>
      <c r="F62" s="125"/>
      <c r="G62" s="125"/>
      <c r="H62" s="125"/>
      <c r="I62" s="125"/>
      <c r="J62" s="125"/>
      <c r="K62" s="125"/>
    </row>
    <row r="63" spans="1:12">
      <c r="C63" s="57"/>
      <c r="D63" s="125"/>
      <c r="E63" s="125"/>
      <c r="F63" s="125"/>
      <c r="G63" s="125"/>
      <c r="H63" s="125"/>
      <c r="I63" s="125"/>
      <c r="J63" s="125"/>
      <c r="K63" s="125"/>
    </row>
    <row r="64" spans="1:12">
      <c r="C64" s="57"/>
      <c r="D64" s="125"/>
      <c r="E64" s="125"/>
      <c r="F64" s="125"/>
      <c r="G64" s="125"/>
      <c r="H64" s="125"/>
      <c r="I64" s="125"/>
      <c r="J64" s="125"/>
      <c r="K64" s="125"/>
    </row>
    <row r="65" spans="3:11">
      <c r="C65" s="57"/>
      <c r="D65" s="125"/>
      <c r="E65" s="125"/>
      <c r="F65" s="125"/>
      <c r="G65" s="125"/>
      <c r="H65" s="125"/>
      <c r="I65" s="125"/>
      <c r="J65" s="125"/>
      <c r="K65" s="125"/>
    </row>
    <row r="66" spans="3:11">
      <c r="C66" s="57"/>
      <c r="D66" s="125"/>
      <c r="E66" s="125"/>
      <c r="F66" s="125"/>
      <c r="G66" s="125"/>
      <c r="H66" s="125"/>
      <c r="I66" s="125"/>
      <c r="J66" s="125"/>
      <c r="K66" s="125"/>
    </row>
    <row r="67" spans="3:11">
      <c r="C67" s="57"/>
      <c r="D67" s="125"/>
      <c r="E67" s="125"/>
      <c r="F67" s="125"/>
      <c r="G67" s="125"/>
      <c r="H67" s="125"/>
      <c r="I67" s="125"/>
      <c r="J67" s="125"/>
      <c r="K67" s="125"/>
    </row>
    <row r="68" spans="3:11">
      <c r="C68" s="57"/>
      <c r="D68" s="125"/>
      <c r="E68" s="125"/>
      <c r="F68" s="125"/>
      <c r="G68" s="125"/>
      <c r="H68" s="125"/>
      <c r="I68" s="125"/>
      <c r="J68" s="125"/>
      <c r="K68" s="125"/>
    </row>
    <row r="69" spans="3:11">
      <c r="C69" s="57"/>
      <c r="D69" s="125"/>
      <c r="E69" s="125"/>
      <c r="F69" s="125"/>
      <c r="G69" s="125"/>
      <c r="H69" s="125"/>
      <c r="I69" s="125"/>
      <c r="J69" s="125"/>
      <c r="K69" s="125"/>
    </row>
    <row r="70" spans="3:11">
      <c r="C70" s="57"/>
      <c r="D70" s="125"/>
      <c r="E70" s="125"/>
      <c r="F70" s="125"/>
      <c r="G70" s="125"/>
      <c r="H70" s="125"/>
      <c r="I70" s="125"/>
      <c r="J70" s="125"/>
      <c r="K70" s="125"/>
    </row>
    <row r="71" spans="3:11">
      <c r="C71" s="57"/>
      <c r="D71" s="125"/>
      <c r="E71" s="125"/>
      <c r="F71" s="125"/>
      <c r="G71" s="125"/>
      <c r="H71" s="125"/>
      <c r="I71" s="125"/>
      <c r="J71" s="125"/>
      <c r="K71" s="125"/>
    </row>
    <row r="72" spans="3:11">
      <c r="C72" s="57"/>
      <c r="D72" s="125"/>
      <c r="E72" s="125"/>
      <c r="F72" s="125"/>
      <c r="G72" s="125"/>
      <c r="H72" s="125"/>
      <c r="I72" s="125"/>
      <c r="J72" s="125"/>
      <c r="K72" s="125"/>
    </row>
    <row r="73" spans="3:11">
      <c r="C73" s="57"/>
      <c r="D73" s="125"/>
      <c r="E73" s="125"/>
      <c r="F73" s="125"/>
      <c r="G73" s="125"/>
      <c r="H73" s="125"/>
      <c r="I73" s="125"/>
      <c r="J73" s="125"/>
      <c r="K73" s="125"/>
    </row>
    <row r="74" spans="3:11">
      <c r="C74" s="57"/>
      <c r="D74" s="125"/>
      <c r="E74" s="125"/>
      <c r="F74" s="125"/>
      <c r="G74" s="125"/>
      <c r="H74" s="125"/>
      <c r="I74" s="125"/>
      <c r="J74" s="125"/>
      <c r="K74" s="125"/>
    </row>
    <row r="75" spans="3:11">
      <c r="C75" s="57"/>
      <c r="D75" s="125"/>
      <c r="E75" s="125"/>
      <c r="F75" s="125"/>
      <c r="G75" s="125"/>
      <c r="H75" s="125"/>
      <c r="I75" s="125"/>
      <c r="J75" s="125"/>
      <c r="K75" s="125"/>
    </row>
    <row r="76" spans="3:11">
      <c r="C76" s="57"/>
      <c r="D76" s="125"/>
      <c r="E76" s="125"/>
      <c r="F76" s="125"/>
      <c r="G76" s="125"/>
      <c r="H76" s="125"/>
      <c r="I76" s="125"/>
      <c r="J76" s="125"/>
      <c r="K76" s="125"/>
    </row>
    <row r="77" spans="3:11">
      <c r="C77" s="57"/>
      <c r="D77" s="125"/>
      <c r="E77" s="125"/>
      <c r="F77" s="125"/>
      <c r="G77" s="125"/>
      <c r="H77" s="125"/>
      <c r="I77" s="125"/>
      <c r="J77" s="125"/>
      <c r="K77" s="125"/>
    </row>
    <row r="78" spans="3:11">
      <c r="E78" s="50"/>
      <c r="F78" s="50"/>
      <c r="G78" s="50"/>
      <c r="H78" s="50"/>
      <c r="I78" s="50"/>
      <c r="J78" s="50"/>
      <c r="K78" s="50"/>
    </row>
    <row r="79" spans="3:11">
      <c r="E79" s="50"/>
      <c r="F79" s="50"/>
      <c r="G79" s="50"/>
      <c r="H79" s="50"/>
      <c r="I79" s="50"/>
      <c r="J79" s="50"/>
      <c r="K79" s="50"/>
    </row>
    <row r="80" spans="3:11">
      <c r="E80" s="50"/>
      <c r="F80" s="50"/>
      <c r="G80" s="50"/>
      <c r="H80" s="50"/>
      <c r="I80" s="50"/>
      <c r="J80" s="50"/>
      <c r="K80" s="50"/>
    </row>
    <row r="81" spans="5:11">
      <c r="E81" s="50"/>
      <c r="F81" s="50"/>
      <c r="G81" s="50"/>
      <c r="H81" s="50"/>
      <c r="I81" s="50"/>
      <c r="J81" s="50"/>
      <c r="K81" s="50"/>
    </row>
    <row r="82" spans="5:11">
      <c r="E82" s="50"/>
      <c r="F82" s="50"/>
      <c r="G82" s="50"/>
      <c r="H82" s="50"/>
      <c r="I82" s="50"/>
      <c r="J82" s="50"/>
      <c r="K82" s="50"/>
    </row>
    <row r="83" spans="5:11">
      <c r="E83" s="50"/>
      <c r="F83" s="50"/>
      <c r="G83" s="50"/>
      <c r="H83" s="50"/>
      <c r="I83" s="50"/>
      <c r="J83" s="50"/>
      <c r="K83" s="50"/>
    </row>
    <row r="84" spans="5:11">
      <c r="E84" s="50"/>
      <c r="F84" s="50"/>
      <c r="G84" s="50"/>
      <c r="H84" s="50"/>
      <c r="I84" s="50"/>
      <c r="J84" s="50"/>
      <c r="K84" s="50"/>
    </row>
    <row r="85" spans="5:11">
      <c r="E85" s="50"/>
      <c r="F85" s="50"/>
      <c r="G85" s="50"/>
      <c r="H85" s="50"/>
      <c r="I85" s="50"/>
      <c r="J85" s="50"/>
      <c r="K85" s="50"/>
    </row>
    <row r="86" spans="5:11">
      <c r="E86" s="50"/>
      <c r="F86" s="50"/>
      <c r="G86" s="50"/>
      <c r="H86" s="50"/>
      <c r="I86" s="50"/>
      <c r="J86" s="50"/>
      <c r="K86" s="50"/>
    </row>
    <row r="87" spans="5:11">
      <c r="E87" s="50"/>
      <c r="F87" s="50"/>
      <c r="G87" s="50"/>
      <c r="H87" s="50"/>
      <c r="I87" s="50"/>
      <c r="J87" s="50"/>
      <c r="K87" s="50"/>
    </row>
    <row r="88" spans="5:11">
      <c r="E88" s="50"/>
      <c r="F88" s="50"/>
      <c r="G88" s="50"/>
      <c r="H88" s="50"/>
      <c r="I88" s="50"/>
      <c r="J88" s="50"/>
      <c r="K88" s="50"/>
    </row>
    <row r="89" spans="5:11">
      <c r="E89" s="50"/>
      <c r="F89" s="50"/>
      <c r="G89" s="50"/>
      <c r="H89" s="50"/>
      <c r="I89" s="50"/>
      <c r="J89" s="50"/>
      <c r="K89" s="50"/>
    </row>
    <row r="90" spans="5:11">
      <c r="E90" s="50"/>
      <c r="F90" s="50"/>
      <c r="G90" s="50"/>
      <c r="H90" s="50"/>
      <c r="I90" s="50"/>
      <c r="J90" s="50"/>
      <c r="K90" s="50"/>
    </row>
    <row r="91" spans="5:11">
      <c r="E91" s="50"/>
      <c r="F91" s="50"/>
      <c r="G91" s="50"/>
      <c r="H91" s="50"/>
      <c r="I91" s="50"/>
      <c r="J91" s="50"/>
      <c r="K91" s="50"/>
    </row>
    <row r="92" spans="5:11">
      <c r="E92" s="50"/>
      <c r="F92" s="50"/>
      <c r="G92" s="50"/>
      <c r="H92" s="50"/>
      <c r="I92" s="50"/>
      <c r="J92" s="50"/>
      <c r="K92" s="50"/>
    </row>
    <row r="93" spans="5:11">
      <c r="E93" s="50"/>
      <c r="F93" s="50"/>
      <c r="G93" s="50"/>
      <c r="H93" s="50"/>
      <c r="I93" s="50"/>
      <c r="J93" s="50"/>
      <c r="K93" s="50"/>
    </row>
    <row r="94" spans="5:11">
      <c r="E94" s="50"/>
      <c r="F94" s="50"/>
      <c r="G94" s="50"/>
      <c r="H94" s="50"/>
      <c r="I94" s="50"/>
      <c r="J94" s="50"/>
      <c r="K94" s="50"/>
    </row>
    <row r="95" spans="5:11">
      <c r="E95" s="50"/>
      <c r="F95" s="50"/>
      <c r="G95" s="50"/>
      <c r="H95" s="50"/>
      <c r="I95" s="50"/>
      <c r="J95" s="50"/>
      <c r="K95" s="50"/>
    </row>
    <row r="96" spans="5:11">
      <c r="E96" s="50"/>
      <c r="F96" s="50"/>
      <c r="G96" s="50"/>
      <c r="H96" s="50"/>
      <c r="I96" s="50"/>
      <c r="J96" s="50"/>
      <c r="K96" s="50"/>
    </row>
    <row r="97" spans="5:11">
      <c r="E97" s="50"/>
      <c r="F97" s="50"/>
      <c r="G97" s="50"/>
      <c r="H97" s="50"/>
      <c r="I97" s="50"/>
      <c r="J97" s="50"/>
      <c r="K97" s="50"/>
    </row>
    <row r="98" spans="5:11">
      <c r="E98" s="50"/>
      <c r="F98" s="50"/>
      <c r="G98" s="50"/>
      <c r="H98" s="50"/>
      <c r="I98" s="50"/>
      <c r="J98" s="50"/>
      <c r="K98" s="50"/>
    </row>
    <row r="99" spans="5:11">
      <c r="E99" s="50"/>
      <c r="F99" s="50"/>
      <c r="G99" s="50"/>
      <c r="H99" s="50"/>
      <c r="I99" s="50"/>
      <c r="J99" s="50"/>
      <c r="K99" s="50"/>
    </row>
    <row r="100" spans="5:11">
      <c r="E100" s="50"/>
      <c r="F100" s="50"/>
      <c r="G100" s="50"/>
      <c r="H100" s="50"/>
      <c r="I100" s="50"/>
      <c r="J100" s="50"/>
      <c r="K100" s="50"/>
    </row>
    <row r="101" spans="5:11">
      <c r="E101" s="50"/>
      <c r="F101" s="50"/>
      <c r="G101" s="50"/>
      <c r="H101" s="50"/>
      <c r="I101" s="50"/>
      <c r="J101" s="50"/>
      <c r="K101" s="50"/>
    </row>
    <row r="102" spans="5:11">
      <c r="E102" s="50"/>
      <c r="F102" s="50"/>
      <c r="G102" s="50"/>
      <c r="H102" s="50"/>
      <c r="I102" s="50"/>
      <c r="J102" s="50"/>
      <c r="K102" s="50"/>
    </row>
    <row r="103" spans="5:11">
      <c r="E103" s="50"/>
      <c r="F103" s="50"/>
      <c r="G103" s="50"/>
      <c r="H103" s="50"/>
      <c r="I103" s="50"/>
      <c r="J103" s="50"/>
      <c r="K103" s="50"/>
    </row>
    <row r="104" spans="5:11">
      <c r="E104" s="50"/>
      <c r="F104" s="50"/>
      <c r="G104" s="50"/>
      <c r="H104" s="50"/>
      <c r="I104" s="50"/>
      <c r="J104" s="50"/>
      <c r="K104" s="50"/>
    </row>
  </sheetData>
  <mergeCells count="3">
    <mergeCell ref="A1:K1"/>
    <mergeCell ref="A2:K2"/>
    <mergeCell ref="A3:K3"/>
  </mergeCells>
  <printOptions horizontalCentered="1"/>
  <pageMargins left="0.5" right="0.1" top="0.5" bottom="0.5" header="0" footer="0"/>
  <pageSetup scale="70" orientation="portrait" r:id="rId1"/>
</worksheet>
</file>

<file path=xl/worksheets/sheet4.xml><?xml version="1.0" encoding="utf-8"?>
<worksheet xmlns="http://schemas.openxmlformats.org/spreadsheetml/2006/main" xmlns:r="http://schemas.openxmlformats.org/officeDocument/2006/relationships">
  <dimension ref="A1:Q74"/>
  <sheetViews>
    <sheetView zoomScaleNormal="100" workbookViewId="0">
      <selection activeCell="F67" sqref="F67"/>
    </sheetView>
  </sheetViews>
  <sheetFormatPr defaultColWidth="10.42578125" defaultRowHeight="15"/>
  <cols>
    <col min="1" max="1" width="2.7109375" style="50" customWidth="1"/>
    <col min="2" max="2" width="26.7109375" style="11" customWidth="1"/>
    <col min="3" max="3" width="2.7109375" style="11" customWidth="1"/>
    <col min="4" max="4" width="12.7109375" style="11" customWidth="1"/>
    <col min="5" max="5" width="2.7109375" style="11" customWidth="1"/>
    <col min="6" max="6" width="12.7109375" style="11" customWidth="1"/>
    <col min="7" max="7" width="2.7109375" style="11" customWidth="1"/>
    <col min="8" max="8" width="12.7109375" style="11" customWidth="1"/>
    <col min="9" max="9" width="2.7109375" style="11" customWidth="1"/>
    <col min="10" max="10" width="12.7109375" style="11" customWidth="1"/>
    <col min="11" max="11" width="2.7109375" style="11" customWidth="1"/>
    <col min="12" max="12" width="12.7109375" style="50" customWidth="1"/>
    <col min="13" max="13" width="6.85546875" style="104" customWidth="1"/>
    <col min="14" max="14" width="12.28515625" style="50" hidden="1" customWidth="1"/>
    <col min="15" max="15" width="10.5703125" style="50" hidden="1" customWidth="1"/>
    <col min="16" max="16" width="12.28515625" style="50" hidden="1" customWidth="1"/>
    <col min="17" max="17" width="10.5703125" style="50" hidden="1" customWidth="1"/>
    <col min="18" max="16384" width="10.42578125" style="50"/>
  </cols>
  <sheetData>
    <row r="1" spans="1:13" ht="18.75">
      <c r="B1" s="519" t="s">
        <v>1113</v>
      </c>
      <c r="C1" s="519"/>
      <c r="D1" s="519"/>
      <c r="E1" s="519"/>
      <c r="F1" s="519"/>
      <c r="G1" s="519"/>
      <c r="H1" s="519"/>
      <c r="I1" s="519"/>
      <c r="J1" s="519"/>
      <c r="K1" s="519"/>
      <c r="L1" s="519"/>
    </row>
    <row r="2" spans="1:13" ht="22.5">
      <c r="B2" s="520" t="s">
        <v>1229</v>
      </c>
      <c r="C2" s="520"/>
      <c r="D2" s="520"/>
      <c r="E2" s="520"/>
      <c r="F2" s="520"/>
      <c r="G2" s="520"/>
      <c r="H2" s="520"/>
      <c r="I2" s="520"/>
      <c r="J2" s="520"/>
      <c r="K2" s="520"/>
      <c r="L2" s="520"/>
    </row>
    <row r="3" spans="1:13" ht="18.75">
      <c r="B3" s="519" t="s">
        <v>1164</v>
      </c>
      <c r="C3" s="519"/>
      <c r="D3" s="519"/>
      <c r="E3" s="519"/>
      <c r="F3" s="519"/>
      <c r="G3" s="519"/>
      <c r="H3" s="519"/>
      <c r="I3" s="519"/>
      <c r="J3" s="519"/>
      <c r="K3" s="519"/>
      <c r="L3" s="519"/>
    </row>
    <row r="4" spans="1:13">
      <c r="B4" s="12"/>
      <c r="C4" s="12"/>
      <c r="D4" s="12"/>
      <c r="E4" s="12"/>
      <c r="F4" s="12"/>
      <c r="G4" s="12"/>
      <c r="H4" s="12"/>
      <c r="I4" s="12"/>
      <c r="J4" s="12"/>
      <c r="K4" s="12"/>
      <c r="L4" s="105"/>
    </row>
    <row r="5" spans="1:13">
      <c r="C5" s="12"/>
      <c r="D5" s="12" t="s">
        <v>1165</v>
      </c>
      <c r="E5" s="12"/>
      <c r="F5" s="14" t="s">
        <v>1166</v>
      </c>
      <c r="G5" s="12"/>
      <c r="H5" s="12" t="s">
        <v>1167</v>
      </c>
      <c r="I5" s="14"/>
      <c r="J5" s="14" t="s">
        <v>1168</v>
      </c>
      <c r="K5" s="14"/>
      <c r="L5" s="14" t="s">
        <v>1169</v>
      </c>
    </row>
    <row r="6" spans="1:13" ht="15.75" thickBot="1">
      <c r="B6" s="106" t="s">
        <v>1115</v>
      </c>
      <c r="C6" s="107"/>
      <c r="D6" s="107" t="s">
        <v>764</v>
      </c>
      <c r="E6" s="106"/>
      <c r="F6" s="106" t="s">
        <v>1170</v>
      </c>
      <c r="G6" s="106"/>
      <c r="H6" s="106" t="s">
        <v>761</v>
      </c>
      <c r="I6" s="106"/>
      <c r="J6" s="106" t="s">
        <v>1171</v>
      </c>
      <c r="K6" s="106"/>
      <c r="L6" s="106" t="s">
        <v>764</v>
      </c>
    </row>
    <row r="7" spans="1:13">
      <c r="B7" s="30"/>
      <c r="C7" s="108"/>
      <c r="D7" s="108"/>
      <c r="E7" s="30"/>
      <c r="F7" s="30"/>
      <c r="G7" s="30"/>
      <c r="H7" s="30"/>
      <c r="I7" s="30"/>
      <c r="J7" s="30"/>
      <c r="K7" s="30"/>
      <c r="L7" s="30"/>
    </row>
    <row r="8" spans="1:13" ht="24" customHeight="1">
      <c r="A8" s="86" t="s">
        <v>1116</v>
      </c>
      <c r="B8" s="1"/>
      <c r="C8" s="92"/>
      <c r="D8" s="109">
        <f>'Fund Cover Sheets'!F39</f>
        <v>3423724</v>
      </c>
      <c r="E8" s="109"/>
      <c r="F8" s="109">
        <f>'Fund Cover Sheets'!G20</f>
        <v>13009489</v>
      </c>
      <c r="G8" s="109"/>
      <c r="H8" s="109">
        <f>'Fund Cover Sheets'!G31</f>
        <v>13891560</v>
      </c>
      <c r="I8" s="109"/>
      <c r="J8" s="109">
        <f>F8-H8</f>
        <v>-882071</v>
      </c>
      <c r="K8" s="109"/>
      <c r="L8" s="110">
        <f>D8+J8</f>
        <v>2541653</v>
      </c>
      <c r="M8" s="111"/>
    </row>
    <row r="9" spans="1:13">
      <c r="A9" s="86"/>
      <c r="B9" s="1"/>
      <c r="C9" s="112"/>
      <c r="D9" s="88"/>
      <c r="E9" s="88"/>
      <c r="F9" s="88"/>
      <c r="G9" s="88"/>
      <c r="H9" s="88"/>
      <c r="I9" s="88"/>
      <c r="J9" s="88"/>
      <c r="K9" s="88"/>
      <c r="L9" s="110"/>
      <c r="M9" s="111"/>
    </row>
    <row r="10" spans="1:13" ht="24" customHeight="1">
      <c r="A10" s="86" t="s">
        <v>1117</v>
      </c>
      <c r="B10" s="1"/>
      <c r="C10" s="112"/>
      <c r="D10" s="88"/>
      <c r="E10" s="88"/>
      <c r="F10" s="88"/>
      <c r="G10" s="88"/>
      <c r="H10" s="88"/>
      <c r="I10" s="88"/>
      <c r="J10" s="88"/>
      <c r="K10" s="88"/>
      <c r="L10" s="110"/>
      <c r="M10" s="111"/>
    </row>
    <row r="11" spans="1:13" ht="24" customHeight="1">
      <c r="A11" s="86"/>
      <c r="B11" s="1" t="s">
        <v>1019</v>
      </c>
      <c r="C11" s="112"/>
      <c r="D11" s="88">
        <f>'Fund Cover Sheets'!F174</f>
        <v>1055588</v>
      </c>
      <c r="E11" s="88"/>
      <c r="F11" s="88">
        <f>'Fund Cover Sheets'!G157</f>
        <v>944000</v>
      </c>
      <c r="G11" s="88"/>
      <c r="H11" s="109">
        <f>'Fund Cover Sheets'!G166</f>
        <v>1394456</v>
      </c>
      <c r="I11" s="88"/>
      <c r="J11" s="109">
        <f t="shared" ref="J11:J18" si="0">F11-H11</f>
        <v>-450456</v>
      </c>
      <c r="K11" s="88"/>
      <c r="L11" s="110">
        <f t="shared" ref="L11:L20" si="1">D11+J11</f>
        <v>605132</v>
      </c>
      <c r="M11" s="111"/>
    </row>
    <row r="12" spans="1:13" ht="24" customHeight="1">
      <c r="A12" s="87"/>
      <c r="B12" s="84" t="s">
        <v>1118</v>
      </c>
      <c r="C12" s="112"/>
      <c r="D12" s="88">
        <f>'Fund Cover Sheets'!F611</f>
        <v>293043</v>
      </c>
      <c r="E12" s="88"/>
      <c r="F12" s="88">
        <f>'Fund Cover Sheets'!G593</f>
        <v>2228704</v>
      </c>
      <c r="G12" s="88"/>
      <c r="H12" s="109">
        <f>'Fund Cover Sheets'!G603</f>
        <v>2199048</v>
      </c>
      <c r="I12" s="88"/>
      <c r="J12" s="109">
        <f t="shared" si="0"/>
        <v>29656</v>
      </c>
      <c r="K12" s="88"/>
      <c r="L12" s="110">
        <f t="shared" si="1"/>
        <v>322699</v>
      </c>
      <c r="M12" s="111"/>
    </row>
    <row r="13" spans="1:13" ht="24" customHeight="1">
      <c r="A13" s="87"/>
      <c r="B13" s="84" t="s">
        <v>860</v>
      </c>
      <c r="C13" s="112"/>
      <c r="D13" s="88">
        <f>'Fund Cover Sheets'!F560</f>
        <v>85081</v>
      </c>
      <c r="E13" s="88"/>
      <c r="F13" s="88">
        <f>'Fund Cover Sheets'!G545</f>
        <v>166500</v>
      </c>
      <c r="G13" s="88"/>
      <c r="H13" s="88">
        <f>'Fund Cover Sheets'!G552</f>
        <v>89000</v>
      </c>
      <c r="I13" s="88"/>
      <c r="J13" s="109">
        <f t="shared" si="0"/>
        <v>77500</v>
      </c>
      <c r="K13" s="88"/>
      <c r="L13" s="110">
        <f t="shared" si="1"/>
        <v>162581</v>
      </c>
      <c r="M13" s="111"/>
    </row>
    <row r="14" spans="1:13" ht="24" customHeight="1">
      <c r="A14" s="87"/>
      <c r="B14" s="84" t="s">
        <v>984</v>
      </c>
      <c r="C14" s="112"/>
      <c r="D14" s="88">
        <f>'Fund Cover Sheets'!F855</f>
        <v>0</v>
      </c>
      <c r="E14" s="88"/>
      <c r="F14" s="88">
        <f>'Fund Cover Sheets'!G838</f>
        <v>0</v>
      </c>
      <c r="G14" s="88"/>
      <c r="H14" s="88">
        <f>'Fund Cover Sheets'!G847</f>
        <v>0</v>
      </c>
      <c r="I14" s="88"/>
      <c r="J14" s="109">
        <f t="shared" si="0"/>
        <v>0</v>
      </c>
      <c r="K14" s="88"/>
      <c r="L14" s="110">
        <f t="shared" si="1"/>
        <v>0</v>
      </c>
      <c r="M14" s="111"/>
    </row>
    <row r="15" spans="1:13" ht="24" customHeight="1">
      <c r="A15" s="87"/>
      <c r="B15" s="84" t="s">
        <v>747</v>
      </c>
      <c r="C15" s="112"/>
      <c r="D15" s="88">
        <f>'Fund Cover Sheets'!F899</f>
        <v>1573929</v>
      </c>
      <c r="E15" s="113"/>
      <c r="F15" s="88">
        <f>'Fund Cover Sheets'!G884</f>
        <v>1550</v>
      </c>
      <c r="G15" s="113"/>
      <c r="H15" s="88">
        <f>'Fund Cover Sheets'!G891</f>
        <v>2105113</v>
      </c>
      <c r="I15" s="113"/>
      <c r="J15" s="109">
        <f t="shared" si="0"/>
        <v>-2103563</v>
      </c>
      <c r="K15" s="113"/>
      <c r="L15" s="110">
        <f t="shared" si="1"/>
        <v>-529634</v>
      </c>
      <c r="M15" s="111"/>
    </row>
    <row r="16" spans="1:13" ht="24" customHeight="1">
      <c r="A16" s="87"/>
      <c r="B16" s="84" t="s">
        <v>755</v>
      </c>
      <c r="C16" s="112"/>
      <c r="D16" s="88">
        <f>'Fund Cover Sheets'!F942</f>
        <v>261449</v>
      </c>
      <c r="E16" s="114"/>
      <c r="F16" s="88">
        <f>'Fund Cover Sheets'!G927</f>
        <v>35350</v>
      </c>
      <c r="G16" s="114"/>
      <c r="H16" s="88">
        <f>'Fund Cover Sheets'!G934</f>
        <v>45350</v>
      </c>
      <c r="I16" s="114"/>
      <c r="J16" s="109">
        <f t="shared" si="0"/>
        <v>-10000</v>
      </c>
      <c r="K16" s="114"/>
      <c r="L16" s="110">
        <f t="shared" si="1"/>
        <v>251449</v>
      </c>
      <c r="M16" s="111"/>
    </row>
    <row r="17" spans="1:13" ht="24" customHeight="1">
      <c r="A17" s="87"/>
      <c r="B17" s="84" t="s">
        <v>1119</v>
      </c>
      <c r="C17" s="102"/>
      <c r="D17" s="88">
        <f>'Fund Cover Sheets'!F82</f>
        <v>15391</v>
      </c>
      <c r="E17" s="3"/>
      <c r="F17" s="3">
        <f>'Fund Cover Sheets'!G68</f>
        <v>3786</v>
      </c>
      <c r="G17" s="3"/>
      <c r="H17" s="3">
        <f>'Fund Cover Sheets'!G74</f>
        <v>7500</v>
      </c>
      <c r="I17" s="3"/>
      <c r="J17" s="109">
        <f t="shared" si="0"/>
        <v>-3714</v>
      </c>
      <c r="K17" s="3"/>
      <c r="L17" s="110">
        <f t="shared" si="1"/>
        <v>11677</v>
      </c>
      <c r="M17" s="111"/>
    </row>
    <row r="18" spans="1:13" ht="24" customHeight="1">
      <c r="A18" s="87"/>
      <c r="B18" s="84" t="s">
        <v>1120</v>
      </c>
      <c r="C18" s="102"/>
      <c r="D18" s="88">
        <f>'Fund Cover Sheets'!F126</f>
        <v>8014</v>
      </c>
      <c r="E18" s="9"/>
      <c r="F18" s="3">
        <f>'Fund Cover Sheets'!G112</f>
        <v>7531</v>
      </c>
      <c r="G18" s="9"/>
      <c r="H18" s="3">
        <f>'Fund Cover Sheets'!G118</f>
        <v>14985</v>
      </c>
      <c r="I18" s="9"/>
      <c r="J18" s="109">
        <f t="shared" si="0"/>
        <v>-7454</v>
      </c>
      <c r="K18" s="9"/>
      <c r="L18" s="110">
        <f t="shared" si="1"/>
        <v>560</v>
      </c>
      <c r="M18" s="111"/>
    </row>
    <row r="19" spans="1:13">
      <c r="A19" s="87"/>
      <c r="B19" s="84"/>
      <c r="C19" s="102"/>
      <c r="D19" s="3"/>
      <c r="E19" s="3"/>
      <c r="F19" s="3"/>
      <c r="G19" s="3"/>
      <c r="H19" s="3"/>
      <c r="I19" s="3"/>
      <c r="J19" s="109"/>
      <c r="K19" s="3"/>
      <c r="L19" s="110"/>
      <c r="M19" s="111"/>
    </row>
    <row r="20" spans="1:13" ht="24" customHeight="1">
      <c r="A20" s="86" t="s">
        <v>1121</v>
      </c>
      <c r="B20" s="79"/>
      <c r="C20" s="112"/>
      <c r="D20" s="88">
        <f>'Fund Cover Sheets'!F407</f>
        <v>10686</v>
      </c>
      <c r="E20" s="88"/>
      <c r="F20" s="88">
        <f>'Fund Cover Sheets'!G392</f>
        <v>329479</v>
      </c>
      <c r="G20" s="88"/>
      <c r="H20" s="88">
        <f>'Fund Cover Sheets'!G399</f>
        <v>328554</v>
      </c>
      <c r="I20" s="88"/>
      <c r="J20" s="109">
        <f>F20-H20</f>
        <v>925</v>
      </c>
      <c r="K20" s="88"/>
      <c r="L20" s="110">
        <f t="shared" si="1"/>
        <v>11611</v>
      </c>
      <c r="M20" s="111"/>
    </row>
    <row r="21" spans="1:13">
      <c r="A21" s="87"/>
      <c r="B21" s="79"/>
      <c r="C21" s="102"/>
      <c r="D21" s="3"/>
      <c r="E21" s="115"/>
      <c r="F21" s="3"/>
      <c r="G21" s="115"/>
      <c r="H21" s="115"/>
      <c r="I21" s="115"/>
      <c r="J21" s="109"/>
      <c r="K21" s="115"/>
      <c r="L21" s="110"/>
      <c r="M21" s="111"/>
    </row>
    <row r="22" spans="1:13" ht="24" customHeight="1">
      <c r="A22" s="86" t="s">
        <v>1122</v>
      </c>
      <c r="B22" s="79"/>
      <c r="C22" s="102"/>
      <c r="D22" s="3"/>
      <c r="E22" s="3"/>
      <c r="F22" s="3"/>
      <c r="G22" s="3"/>
      <c r="H22" s="3"/>
      <c r="I22" s="3"/>
      <c r="J22" s="109"/>
      <c r="K22" s="3"/>
      <c r="L22" s="110"/>
      <c r="M22" s="111"/>
    </row>
    <row r="23" spans="1:13" ht="24" customHeight="1">
      <c r="A23" s="86"/>
      <c r="B23" s="84" t="s">
        <v>1123</v>
      </c>
      <c r="C23" s="102"/>
      <c r="D23" s="3">
        <f>'Fund Cover Sheets'!F217</f>
        <v>-573374</v>
      </c>
      <c r="E23" s="3"/>
      <c r="F23" s="3">
        <f>'Fund Cover Sheets'!G203</f>
        <v>573374</v>
      </c>
      <c r="G23" s="3"/>
      <c r="H23" s="3">
        <f>'Fund Cover Sheets'!G209</f>
        <v>0</v>
      </c>
      <c r="I23" s="3"/>
      <c r="J23" s="109">
        <f>F23-H23</f>
        <v>573374</v>
      </c>
      <c r="K23" s="3"/>
      <c r="L23" s="110">
        <f>D23+J23</f>
        <v>0</v>
      </c>
      <c r="M23" s="111"/>
    </row>
    <row r="24" spans="1:13" ht="24" customHeight="1">
      <c r="A24" s="87"/>
      <c r="B24" s="84" t="s">
        <v>1305</v>
      </c>
      <c r="C24" s="102"/>
      <c r="D24" s="3">
        <f>'Fund Cover Sheets'!F362</f>
        <v>129270</v>
      </c>
      <c r="E24" s="3"/>
      <c r="F24" s="3">
        <f>'Fund Cover Sheets'!G313</f>
        <v>259750</v>
      </c>
      <c r="G24" s="3"/>
      <c r="H24" s="3">
        <f>'Fund Cover Sheets'!G342</f>
        <v>292462</v>
      </c>
      <c r="I24" s="3"/>
      <c r="J24" s="109">
        <f>F24-H24</f>
        <v>-32712</v>
      </c>
      <c r="K24" s="3"/>
      <c r="L24" s="110">
        <f>D24+J24</f>
        <v>96558</v>
      </c>
      <c r="M24" s="111"/>
    </row>
    <row r="25" spans="1:13" s="11" customFormat="1" ht="24" customHeight="1">
      <c r="A25" s="87"/>
      <c r="B25" s="84" t="s">
        <v>1125</v>
      </c>
      <c r="C25" s="6"/>
      <c r="D25" s="3">
        <f>'Fund Cover Sheets'!F276</f>
        <v>373437</v>
      </c>
      <c r="E25" s="2"/>
      <c r="F25" s="2">
        <f>'Fund Cover Sheets'!G251</f>
        <v>1579062</v>
      </c>
      <c r="G25" s="2"/>
      <c r="H25" s="2">
        <f>'Fund Cover Sheets'!G260</f>
        <v>1261446</v>
      </c>
      <c r="I25" s="2"/>
      <c r="J25" s="109">
        <f>F25-H25</f>
        <v>317616</v>
      </c>
      <c r="K25" s="2"/>
      <c r="L25" s="110">
        <f>D25+J25</f>
        <v>691053</v>
      </c>
      <c r="M25" s="97"/>
    </row>
    <row r="26" spans="1:13">
      <c r="A26" s="1"/>
      <c r="B26" s="84"/>
      <c r="C26" s="112"/>
      <c r="D26" s="88"/>
      <c r="E26" s="88"/>
      <c r="F26" s="88"/>
      <c r="G26" s="88"/>
      <c r="H26" s="88"/>
      <c r="I26" s="88"/>
      <c r="J26" s="109"/>
      <c r="K26" s="88"/>
      <c r="L26" s="110"/>
      <c r="M26" s="111"/>
    </row>
    <row r="27" spans="1:13" ht="24" customHeight="1">
      <c r="A27" s="86" t="s">
        <v>1174</v>
      </c>
      <c r="B27" s="84"/>
      <c r="C27" s="112"/>
      <c r="D27" s="88"/>
      <c r="E27" s="88"/>
      <c r="F27" s="88"/>
      <c r="G27" s="88"/>
      <c r="H27" s="88"/>
      <c r="I27" s="88"/>
      <c r="J27" s="88"/>
      <c r="K27" s="88"/>
      <c r="L27" s="110"/>
      <c r="M27" s="111"/>
    </row>
    <row r="28" spans="1:13" ht="24" customHeight="1">
      <c r="A28" s="1"/>
      <c r="B28" s="84" t="s">
        <v>858</v>
      </c>
      <c r="C28" s="112"/>
      <c r="D28" s="88">
        <f>'Fund Cover Sheets'!F461</f>
        <v>1379272</v>
      </c>
      <c r="E28" s="88"/>
      <c r="F28" s="88">
        <f>'Fund Cover Sheets'!G441</f>
        <v>2641091</v>
      </c>
      <c r="G28" s="88"/>
      <c r="H28" s="88">
        <f>'Fund Cover Sheets'!G453</f>
        <v>2859595</v>
      </c>
      <c r="I28" s="88"/>
      <c r="J28" s="109">
        <f>F28-H28</f>
        <v>-218504</v>
      </c>
      <c r="K28" s="88"/>
      <c r="L28" s="110">
        <f>D28+J28</f>
        <v>1160768</v>
      </c>
      <c r="M28" s="111"/>
    </row>
    <row r="29" spans="1:13" ht="24" customHeight="1">
      <c r="A29" s="1"/>
      <c r="B29" s="84" t="s">
        <v>859</v>
      </c>
      <c r="C29" s="112"/>
      <c r="D29" s="88">
        <f>'Fund Cover Sheets'!F515</f>
        <v>2895977</v>
      </c>
      <c r="E29" s="88"/>
      <c r="F29" s="88">
        <f>'Fund Cover Sheets'!G494</f>
        <v>2355220</v>
      </c>
      <c r="G29" s="88"/>
      <c r="H29" s="88">
        <f>'Fund Cover Sheets'!G507</f>
        <v>2570120</v>
      </c>
      <c r="I29" s="88"/>
      <c r="J29" s="109">
        <f>F29-H29</f>
        <v>-214900</v>
      </c>
      <c r="K29" s="88"/>
      <c r="L29" s="110">
        <f>D29+J29</f>
        <v>2681077</v>
      </c>
      <c r="M29" s="111"/>
    </row>
    <row r="30" spans="1:13" ht="24" customHeight="1">
      <c r="A30" s="1"/>
      <c r="B30" s="84" t="s">
        <v>777</v>
      </c>
      <c r="C30" s="112"/>
      <c r="D30" s="88">
        <f>'Fund Cover Sheets'!F659</f>
        <v>-467468</v>
      </c>
      <c r="E30" s="88"/>
      <c r="F30" s="88">
        <f>'Fund Cover Sheets'!G642</f>
        <v>617957</v>
      </c>
      <c r="G30" s="88"/>
      <c r="H30" s="88">
        <f>'Fund Cover Sheets'!G651</f>
        <v>150489</v>
      </c>
      <c r="I30" s="88"/>
      <c r="J30" s="109">
        <f>F30-H30</f>
        <v>467468</v>
      </c>
      <c r="K30" s="88"/>
      <c r="L30" s="110">
        <f>D30+J30</f>
        <v>0</v>
      </c>
      <c r="M30" s="111"/>
    </row>
    <row r="31" spans="1:13" ht="30" customHeight="1">
      <c r="A31" s="1"/>
      <c r="B31" s="84"/>
      <c r="C31" s="112"/>
      <c r="D31" s="88"/>
      <c r="E31" s="88"/>
      <c r="F31" s="88"/>
      <c r="G31" s="88"/>
      <c r="H31" s="88"/>
      <c r="I31" s="88"/>
      <c r="J31" s="109"/>
      <c r="K31" s="88"/>
      <c r="L31" s="110"/>
      <c r="M31" s="111"/>
    </row>
    <row r="32" spans="1:13" ht="24" customHeight="1">
      <c r="A32" s="86" t="s">
        <v>1127</v>
      </c>
      <c r="B32" s="84"/>
      <c r="C32" s="112"/>
      <c r="D32" s="88"/>
      <c r="E32" s="88"/>
      <c r="F32" s="88"/>
      <c r="G32" s="88"/>
      <c r="H32" s="88"/>
      <c r="I32" s="88"/>
      <c r="J32" s="109"/>
      <c r="K32" s="88"/>
      <c r="L32" s="110"/>
      <c r="M32" s="111"/>
    </row>
    <row r="33" spans="1:17" ht="24" customHeight="1">
      <c r="A33" s="86"/>
      <c r="B33" s="84" t="s">
        <v>841</v>
      </c>
      <c r="C33" s="112"/>
      <c r="D33" s="88">
        <f>'Fund Cover Sheets'!F715</f>
        <v>400154</v>
      </c>
      <c r="E33" s="88"/>
      <c r="F33" s="88">
        <f>'Fund Cover Sheets'!G695</f>
        <v>778639</v>
      </c>
      <c r="G33" s="88"/>
      <c r="H33" s="88">
        <f>'Fund Cover Sheets'!G707</f>
        <v>771363</v>
      </c>
      <c r="I33" s="88"/>
      <c r="J33" s="109">
        <f>F33-H33</f>
        <v>7276</v>
      </c>
      <c r="K33" s="88"/>
      <c r="L33" s="110">
        <f>D33+J33</f>
        <v>407430</v>
      </c>
      <c r="M33" s="111"/>
    </row>
    <row r="34" spans="1:17" ht="24" customHeight="1">
      <c r="A34" s="86"/>
      <c r="B34" s="84" t="s">
        <v>734</v>
      </c>
      <c r="C34" s="112"/>
      <c r="D34" s="88">
        <f>'Fund Cover Sheets'!F761</f>
        <v>0</v>
      </c>
      <c r="E34" s="88"/>
      <c r="F34" s="88">
        <f>'Fund Cover Sheets'!G747</f>
        <v>771963</v>
      </c>
      <c r="G34" s="88"/>
      <c r="H34" s="88">
        <f>'Fund Cover Sheets'!G753</f>
        <v>769638</v>
      </c>
      <c r="I34" s="88"/>
      <c r="J34" s="109">
        <f>F34-H34</f>
        <v>2325</v>
      </c>
      <c r="K34" s="88"/>
      <c r="L34" s="110">
        <f>D34+J34</f>
        <v>2325</v>
      </c>
      <c r="M34" s="111"/>
      <c r="O34" s="512" t="s">
        <v>1445</v>
      </c>
      <c r="Q34" s="512" t="s">
        <v>1445</v>
      </c>
    </row>
    <row r="35" spans="1:17" ht="24" customHeight="1">
      <c r="A35" s="86"/>
      <c r="B35" s="84" t="s">
        <v>1128</v>
      </c>
      <c r="C35" s="112"/>
      <c r="D35" s="88">
        <f>'Fund Cover Sheets'!F809</f>
        <v>18830</v>
      </c>
      <c r="E35" s="88"/>
      <c r="F35" s="88">
        <f>'Fund Cover Sheets'!G792</f>
        <v>20020</v>
      </c>
      <c r="G35" s="88"/>
      <c r="H35" s="88">
        <f>'Fund Cover Sheets'!G801</f>
        <v>38850</v>
      </c>
      <c r="I35" s="88"/>
      <c r="J35" s="109">
        <f>F35-H35</f>
        <v>-18830</v>
      </c>
      <c r="K35" s="88"/>
      <c r="L35" s="110">
        <f>D35+J35</f>
        <v>0</v>
      </c>
      <c r="M35" s="111"/>
      <c r="N35" s="510" t="s">
        <v>1459</v>
      </c>
      <c r="O35" s="155"/>
      <c r="P35" s="510" t="s">
        <v>1461</v>
      </c>
      <c r="Q35" s="155"/>
    </row>
    <row r="36" spans="1:17" ht="15" customHeight="1">
      <c r="A36" s="87"/>
      <c r="B36" s="89"/>
      <c r="C36" s="102"/>
      <c r="D36" s="3"/>
      <c r="E36" s="3"/>
      <c r="F36" s="3"/>
      <c r="G36" s="3"/>
      <c r="H36" s="3"/>
      <c r="I36" s="3"/>
      <c r="J36" s="3"/>
      <c r="K36" s="3"/>
      <c r="L36" s="88"/>
      <c r="M36" s="111"/>
      <c r="N36" s="510" t="s">
        <v>1460</v>
      </c>
      <c r="O36" s="155"/>
      <c r="P36" s="149"/>
      <c r="Q36" s="155"/>
    </row>
    <row r="37" spans="1:17" ht="24" customHeight="1" thickBot="1">
      <c r="A37" s="87"/>
      <c r="B37" s="116" t="s">
        <v>1172</v>
      </c>
      <c r="C37" s="117"/>
      <c r="D37" s="118">
        <f>SUM(D8:D36)</f>
        <v>10883003</v>
      </c>
      <c r="E37" s="118"/>
      <c r="F37" s="118">
        <f>SUM(F8:F36)</f>
        <v>26323465</v>
      </c>
      <c r="G37" s="118"/>
      <c r="H37" s="118">
        <f>SUM(H8:H36)</f>
        <v>28789529</v>
      </c>
      <c r="I37" s="118"/>
      <c r="J37" s="118">
        <f>SUM(J8:J36)</f>
        <v>-2466064</v>
      </c>
      <c r="K37" s="118"/>
      <c r="L37" s="118">
        <f>SUM(L8:L36)</f>
        <v>8416939</v>
      </c>
      <c r="M37" s="111"/>
      <c r="N37" s="511">
        <f>D37+F37-H37</f>
        <v>8416939</v>
      </c>
      <c r="O37" s="513">
        <f>L37-N37</f>
        <v>0</v>
      </c>
      <c r="P37" s="511">
        <f>D37+J37</f>
        <v>8416939</v>
      </c>
      <c r="Q37" s="513">
        <f>L37-P37</f>
        <v>0</v>
      </c>
    </row>
    <row r="38" spans="1:17" ht="15" customHeight="1" thickTop="1">
      <c r="A38" s="87"/>
      <c r="B38" s="1"/>
      <c r="C38" s="92"/>
      <c r="D38" s="109"/>
      <c r="E38" s="109"/>
      <c r="F38" s="109"/>
      <c r="G38" s="109"/>
      <c r="H38" s="109"/>
      <c r="I38" s="109"/>
      <c r="J38" s="109"/>
      <c r="K38" s="109"/>
      <c r="L38" s="110"/>
      <c r="M38" s="111"/>
    </row>
    <row r="39" spans="1:17" ht="15" customHeight="1">
      <c r="A39" s="130" t="s">
        <v>1175</v>
      </c>
      <c r="B39" s="131" t="s">
        <v>1328</v>
      </c>
      <c r="C39" s="112"/>
      <c r="D39" s="88"/>
      <c r="E39" s="88"/>
      <c r="F39" s="88"/>
      <c r="G39" s="88"/>
      <c r="H39" s="88"/>
      <c r="I39" s="88"/>
      <c r="J39" s="88"/>
      <c r="K39" s="88"/>
      <c r="L39" s="88"/>
      <c r="M39" s="110"/>
    </row>
    <row r="40" spans="1:17" ht="12" customHeight="1">
      <c r="A40" s="87"/>
      <c r="B40" s="1"/>
      <c r="C40" s="92"/>
      <c r="D40" s="109"/>
      <c r="E40" s="109"/>
      <c r="F40" s="88"/>
      <c r="G40" s="109"/>
      <c r="H40" s="109"/>
      <c r="I40" s="109"/>
      <c r="J40" s="109"/>
      <c r="K40" s="109"/>
      <c r="L40" s="110"/>
      <c r="M40" s="111"/>
    </row>
    <row r="41" spans="1:17" ht="12" customHeight="1">
      <c r="A41" s="87"/>
      <c r="B41" s="1"/>
      <c r="C41" s="92"/>
      <c r="D41" s="109"/>
      <c r="E41" s="109"/>
      <c r="F41" s="88"/>
      <c r="G41" s="109"/>
      <c r="H41" s="109"/>
      <c r="I41" s="109"/>
      <c r="J41" s="109"/>
      <c r="K41" s="109"/>
      <c r="L41" s="110"/>
      <c r="M41" s="111"/>
    </row>
    <row r="42" spans="1:17" s="149" customFormat="1" ht="12" hidden="1" customHeight="1">
      <c r="A42" s="220"/>
      <c r="B42" s="502" t="s">
        <v>1446</v>
      </c>
      <c r="C42" s="503"/>
      <c r="D42" s="504">
        <f>'Fund Balance History'!F49</f>
        <v>10883003</v>
      </c>
      <c r="E42" s="504"/>
      <c r="F42" s="504"/>
      <c r="G42" s="504"/>
      <c r="H42" s="504"/>
      <c r="I42" s="504"/>
      <c r="J42" s="504"/>
      <c r="K42" s="504"/>
      <c r="L42" s="505">
        <v>0</v>
      </c>
      <c r="M42" s="506"/>
      <c r="N42" s="507"/>
      <c r="O42" s="507"/>
    </row>
    <row r="43" spans="1:17" s="149" customFormat="1" ht="12" hidden="1" customHeight="1">
      <c r="A43" s="220"/>
      <c r="B43" s="502" t="s">
        <v>1458</v>
      </c>
      <c r="C43" s="503"/>
      <c r="D43" s="504">
        <v>0</v>
      </c>
      <c r="E43" s="504"/>
      <c r="F43" s="504"/>
      <c r="G43" s="504"/>
      <c r="H43" s="504"/>
      <c r="I43" s="504"/>
      <c r="J43" s="504"/>
      <c r="K43" s="504"/>
      <c r="L43" s="505">
        <f>'Fund Balance History'!G49</f>
        <v>8416939</v>
      </c>
      <c r="M43" s="506"/>
      <c r="N43" s="507"/>
      <c r="O43" s="507"/>
    </row>
    <row r="44" spans="1:17" s="155" customFormat="1" ht="12" hidden="1" customHeight="1">
      <c r="A44" s="221"/>
      <c r="B44" s="495" t="s">
        <v>1445</v>
      </c>
      <c r="C44" s="496"/>
      <c r="D44" s="497">
        <f>D37-D42</f>
        <v>0</v>
      </c>
      <c r="E44" s="496"/>
      <c r="F44" s="496"/>
      <c r="G44" s="496"/>
      <c r="H44" s="496"/>
      <c r="I44" s="496"/>
      <c r="J44" s="496"/>
      <c r="K44" s="496"/>
      <c r="L44" s="501">
        <f>L37-L43</f>
        <v>0</v>
      </c>
      <c r="M44" s="498"/>
      <c r="N44" s="499"/>
      <c r="O44" s="499"/>
    </row>
    <row r="45" spans="1:17" ht="12" hidden="1" customHeight="1">
      <c r="A45" s="87"/>
      <c r="B45" s="10"/>
      <c r="C45" s="143"/>
      <c r="D45" s="143"/>
      <c r="E45" s="143"/>
      <c r="F45" s="143"/>
      <c r="G45" s="143"/>
      <c r="H45" s="143"/>
      <c r="I45" s="143"/>
      <c r="J45" s="143"/>
      <c r="K45" s="143"/>
      <c r="L45" s="144"/>
      <c r="M45" s="145"/>
      <c r="N45" s="140"/>
      <c r="O45" s="140"/>
    </row>
    <row r="46" spans="1:17" s="149" customFormat="1" ht="12" hidden="1" customHeight="1">
      <c r="A46" s="220"/>
      <c r="B46" s="502" t="s">
        <v>1447</v>
      </c>
      <c r="C46" s="503"/>
      <c r="D46" s="503"/>
      <c r="E46" s="503"/>
      <c r="F46" s="504">
        <f>'Budget Summary'!G38</f>
        <v>26323465</v>
      </c>
      <c r="G46" s="508"/>
      <c r="H46" s="504">
        <f>'Budget Summary'!G78</f>
        <v>28789529</v>
      </c>
      <c r="I46" s="503"/>
      <c r="J46" s="503"/>
      <c r="K46" s="503"/>
      <c r="L46" s="502"/>
      <c r="M46" s="509"/>
      <c r="N46" s="507"/>
      <c r="O46" s="507"/>
    </row>
    <row r="47" spans="1:17" s="155" customFormat="1" ht="12" hidden="1" customHeight="1">
      <c r="A47" s="221"/>
      <c r="B47" s="495" t="s">
        <v>1445</v>
      </c>
      <c r="C47" s="496"/>
      <c r="D47" s="496"/>
      <c r="E47" s="496"/>
      <c r="F47" s="497">
        <f>F37-F46</f>
        <v>0</v>
      </c>
      <c r="G47" s="496"/>
      <c r="H47" s="497">
        <f>H37-H46</f>
        <v>0</v>
      </c>
      <c r="I47" s="496"/>
      <c r="J47" s="496"/>
      <c r="K47" s="496"/>
      <c r="L47" s="495"/>
      <c r="M47" s="498"/>
      <c r="N47" s="499"/>
      <c r="O47" s="499"/>
    </row>
    <row r="48" spans="1:17" hidden="1">
      <c r="A48" s="87"/>
      <c r="B48" s="10"/>
      <c r="C48" s="143"/>
      <c r="D48" s="143"/>
      <c r="E48" s="143"/>
      <c r="F48" s="143"/>
      <c r="G48" s="143"/>
      <c r="H48" s="143"/>
      <c r="I48" s="143"/>
      <c r="J48" s="143"/>
      <c r="K48" s="143"/>
      <c r="L48" s="144"/>
      <c r="M48" s="145"/>
      <c r="N48" s="140"/>
      <c r="O48" s="140"/>
    </row>
    <row r="49" spans="1:15" s="149" customFormat="1" hidden="1">
      <c r="A49" s="220"/>
      <c r="B49" s="502" t="s">
        <v>1448</v>
      </c>
      <c r="C49" s="503"/>
      <c r="D49" s="503"/>
      <c r="E49" s="503"/>
      <c r="F49" s="503">
        <f>'Budget Summary by Category'!M38</f>
        <v>26323465</v>
      </c>
      <c r="G49" s="503"/>
      <c r="H49" s="503">
        <f>'Budget Summary by Category'!L78</f>
        <v>28789529</v>
      </c>
      <c r="I49" s="503"/>
      <c r="J49" s="503"/>
      <c r="K49" s="503"/>
      <c r="L49" s="502"/>
      <c r="M49" s="509"/>
      <c r="N49" s="507"/>
      <c r="O49" s="507"/>
    </row>
    <row r="50" spans="1:15" s="155" customFormat="1" hidden="1">
      <c r="A50" s="221"/>
      <c r="B50" s="495" t="s">
        <v>1445</v>
      </c>
      <c r="C50" s="496"/>
      <c r="D50" s="496"/>
      <c r="E50" s="496"/>
      <c r="F50" s="500">
        <f>F37-F49</f>
        <v>0</v>
      </c>
      <c r="G50" s="496"/>
      <c r="H50" s="497">
        <f>H37-H49</f>
        <v>0</v>
      </c>
      <c r="I50" s="496"/>
      <c r="J50" s="496"/>
      <c r="K50" s="496"/>
      <c r="L50" s="495"/>
      <c r="M50" s="498"/>
      <c r="N50" s="499"/>
      <c r="O50" s="499"/>
    </row>
    <row r="51" spans="1:15">
      <c r="A51" s="87"/>
      <c r="B51" s="10"/>
      <c r="C51" s="143"/>
      <c r="D51" s="143"/>
      <c r="E51" s="143"/>
      <c r="F51" s="143"/>
      <c r="G51" s="143"/>
      <c r="H51" s="143"/>
      <c r="I51" s="143"/>
      <c r="J51" s="143"/>
      <c r="K51" s="143"/>
      <c r="L51" s="144"/>
      <c r="M51" s="145"/>
      <c r="N51" s="140"/>
      <c r="O51" s="140"/>
    </row>
    <row r="52" spans="1:15">
      <c r="A52" s="87"/>
      <c r="B52" s="10"/>
      <c r="C52" s="143"/>
      <c r="D52" s="143"/>
      <c r="E52" s="143"/>
      <c r="F52" s="143"/>
      <c r="G52" s="143"/>
      <c r="H52" s="143"/>
      <c r="I52" s="143"/>
      <c r="J52" s="143"/>
      <c r="K52" s="143"/>
      <c r="L52" s="144"/>
      <c r="M52" s="145"/>
      <c r="N52" s="140"/>
      <c r="O52" s="140"/>
    </row>
    <row r="53" spans="1:15">
      <c r="A53" s="87"/>
      <c r="B53" s="10"/>
      <c r="C53" s="143"/>
      <c r="D53" s="143"/>
      <c r="E53" s="143"/>
      <c r="F53" s="143"/>
      <c r="G53" s="143"/>
      <c r="H53" s="143"/>
      <c r="I53" s="143"/>
      <c r="J53" s="143"/>
      <c r="K53" s="143"/>
      <c r="L53" s="144"/>
      <c r="M53" s="145"/>
      <c r="N53" s="140"/>
      <c r="O53" s="140"/>
    </row>
    <row r="54" spans="1:15">
      <c r="A54" s="87"/>
      <c r="B54" s="10"/>
      <c r="C54" s="143"/>
      <c r="D54" s="143"/>
      <c r="E54" s="143"/>
      <c r="F54" s="143"/>
      <c r="G54" s="143"/>
      <c r="H54" s="143"/>
      <c r="I54" s="143"/>
      <c r="J54" s="143"/>
      <c r="K54" s="143"/>
      <c r="L54" s="144"/>
      <c r="M54" s="145"/>
      <c r="N54" s="140"/>
      <c r="O54" s="140"/>
    </row>
    <row r="55" spans="1:15">
      <c r="A55" s="87"/>
      <c r="B55" s="1"/>
      <c r="C55" s="92"/>
      <c r="D55" s="92"/>
      <c r="E55" s="92"/>
      <c r="F55" s="92"/>
      <c r="G55" s="92"/>
      <c r="H55" s="92"/>
      <c r="I55" s="92"/>
      <c r="J55" s="92"/>
      <c r="K55" s="92"/>
      <c r="L55" s="87"/>
    </row>
    <row r="56" spans="1:15">
      <c r="C56" s="119"/>
      <c r="D56" s="119"/>
      <c r="E56" s="119"/>
      <c r="F56" s="119"/>
      <c r="G56" s="119"/>
      <c r="H56" s="119"/>
      <c r="I56" s="119"/>
      <c r="J56" s="119"/>
      <c r="K56" s="119"/>
    </row>
    <row r="57" spans="1:15">
      <c r="C57" s="119"/>
      <c r="D57" s="119"/>
      <c r="E57" s="119"/>
      <c r="F57" s="119"/>
      <c r="G57" s="119"/>
      <c r="H57" s="119"/>
      <c r="I57" s="119"/>
      <c r="J57" s="119"/>
      <c r="K57" s="119"/>
    </row>
    <row r="58" spans="1:15">
      <c r="C58" s="119"/>
      <c r="D58" s="119"/>
      <c r="E58" s="119"/>
      <c r="F58" s="119"/>
      <c r="G58" s="119"/>
      <c r="H58" s="119"/>
      <c r="I58" s="119"/>
      <c r="J58" s="119"/>
      <c r="K58" s="119"/>
    </row>
    <row r="59" spans="1:15">
      <c r="C59" s="119"/>
      <c r="D59" s="119"/>
      <c r="E59" s="119"/>
      <c r="F59" s="119"/>
      <c r="G59" s="119"/>
      <c r="H59" s="119"/>
      <c r="I59" s="119"/>
      <c r="J59" s="119"/>
      <c r="K59" s="119"/>
    </row>
    <row r="60" spans="1:15">
      <c r="C60" s="119"/>
      <c r="D60" s="119"/>
      <c r="E60" s="119"/>
      <c r="F60" s="119"/>
      <c r="G60" s="119"/>
      <c r="H60" s="119"/>
      <c r="I60" s="119"/>
      <c r="J60" s="119"/>
      <c r="K60" s="119"/>
    </row>
    <row r="61" spans="1:15">
      <c r="C61" s="119"/>
      <c r="D61" s="119"/>
      <c r="E61" s="119"/>
      <c r="F61" s="119"/>
      <c r="G61" s="119"/>
      <c r="H61" s="119"/>
      <c r="I61" s="119"/>
      <c r="J61" s="119"/>
      <c r="K61" s="119"/>
    </row>
    <row r="62" spans="1:15">
      <c r="C62" s="119"/>
      <c r="D62" s="119"/>
      <c r="E62" s="119"/>
      <c r="F62" s="119"/>
      <c r="G62" s="119"/>
      <c r="H62" s="119"/>
      <c r="I62" s="119"/>
      <c r="J62" s="119"/>
      <c r="K62" s="119"/>
    </row>
    <row r="63" spans="1:15">
      <c r="C63" s="119"/>
      <c r="D63" s="119"/>
      <c r="E63" s="119"/>
      <c r="F63" s="119"/>
      <c r="G63" s="119"/>
      <c r="H63" s="119"/>
      <c r="I63" s="119"/>
      <c r="J63" s="119"/>
      <c r="K63" s="119"/>
    </row>
    <row r="64" spans="1:15">
      <c r="C64" s="119"/>
      <c r="D64" s="119"/>
      <c r="E64" s="119"/>
      <c r="F64" s="119"/>
      <c r="G64" s="119"/>
      <c r="H64" s="119"/>
      <c r="I64" s="119"/>
      <c r="J64" s="119"/>
      <c r="K64" s="119"/>
    </row>
    <row r="65" spans="3:11">
      <c r="C65" s="119"/>
      <c r="D65" s="119"/>
      <c r="E65" s="119"/>
      <c r="F65" s="119"/>
      <c r="G65" s="119"/>
      <c r="H65" s="119"/>
      <c r="I65" s="119"/>
      <c r="J65" s="119"/>
      <c r="K65" s="119"/>
    </row>
    <row r="66" spans="3:11">
      <c r="C66" s="119"/>
      <c r="D66" s="119"/>
      <c r="E66" s="119"/>
      <c r="F66" s="119"/>
      <c r="G66" s="119"/>
      <c r="H66" s="119"/>
      <c r="I66" s="119"/>
      <c r="J66" s="119"/>
      <c r="K66" s="119"/>
    </row>
    <row r="67" spans="3:11">
      <c r="C67" s="119"/>
      <c r="D67" s="119"/>
      <c r="E67" s="119"/>
      <c r="F67" s="119"/>
      <c r="G67" s="119"/>
      <c r="H67" s="119"/>
      <c r="I67" s="119"/>
      <c r="J67" s="119"/>
      <c r="K67" s="119"/>
    </row>
    <row r="68" spans="3:11">
      <c r="C68" s="119"/>
      <c r="D68" s="119"/>
      <c r="E68" s="119"/>
      <c r="F68" s="119"/>
      <c r="G68" s="119"/>
      <c r="H68" s="119"/>
      <c r="I68" s="119"/>
      <c r="J68" s="119"/>
      <c r="K68" s="119"/>
    </row>
    <row r="69" spans="3:11">
      <c r="C69" s="119"/>
      <c r="D69" s="119"/>
      <c r="E69" s="119"/>
      <c r="F69" s="119"/>
      <c r="G69" s="119"/>
      <c r="H69" s="119"/>
      <c r="I69" s="119"/>
      <c r="J69" s="119"/>
      <c r="K69" s="119"/>
    </row>
    <row r="70" spans="3:11">
      <c r="C70" s="119"/>
      <c r="D70" s="119"/>
      <c r="E70" s="119"/>
      <c r="F70" s="119"/>
      <c r="G70" s="119"/>
      <c r="H70" s="119"/>
      <c r="I70" s="119"/>
      <c r="J70" s="119"/>
      <c r="K70" s="119"/>
    </row>
    <row r="71" spans="3:11">
      <c r="C71" s="119"/>
      <c r="D71" s="119"/>
      <c r="E71" s="119"/>
      <c r="F71" s="119"/>
      <c r="G71" s="119"/>
      <c r="H71" s="119"/>
      <c r="I71" s="119"/>
      <c r="J71" s="119"/>
      <c r="K71" s="119"/>
    </row>
    <row r="72" spans="3:11">
      <c r="C72" s="119"/>
      <c r="D72" s="119"/>
      <c r="E72" s="119"/>
      <c r="F72" s="119"/>
      <c r="G72" s="119"/>
      <c r="H72" s="119"/>
      <c r="I72" s="119"/>
      <c r="J72" s="119"/>
      <c r="K72" s="119"/>
    </row>
    <row r="73" spans="3:11">
      <c r="C73" s="119"/>
      <c r="D73" s="119"/>
      <c r="E73" s="119"/>
      <c r="F73" s="119"/>
      <c r="G73" s="119"/>
      <c r="H73" s="119"/>
      <c r="I73" s="119"/>
      <c r="J73" s="119"/>
      <c r="K73" s="119"/>
    </row>
    <row r="74" spans="3:11">
      <c r="C74" s="119"/>
      <c r="D74" s="119"/>
      <c r="E74" s="119"/>
      <c r="F74" s="119"/>
      <c r="G74" s="119"/>
      <c r="H74" s="119"/>
      <c r="I74" s="119"/>
      <c r="J74" s="119"/>
      <c r="K74" s="119"/>
    </row>
  </sheetData>
  <mergeCells count="3">
    <mergeCell ref="B1:L1"/>
    <mergeCell ref="B2:L2"/>
    <mergeCell ref="B3:L3"/>
  </mergeCells>
  <printOptions horizontalCentered="1"/>
  <pageMargins left="0" right="0.1" top="0.75" bottom="0.75" header="0" footer="0"/>
  <pageSetup scale="83" orientation="portrait" r:id="rId1"/>
</worksheet>
</file>

<file path=xl/worksheets/sheet5.xml><?xml version="1.0" encoding="utf-8"?>
<worksheet xmlns="http://schemas.openxmlformats.org/spreadsheetml/2006/main" xmlns:r="http://schemas.openxmlformats.org/officeDocument/2006/relationships">
  <dimension ref="A1:K856"/>
  <sheetViews>
    <sheetView zoomScaleNormal="100" zoomScaleSheetLayoutView="100" workbookViewId="0">
      <selection activeCell="E279" sqref="E279"/>
    </sheetView>
  </sheetViews>
  <sheetFormatPr defaultRowHeight="12.75"/>
  <cols>
    <col min="1" max="1" width="3.7109375" style="37" customWidth="1"/>
    <col min="2" max="2" width="32.7109375" style="37" customWidth="1"/>
    <col min="3" max="4" width="12.7109375" style="47" customWidth="1"/>
    <col min="5" max="11" width="12.7109375" style="48" customWidth="1"/>
    <col min="12" max="16384" width="9.140625" style="37"/>
  </cols>
  <sheetData>
    <row r="1" spans="1:11" ht="18.75" customHeight="1">
      <c r="A1" s="16"/>
      <c r="B1" s="522" t="s">
        <v>1099</v>
      </c>
      <c r="C1" s="522"/>
      <c r="D1" s="522"/>
      <c r="E1" s="522"/>
      <c r="F1" s="522"/>
      <c r="G1" s="522"/>
      <c r="H1" s="522"/>
      <c r="I1" s="522"/>
      <c r="J1" s="522"/>
      <c r="K1" s="522"/>
    </row>
    <row r="2" spans="1:11" ht="18.75">
      <c r="A2" s="16"/>
      <c r="B2" s="49"/>
      <c r="C2" s="65"/>
      <c r="D2" s="66"/>
      <c r="E2" s="66"/>
      <c r="F2" s="67"/>
      <c r="G2" s="67"/>
      <c r="H2" s="67"/>
      <c r="I2" s="67"/>
      <c r="J2" s="67"/>
      <c r="K2" s="67"/>
    </row>
    <row r="3" spans="1:11" ht="15" customHeight="1">
      <c r="A3" s="16"/>
      <c r="B3" s="529" t="s">
        <v>1514</v>
      </c>
      <c r="C3" s="529"/>
      <c r="D3" s="529"/>
      <c r="E3" s="529"/>
      <c r="F3" s="529"/>
      <c r="G3" s="529"/>
      <c r="H3" s="529"/>
      <c r="I3" s="529"/>
      <c r="J3" s="529"/>
      <c r="K3" s="529"/>
    </row>
    <row r="4" spans="1:11" ht="15">
      <c r="A4" s="16"/>
      <c r="B4" s="529"/>
      <c r="C4" s="529"/>
      <c r="D4" s="529"/>
      <c r="E4" s="529"/>
      <c r="F4" s="529"/>
      <c r="G4" s="529"/>
      <c r="H4" s="529"/>
      <c r="I4" s="529"/>
      <c r="J4" s="529"/>
      <c r="K4" s="529"/>
    </row>
    <row r="5" spans="1:11" ht="15">
      <c r="A5" s="16"/>
      <c r="B5" s="529"/>
      <c r="C5" s="529"/>
      <c r="D5" s="529"/>
      <c r="E5" s="529"/>
      <c r="F5" s="529"/>
      <c r="G5" s="529"/>
      <c r="H5" s="529"/>
      <c r="I5" s="529"/>
      <c r="J5" s="529"/>
      <c r="K5" s="529"/>
    </row>
    <row r="6" spans="1:11" ht="15">
      <c r="A6" s="16"/>
      <c r="B6" s="51"/>
      <c r="C6" s="68"/>
      <c r="D6" s="68"/>
      <c r="E6" s="68"/>
      <c r="F6" s="67"/>
      <c r="G6" s="67"/>
      <c r="H6" s="67"/>
      <c r="I6" s="67"/>
      <c r="J6" s="67"/>
      <c r="K6" s="67"/>
    </row>
    <row r="7" spans="1:11" ht="15">
      <c r="A7" s="16"/>
      <c r="B7" s="11"/>
      <c r="C7" s="80"/>
      <c r="D7" s="81"/>
      <c r="E7" s="80" t="s">
        <v>312</v>
      </c>
      <c r="F7" s="1"/>
      <c r="G7" s="1"/>
      <c r="H7" s="1"/>
      <c r="I7" s="1"/>
      <c r="J7" s="1"/>
      <c r="K7" s="1"/>
    </row>
    <row r="8" spans="1:11" ht="15">
      <c r="A8" s="16"/>
      <c r="B8" s="14"/>
      <c r="C8" s="80" t="s">
        <v>23</v>
      </c>
      <c r="D8" s="62" t="s">
        <v>253</v>
      </c>
      <c r="E8" s="81" t="s">
        <v>1045</v>
      </c>
      <c r="F8" s="81" t="s">
        <v>312</v>
      </c>
      <c r="G8" s="81" t="s">
        <v>313</v>
      </c>
      <c r="H8" s="81" t="s">
        <v>329</v>
      </c>
      <c r="I8" s="81" t="s">
        <v>332</v>
      </c>
      <c r="J8" s="81" t="s">
        <v>333</v>
      </c>
      <c r="K8" s="81" t="s">
        <v>1224</v>
      </c>
    </row>
    <row r="9" spans="1:11" ht="15.75" thickBot="1">
      <c r="A9" s="16"/>
      <c r="B9" s="52"/>
      <c r="C9" s="83" t="s">
        <v>1</v>
      </c>
      <c r="D9" s="83" t="s">
        <v>1</v>
      </c>
      <c r="E9" s="83" t="s">
        <v>987</v>
      </c>
      <c r="F9" s="83" t="s">
        <v>24</v>
      </c>
      <c r="G9" s="83" t="s">
        <v>1045</v>
      </c>
      <c r="H9" s="83" t="s">
        <v>24</v>
      </c>
      <c r="I9" s="83" t="s">
        <v>24</v>
      </c>
      <c r="J9" s="83" t="s">
        <v>24</v>
      </c>
      <c r="K9" s="83" t="s">
        <v>24</v>
      </c>
    </row>
    <row r="10" spans="1:11" ht="15">
      <c r="A10" s="16"/>
      <c r="B10" s="11"/>
      <c r="C10" s="57"/>
      <c r="D10" s="57"/>
      <c r="E10" s="57"/>
      <c r="F10" s="67"/>
      <c r="G10" s="67"/>
      <c r="H10" s="67"/>
      <c r="I10" s="67"/>
      <c r="J10" s="67"/>
      <c r="K10" s="67"/>
    </row>
    <row r="11" spans="1:11" ht="15">
      <c r="A11" s="16"/>
      <c r="B11" s="53" t="s">
        <v>761</v>
      </c>
      <c r="C11" s="57"/>
      <c r="D11" s="57"/>
      <c r="E11" s="57"/>
      <c r="F11" s="67"/>
      <c r="G11" s="67"/>
      <c r="H11" s="67"/>
      <c r="I11" s="67"/>
      <c r="J11" s="67"/>
      <c r="K11" s="67"/>
    </row>
    <row r="12" spans="1:11" ht="20.100000000000001" customHeight="1">
      <c r="A12" s="16"/>
      <c r="B12" s="21" t="s">
        <v>1057</v>
      </c>
      <c r="C12" s="2">
        <f>SUM('Budget Detail FY 2013-18'!N72:N79)</f>
        <v>319269</v>
      </c>
      <c r="D12" s="2">
        <f>SUM('Budget Detail FY 2013-18'!O72:O79)</f>
        <v>307078</v>
      </c>
      <c r="E12" s="2">
        <f>SUM('Budget Detail FY 2013-18'!P72:P79)</f>
        <v>333395</v>
      </c>
      <c r="F12" s="2">
        <f>SUM('Budget Detail FY 2013-18'!Q72:Q79)</f>
        <v>338320</v>
      </c>
      <c r="G12" s="2">
        <f>SUM('Budget Detail FY 2013-18'!R72:R79)</f>
        <v>368599</v>
      </c>
      <c r="H12" s="2">
        <f>SUM('Budget Detail FY 2013-18'!S72:S79)</f>
        <v>368599</v>
      </c>
      <c r="I12" s="2">
        <f>SUM('Budget Detail FY 2013-18'!T72:T79)</f>
        <v>368599</v>
      </c>
      <c r="J12" s="2">
        <f>SUM('Budget Detail FY 2013-18'!U72:U79)</f>
        <v>368599</v>
      </c>
      <c r="K12" s="2">
        <f>SUM('Budget Detail FY 2013-18'!V72:V79)</f>
        <v>368599</v>
      </c>
    </row>
    <row r="13" spans="1:11" ht="20.100000000000001" customHeight="1">
      <c r="A13" s="16"/>
      <c r="B13" s="21" t="s">
        <v>1058</v>
      </c>
      <c r="C13" s="2">
        <f>SUM('Budget Detail FY 2013-18'!N80:N89)</f>
        <v>48949</v>
      </c>
      <c r="D13" s="2">
        <f>SUM('Budget Detail FY 2013-18'!O80:O89)</f>
        <v>49070</v>
      </c>
      <c r="E13" s="2">
        <f>SUM('Budget Detail FY 2013-18'!P80:P89)</f>
        <v>275732</v>
      </c>
      <c r="F13" s="2">
        <f>SUM('Budget Detail FY 2013-18'!Q80:Q89)</f>
        <v>260902</v>
      </c>
      <c r="G13" s="2">
        <f>SUM('Budget Detail FY 2013-18'!R80:R89)</f>
        <v>253005</v>
      </c>
      <c r="H13" s="2">
        <f>SUM('Budget Detail FY 2013-18'!S80:S89)</f>
        <v>271681</v>
      </c>
      <c r="I13" s="2">
        <f>SUM('Budget Detail FY 2013-18'!T80:T89)</f>
        <v>292224</v>
      </c>
      <c r="J13" s="2">
        <f>SUM('Budget Detail FY 2013-18'!U80:U89)</f>
        <v>305783</v>
      </c>
      <c r="K13" s="2">
        <f>SUM('Budget Detail FY 2013-18'!V80:V89)</f>
        <v>320158</v>
      </c>
    </row>
    <row r="14" spans="1:11" ht="20.100000000000001" customHeight="1">
      <c r="A14" s="16"/>
      <c r="B14" s="21" t="s">
        <v>1059</v>
      </c>
      <c r="C14" s="2">
        <f>SUM('Budget Detail FY 2013-18'!N90:N105)</f>
        <v>119138</v>
      </c>
      <c r="D14" s="2">
        <f>SUM('Budget Detail FY 2013-18'!O90:O105)</f>
        <v>111976</v>
      </c>
      <c r="E14" s="2">
        <f>SUM('Budget Detail FY 2013-18'!P90:P105)</f>
        <v>160250</v>
      </c>
      <c r="F14" s="2">
        <f>SUM('Budget Detail FY 2013-18'!Q90:Q105)</f>
        <v>158900</v>
      </c>
      <c r="G14" s="2">
        <f>SUM('Budget Detail FY 2013-18'!R90:R105)</f>
        <v>161800</v>
      </c>
      <c r="H14" s="2">
        <f>SUM('Budget Detail FY 2013-18'!S90:S105)</f>
        <v>162745</v>
      </c>
      <c r="I14" s="2">
        <f>SUM('Budget Detail FY 2013-18'!T90:T105)</f>
        <v>163887</v>
      </c>
      <c r="J14" s="2">
        <f>SUM('Budget Detail FY 2013-18'!U90:U105)</f>
        <v>164929</v>
      </c>
      <c r="K14" s="2">
        <f>SUM('Budget Detail FY 2013-18'!V90:V105)</f>
        <v>166023</v>
      </c>
    </row>
    <row r="15" spans="1:11" ht="20.100000000000001" customHeight="1">
      <c r="A15" s="16"/>
      <c r="B15" s="54" t="s">
        <v>1060</v>
      </c>
      <c r="C15" s="2">
        <f>SUM('Budget Detail FY 2013-18'!N106:N108)</f>
        <v>11264</v>
      </c>
      <c r="D15" s="2">
        <f>SUM('Budget Detail FY 2013-18'!O106:O108)</f>
        <v>8084</v>
      </c>
      <c r="E15" s="2">
        <f>SUM('Budget Detail FY 2013-18'!P106:P108)</f>
        <v>12950</v>
      </c>
      <c r="F15" s="2">
        <f>SUM('Budget Detail FY 2013-18'!Q106:Q108)</f>
        <v>12950</v>
      </c>
      <c r="G15" s="2">
        <f>SUM('Budget Detail FY 2013-18'!R106:R108)</f>
        <v>12950</v>
      </c>
      <c r="H15" s="2">
        <f>SUM('Budget Detail FY 2013-18'!S106:S108)</f>
        <v>12950</v>
      </c>
      <c r="I15" s="2">
        <f>SUM('Budget Detail FY 2013-18'!T106:T108)</f>
        <v>12950</v>
      </c>
      <c r="J15" s="2">
        <f>SUM('Budget Detail FY 2013-18'!U106:U108)</f>
        <v>12950</v>
      </c>
      <c r="K15" s="2">
        <f>SUM('Budget Detail FY 2013-18'!V106:V108)</f>
        <v>12950</v>
      </c>
    </row>
    <row r="16" spans="1:11" s="136" customFormat="1" ht="20.100000000000001" customHeight="1" thickBot="1">
      <c r="A16" s="134"/>
      <c r="B16" s="135" t="s">
        <v>1100</v>
      </c>
      <c r="C16" s="99">
        <f>SUM(C12:C15)</f>
        <v>498620</v>
      </c>
      <c r="D16" s="99">
        <f t="shared" ref="D16:J16" si="0">SUM(D12:D15)</f>
        <v>476208</v>
      </c>
      <c r="E16" s="99">
        <f t="shared" si="0"/>
        <v>782327</v>
      </c>
      <c r="F16" s="99">
        <f>SUM(F12:F15)</f>
        <v>771072</v>
      </c>
      <c r="G16" s="99">
        <f t="shared" si="0"/>
        <v>796354</v>
      </c>
      <c r="H16" s="99">
        <f t="shared" si="0"/>
        <v>815975</v>
      </c>
      <c r="I16" s="99">
        <f t="shared" si="0"/>
        <v>837660</v>
      </c>
      <c r="J16" s="99">
        <f t="shared" si="0"/>
        <v>852261</v>
      </c>
      <c r="K16" s="99">
        <f>SUM(K12:K15)</f>
        <v>867730</v>
      </c>
    </row>
    <row r="17" spans="1:11" s="172" customFormat="1" ht="15.75" hidden="1" thickTop="1">
      <c r="A17" s="170"/>
      <c r="B17" s="150"/>
      <c r="C17" s="171">
        <f>'Budget Detail FY 2013-18'!N109</f>
        <v>498620</v>
      </c>
      <c r="D17" s="171">
        <f>'Budget Detail FY 2013-18'!O109</f>
        <v>476208</v>
      </c>
      <c r="E17" s="171">
        <f>'Budget Detail FY 2013-18'!P109</f>
        <v>782327</v>
      </c>
      <c r="F17" s="171">
        <f>'Budget Detail FY 2013-18'!Q109</f>
        <v>771072</v>
      </c>
      <c r="G17" s="171">
        <f>'Budget Detail FY 2013-18'!R109</f>
        <v>796354</v>
      </c>
      <c r="H17" s="171">
        <f>'Budget Detail FY 2013-18'!S109</f>
        <v>815975</v>
      </c>
      <c r="I17" s="171">
        <f>'Budget Detail FY 2013-18'!T109</f>
        <v>837660</v>
      </c>
      <c r="J17" s="171">
        <f>'Budget Detail FY 2013-18'!U109</f>
        <v>852261</v>
      </c>
      <c r="K17" s="171">
        <f>'Budget Detail FY 2013-18'!V109</f>
        <v>867730</v>
      </c>
    </row>
    <row r="18" spans="1:11" s="179" customFormat="1" ht="14.25" hidden="1">
      <c r="A18" s="177"/>
      <c r="B18" s="156"/>
      <c r="C18" s="178">
        <f>C16-C17</f>
        <v>0</v>
      </c>
      <c r="D18" s="178">
        <f t="shared" ref="D18:K18" si="1">D16-D17</f>
        <v>0</v>
      </c>
      <c r="E18" s="178">
        <f t="shared" si="1"/>
        <v>0</v>
      </c>
      <c r="F18" s="178">
        <f t="shared" si="1"/>
        <v>0</v>
      </c>
      <c r="G18" s="178">
        <f t="shared" si="1"/>
        <v>0</v>
      </c>
      <c r="H18" s="178">
        <f t="shared" si="1"/>
        <v>0</v>
      </c>
      <c r="I18" s="178">
        <f t="shared" si="1"/>
        <v>0</v>
      </c>
      <c r="J18" s="178">
        <f t="shared" si="1"/>
        <v>0</v>
      </c>
      <c r="K18" s="178">
        <f t="shared" si="1"/>
        <v>0</v>
      </c>
    </row>
    <row r="19" spans="1:11" s="136" customFormat="1" ht="15" thickTop="1">
      <c r="A19" s="134"/>
      <c r="B19" s="23"/>
      <c r="C19" s="169"/>
      <c r="D19" s="169"/>
      <c r="E19" s="169"/>
      <c r="F19" s="169"/>
      <c r="G19" s="169"/>
      <c r="H19" s="169"/>
      <c r="I19" s="169"/>
      <c r="J19" s="169"/>
      <c r="K19" s="169"/>
    </row>
    <row r="20" spans="1:11" ht="15">
      <c r="A20" s="16"/>
      <c r="B20" s="22"/>
      <c r="C20" s="69"/>
      <c r="D20" s="69"/>
      <c r="E20" s="69"/>
      <c r="F20" s="67"/>
      <c r="G20" s="67"/>
      <c r="H20" s="67"/>
      <c r="I20" s="67"/>
      <c r="J20" s="67"/>
      <c r="K20" s="67"/>
    </row>
    <row r="21" spans="1:11" ht="15">
      <c r="A21" s="16"/>
      <c r="B21" s="11"/>
      <c r="C21" s="57"/>
      <c r="D21" s="57"/>
      <c r="E21" s="57"/>
      <c r="F21" s="67"/>
      <c r="G21" s="67"/>
      <c r="H21" s="67"/>
      <c r="I21" s="67"/>
      <c r="J21" s="67"/>
      <c r="K21" s="67"/>
    </row>
    <row r="22" spans="1:11" ht="15">
      <c r="A22" s="16"/>
      <c r="B22" s="11"/>
      <c r="C22" s="57"/>
      <c r="D22" s="57"/>
      <c r="E22" s="57"/>
      <c r="F22" s="67"/>
      <c r="G22" s="67"/>
      <c r="H22" s="67"/>
      <c r="I22" s="67"/>
      <c r="J22" s="67"/>
      <c r="K22" s="67"/>
    </row>
    <row r="23" spans="1:11" ht="15">
      <c r="A23" s="16"/>
      <c r="B23" s="11"/>
      <c r="C23" s="57"/>
      <c r="D23" s="57"/>
      <c r="E23" s="57"/>
      <c r="F23" s="67"/>
      <c r="G23" s="67"/>
      <c r="H23" s="67"/>
      <c r="I23" s="67"/>
      <c r="J23" s="67"/>
      <c r="K23" s="67"/>
    </row>
    <row r="24" spans="1:11" ht="15">
      <c r="A24" s="16"/>
      <c r="B24" s="11"/>
      <c r="C24" s="57"/>
      <c r="D24" s="57"/>
      <c r="E24" s="57"/>
      <c r="F24" s="67"/>
      <c r="G24" s="67"/>
      <c r="H24" s="67"/>
      <c r="I24" s="67"/>
      <c r="J24" s="67"/>
      <c r="K24" s="67"/>
    </row>
    <row r="25" spans="1:11" ht="15">
      <c r="A25" s="16"/>
      <c r="B25" s="11"/>
      <c r="C25" s="57"/>
      <c r="D25" s="57"/>
      <c r="E25" s="57"/>
      <c r="F25" s="67"/>
      <c r="G25" s="67"/>
      <c r="H25" s="67"/>
      <c r="I25" s="67"/>
      <c r="J25" s="67"/>
      <c r="K25" s="67"/>
    </row>
    <row r="26" spans="1:11" ht="15">
      <c r="A26" s="16"/>
      <c r="B26" s="11"/>
      <c r="C26" s="57"/>
      <c r="D26" s="57"/>
      <c r="E26" s="57"/>
      <c r="F26" s="67"/>
      <c r="G26" s="67"/>
      <c r="H26" s="67"/>
      <c r="I26" s="67"/>
      <c r="J26" s="67"/>
      <c r="K26" s="67"/>
    </row>
    <row r="27" spans="1:11" ht="15">
      <c r="A27" s="16"/>
      <c r="B27" s="11"/>
      <c r="C27" s="57"/>
      <c r="D27" s="57"/>
      <c r="E27" s="57"/>
      <c r="F27" s="67"/>
      <c r="G27" s="67"/>
      <c r="H27" s="67"/>
      <c r="I27" s="67"/>
      <c r="J27" s="67"/>
      <c r="K27" s="67"/>
    </row>
    <row r="28" spans="1:11" ht="15">
      <c r="A28" s="16"/>
      <c r="B28" s="11"/>
      <c r="C28" s="57"/>
      <c r="D28" s="57"/>
      <c r="E28" s="57"/>
      <c r="F28" s="67"/>
      <c r="G28" s="67"/>
      <c r="H28" s="67"/>
      <c r="I28" s="67"/>
      <c r="J28" s="67"/>
      <c r="K28" s="67"/>
    </row>
    <row r="29" spans="1:11" ht="15">
      <c r="A29" s="16"/>
      <c r="B29" s="11"/>
      <c r="C29" s="57"/>
      <c r="D29" s="57"/>
      <c r="E29" s="57"/>
      <c r="F29" s="67"/>
      <c r="G29" s="67"/>
      <c r="H29" s="67"/>
      <c r="I29" s="67"/>
      <c r="J29" s="67"/>
      <c r="K29" s="67"/>
    </row>
    <row r="30" spans="1:11" ht="15">
      <c r="A30" s="16"/>
      <c r="B30" s="11"/>
      <c r="C30" s="57"/>
      <c r="D30" s="57"/>
      <c r="E30" s="57"/>
      <c r="F30" s="67"/>
      <c r="G30" s="67"/>
      <c r="H30" s="67"/>
      <c r="I30" s="67"/>
      <c r="J30" s="67"/>
      <c r="K30" s="67"/>
    </row>
    <row r="31" spans="1:11" ht="15">
      <c r="A31" s="16"/>
      <c r="B31" s="11"/>
      <c r="C31" s="57"/>
      <c r="D31" s="57"/>
      <c r="E31" s="57"/>
      <c r="F31" s="67"/>
      <c r="G31" s="67"/>
      <c r="H31" s="67"/>
      <c r="I31" s="67"/>
      <c r="J31" s="67"/>
      <c r="K31" s="67"/>
    </row>
    <row r="32" spans="1:11" ht="15">
      <c r="A32" s="16"/>
      <c r="B32" s="11"/>
      <c r="C32" s="57"/>
      <c r="D32" s="57"/>
      <c r="E32" s="57"/>
      <c r="F32" s="67"/>
      <c r="G32" s="67"/>
      <c r="H32" s="67"/>
      <c r="I32" s="67"/>
      <c r="J32" s="67"/>
      <c r="K32" s="67"/>
    </row>
    <row r="33" spans="1:11" ht="15">
      <c r="A33" s="16"/>
      <c r="B33"/>
      <c r="C33" s="36"/>
      <c r="D33" s="36"/>
      <c r="E33" s="36"/>
      <c r="F33" s="36"/>
      <c r="G33" s="36"/>
      <c r="H33" s="67"/>
      <c r="I33" s="67"/>
      <c r="J33" s="67"/>
      <c r="K33" s="67"/>
    </row>
    <row r="34" spans="1:11" ht="15">
      <c r="A34" s="16"/>
      <c r="B34" s="24"/>
      <c r="C34" s="29"/>
      <c r="D34" s="29"/>
      <c r="E34" s="29"/>
      <c r="F34" s="29"/>
      <c r="G34" s="29"/>
      <c r="H34" s="29"/>
      <c r="I34" s="29"/>
      <c r="J34" s="29"/>
      <c r="K34" s="29"/>
    </row>
    <row r="35" spans="1:11" ht="18.75">
      <c r="A35" s="16"/>
      <c r="B35" s="530" t="s">
        <v>1101</v>
      </c>
      <c r="C35" s="530"/>
      <c r="D35" s="530"/>
      <c r="E35" s="530"/>
      <c r="F35" s="530"/>
      <c r="G35" s="530"/>
      <c r="H35" s="530"/>
      <c r="I35" s="530"/>
      <c r="J35" s="530"/>
      <c r="K35" s="530"/>
    </row>
    <row r="36" spans="1:11" ht="15">
      <c r="A36" s="16"/>
      <c r="B36" s="50"/>
      <c r="C36" s="67"/>
      <c r="D36" s="67"/>
      <c r="E36" s="67"/>
      <c r="F36" s="67"/>
      <c r="G36" s="67"/>
      <c r="H36" s="67"/>
      <c r="I36" s="67"/>
      <c r="J36" s="67"/>
      <c r="K36" s="67"/>
    </row>
    <row r="37" spans="1:11" ht="15" customHeight="1">
      <c r="A37" s="16"/>
      <c r="B37" s="529" t="s">
        <v>1102</v>
      </c>
      <c r="C37" s="529"/>
      <c r="D37" s="529"/>
      <c r="E37" s="529"/>
      <c r="F37" s="529"/>
      <c r="G37" s="529"/>
      <c r="H37" s="529"/>
      <c r="I37" s="529"/>
      <c r="J37" s="529"/>
      <c r="K37" s="529"/>
    </row>
    <row r="38" spans="1:11" ht="15">
      <c r="A38" s="16"/>
      <c r="B38" s="529"/>
      <c r="C38" s="529"/>
      <c r="D38" s="529"/>
      <c r="E38" s="529"/>
      <c r="F38" s="529"/>
      <c r="G38" s="529"/>
      <c r="H38" s="529"/>
      <c r="I38" s="529"/>
      <c r="J38" s="529"/>
      <c r="K38" s="529"/>
    </row>
    <row r="39" spans="1:11" ht="15">
      <c r="A39" s="16"/>
      <c r="B39" s="529"/>
      <c r="C39" s="529"/>
      <c r="D39" s="529"/>
      <c r="E39" s="529"/>
      <c r="F39" s="529"/>
      <c r="G39" s="529"/>
      <c r="H39" s="529"/>
      <c r="I39" s="529"/>
      <c r="J39" s="529"/>
      <c r="K39" s="529"/>
    </row>
    <row r="40" spans="1:11" ht="15">
      <c r="A40" s="16"/>
      <c r="B40" s="55"/>
      <c r="C40" s="70"/>
      <c r="D40" s="70"/>
      <c r="E40" s="70"/>
      <c r="F40" s="67"/>
      <c r="G40" s="67"/>
      <c r="H40" s="67"/>
      <c r="I40" s="67"/>
      <c r="J40" s="67"/>
      <c r="K40" s="67"/>
    </row>
    <row r="41" spans="1:11" ht="15">
      <c r="A41" s="16"/>
      <c r="B41" s="11"/>
      <c r="C41" s="80"/>
      <c r="D41" s="81"/>
      <c r="E41" s="80" t="s">
        <v>312</v>
      </c>
      <c r="F41" s="1"/>
      <c r="G41" s="1"/>
      <c r="H41" s="1"/>
      <c r="I41" s="1"/>
      <c r="J41" s="1"/>
      <c r="K41" s="1"/>
    </row>
    <row r="42" spans="1:11" ht="15">
      <c r="A42" s="16"/>
      <c r="B42" s="14"/>
      <c r="C42" s="80" t="s">
        <v>23</v>
      </c>
      <c r="D42" s="62" t="s">
        <v>253</v>
      </c>
      <c r="E42" s="81" t="s">
        <v>1045</v>
      </c>
      <c r="F42" s="81" t="s">
        <v>312</v>
      </c>
      <c r="G42" s="81" t="s">
        <v>313</v>
      </c>
      <c r="H42" s="81" t="s">
        <v>329</v>
      </c>
      <c r="I42" s="81" t="s">
        <v>332</v>
      </c>
      <c r="J42" s="81" t="s">
        <v>333</v>
      </c>
      <c r="K42" s="81" t="s">
        <v>1224</v>
      </c>
    </row>
    <row r="43" spans="1:11" ht="15.75" thickBot="1">
      <c r="A43" s="16"/>
      <c r="B43" s="52"/>
      <c r="C43" s="83" t="s">
        <v>1</v>
      </c>
      <c r="D43" s="83" t="s">
        <v>1</v>
      </c>
      <c r="E43" s="83" t="s">
        <v>987</v>
      </c>
      <c r="F43" s="83" t="s">
        <v>24</v>
      </c>
      <c r="G43" s="83" t="s">
        <v>1045</v>
      </c>
      <c r="H43" s="83" t="s">
        <v>24</v>
      </c>
      <c r="I43" s="83" t="s">
        <v>24</v>
      </c>
      <c r="J43" s="83" t="s">
        <v>24</v>
      </c>
      <c r="K43" s="83" t="s">
        <v>24</v>
      </c>
    </row>
    <row r="44" spans="1:11" ht="15">
      <c r="A44" s="16"/>
      <c r="B44" s="11"/>
      <c r="C44" s="57"/>
      <c r="D44" s="57"/>
      <c r="E44" s="57"/>
      <c r="F44" s="67"/>
      <c r="G44" s="67"/>
      <c r="H44" s="67"/>
      <c r="I44" s="67"/>
      <c r="J44" s="67"/>
      <c r="K44" s="67"/>
    </row>
    <row r="45" spans="1:11" ht="15">
      <c r="A45" s="16"/>
      <c r="B45" s="53" t="s">
        <v>761</v>
      </c>
      <c r="C45" s="57"/>
      <c r="D45" s="57"/>
      <c r="E45" s="57"/>
      <c r="F45" s="67"/>
      <c r="G45" s="67"/>
      <c r="H45" s="67"/>
      <c r="I45" s="67"/>
      <c r="J45" s="67"/>
      <c r="K45" s="67"/>
    </row>
    <row r="46" spans="1:11" ht="20.100000000000001" customHeight="1">
      <c r="A46" s="16"/>
      <c r="B46" s="21" t="s">
        <v>1057</v>
      </c>
      <c r="C46" s="2">
        <f>'Budget Detail FY 2013-18'!N112</f>
        <v>201586</v>
      </c>
      <c r="D46" s="2">
        <f>'Budget Detail FY 2013-18'!O112</f>
        <v>170294</v>
      </c>
      <c r="E46" s="2">
        <f>'Budget Detail FY 2013-18'!P112</f>
        <v>185000</v>
      </c>
      <c r="F46" s="2">
        <f>'Budget Detail FY 2013-18'!Q112</f>
        <v>180000</v>
      </c>
      <c r="G46" s="2">
        <f>'Budget Detail FY 2013-18'!R112</f>
        <v>189024</v>
      </c>
      <c r="H46" s="2">
        <f>'Budget Detail FY 2013-18'!S112</f>
        <v>189024</v>
      </c>
      <c r="I46" s="2">
        <f>'Budget Detail FY 2013-18'!T112</f>
        <v>189024</v>
      </c>
      <c r="J46" s="2">
        <f>'Budget Detail FY 2013-18'!U112</f>
        <v>189024</v>
      </c>
      <c r="K46" s="2">
        <f>'Budget Detail FY 2013-18'!V112</f>
        <v>189024</v>
      </c>
    </row>
    <row r="47" spans="1:11" ht="20.100000000000001" customHeight="1">
      <c r="A47" s="16"/>
      <c r="B47" s="21" t="s">
        <v>1058</v>
      </c>
      <c r="C47" s="2">
        <f>SUM('Budget Detail FY 2013-18'!N113:N118)</f>
        <v>34085</v>
      </c>
      <c r="D47" s="2">
        <f>SUM('Budget Detail FY 2013-18'!O113:O118)</f>
        <v>29628</v>
      </c>
      <c r="E47" s="2">
        <f>SUM('Budget Detail FY 2013-18'!P113:P118)</f>
        <v>62135</v>
      </c>
      <c r="F47" s="2">
        <f>SUM('Budget Detail FY 2013-18'!Q113:Q118)</f>
        <v>62377</v>
      </c>
      <c r="G47" s="2">
        <f>SUM('Budget Detail FY 2013-18'!R113:R118)</f>
        <v>64571</v>
      </c>
      <c r="H47" s="2">
        <f>SUM('Budget Detail FY 2013-18'!S113:S118)</f>
        <v>67505</v>
      </c>
      <c r="I47" s="2">
        <f>SUM('Budget Detail FY 2013-18'!T113:T118)</f>
        <v>70733</v>
      </c>
      <c r="J47" s="2">
        <f>SUM('Budget Detail FY 2013-18'!U113:U118)</f>
        <v>72864</v>
      </c>
      <c r="K47" s="2">
        <f>SUM('Budget Detail FY 2013-18'!V113:V118)</f>
        <v>75121</v>
      </c>
    </row>
    <row r="48" spans="1:11" ht="20.100000000000001" customHeight="1">
      <c r="A48" s="16"/>
      <c r="B48" s="21" t="s">
        <v>1059</v>
      </c>
      <c r="C48" s="2">
        <f>SUM('Budget Detail FY 2013-18'!N119:N128)</f>
        <v>93906</v>
      </c>
      <c r="D48" s="2">
        <f>SUM('Budget Detail FY 2013-18'!O119:O128)</f>
        <v>80204</v>
      </c>
      <c r="E48" s="2">
        <f>SUM('Budget Detail FY 2013-18'!P119:P128)</f>
        <v>88150</v>
      </c>
      <c r="F48" s="2">
        <f>SUM('Budget Detail FY 2013-18'!Q119:Q128)</f>
        <v>75100</v>
      </c>
      <c r="G48" s="2">
        <f>SUM('Budget Detail FY 2013-18'!R119:R128)</f>
        <v>82550</v>
      </c>
      <c r="H48" s="2">
        <f>SUM('Budget Detail FY 2013-18'!S119:S128)</f>
        <v>86750</v>
      </c>
      <c r="I48" s="2">
        <f>SUM('Budget Detail FY 2013-18'!T119:T128)</f>
        <v>87850</v>
      </c>
      <c r="J48" s="2">
        <f>SUM('Budget Detail FY 2013-18'!U119:U128)</f>
        <v>88950</v>
      </c>
      <c r="K48" s="2">
        <f>SUM('Budget Detail FY 2013-18'!V119:V128)</f>
        <v>91550</v>
      </c>
    </row>
    <row r="49" spans="2:11" ht="20.100000000000001" customHeight="1">
      <c r="B49" s="21" t="s">
        <v>1060</v>
      </c>
      <c r="C49" s="2">
        <f>SUM('Budget Detail FY 2013-18'!N129:N131)</f>
        <v>3281</v>
      </c>
      <c r="D49" s="2">
        <f>SUM('Budget Detail FY 2013-18'!O129:O131)</f>
        <v>4042</v>
      </c>
      <c r="E49" s="2">
        <f>SUM('Budget Detail FY 2013-18'!P129:P131)</f>
        <v>5250</v>
      </c>
      <c r="F49" s="2">
        <f>SUM('Budget Detail FY 2013-18'!Q129:Q131)</f>
        <v>5250</v>
      </c>
      <c r="G49" s="2">
        <f>SUM('Budget Detail FY 2013-18'!R129:R131)</f>
        <v>5250</v>
      </c>
      <c r="H49" s="2">
        <f>SUM('Budget Detail FY 2013-18'!S129:S131)</f>
        <v>5250</v>
      </c>
      <c r="I49" s="2">
        <f>SUM('Budget Detail FY 2013-18'!T129:T131)</f>
        <v>5250</v>
      </c>
      <c r="J49" s="2">
        <f>SUM('Budget Detail FY 2013-18'!U129:U131)</f>
        <v>5250</v>
      </c>
      <c r="K49" s="2">
        <f>SUM('Budget Detail FY 2013-18'!V129:V131)</f>
        <v>5250</v>
      </c>
    </row>
    <row r="50" spans="2:11" s="136" customFormat="1" ht="20.100000000000001" customHeight="1" thickBot="1">
      <c r="B50" s="137" t="s">
        <v>1231</v>
      </c>
      <c r="C50" s="99">
        <f t="shared" ref="C50:J50" si="2">SUM(C46:C49)</f>
        <v>332858</v>
      </c>
      <c r="D50" s="99">
        <f>SUM(D46:D49)</f>
        <v>284168</v>
      </c>
      <c r="E50" s="99">
        <f t="shared" si="2"/>
        <v>340535</v>
      </c>
      <c r="F50" s="99">
        <f t="shared" si="2"/>
        <v>322727</v>
      </c>
      <c r="G50" s="99">
        <f t="shared" si="2"/>
        <v>341395</v>
      </c>
      <c r="H50" s="99">
        <f t="shared" si="2"/>
        <v>348529</v>
      </c>
      <c r="I50" s="99">
        <f t="shared" si="2"/>
        <v>352857</v>
      </c>
      <c r="J50" s="99">
        <f t="shared" si="2"/>
        <v>356088</v>
      </c>
      <c r="K50" s="99">
        <f>SUM(K46:K49)</f>
        <v>360945</v>
      </c>
    </row>
    <row r="51" spans="2:11" s="172" customFormat="1" ht="15.75" hidden="1" thickTop="1">
      <c r="B51" s="150"/>
      <c r="C51" s="171">
        <f>'Budget Detail FY 2013-18'!N132</f>
        <v>332858</v>
      </c>
      <c r="D51" s="171">
        <f>'Budget Detail FY 2013-18'!O132</f>
        <v>284168</v>
      </c>
      <c r="E51" s="171">
        <f>'Budget Detail FY 2013-18'!P132</f>
        <v>340535</v>
      </c>
      <c r="F51" s="171">
        <f>'Budget Detail FY 2013-18'!Q132</f>
        <v>322727</v>
      </c>
      <c r="G51" s="171">
        <f>'Budget Detail FY 2013-18'!R132</f>
        <v>341395</v>
      </c>
      <c r="H51" s="171">
        <f>'Budget Detail FY 2013-18'!S132</f>
        <v>348529</v>
      </c>
      <c r="I51" s="171">
        <f>'Budget Detail FY 2013-18'!T132</f>
        <v>352857</v>
      </c>
      <c r="J51" s="171">
        <f>'Budget Detail FY 2013-18'!U132</f>
        <v>356088</v>
      </c>
      <c r="K51" s="171">
        <f>'Budget Detail FY 2013-18'!V132</f>
        <v>360945</v>
      </c>
    </row>
    <row r="52" spans="2:11" s="179" customFormat="1" ht="14.25" hidden="1">
      <c r="B52" s="156"/>
      <c r="C52" s="178">
        <f>C50-C51</f>
        <v>0</v>
      </c>
      <c r="D52" s="178">
        <f t="shared" ref="D52:K52" si="3">D50-D51</f>
        <v>0</v>
      </c>
      <c r="E52" s="178">
        <f t="shared" si="3"/>
        <v>0</v>
      </c>
      <c r="F52" s="178">
        <f t="shared" si="3"/>
        <v>0</v>
      </c>
      <c r="G52" s="178">
        <f t="shared" si="3"/>
        <v>0</v>
      </c>
      <c r="H52" s="178">
        <f t="shared" si="3"/>
        <v>0</v>
      </c>
      <c r="I52" s="178">
        <f t="shared" si="3"/>
        <v>0</v>
      </c>
      <c r="J52" s="178">
        <f t="shared" si="3"/>
        <v>0</v>
      </c>
      <c r="K52" s="178">
        <f t="shared" si="3"/>
        <v>0</v>
      </c>
    </row>
    <row r="53" spans="2:11" s="136" customFormat="1" ht="15" thickTop="1">
      <c r="B53" s="23"/>
      <c r="C53" s="169"/>
      <c r="D53" s="169"/>
      <c r="E53" s="169"/>
      <c r="F53" s="169"/>
      <c r="G53" s="169"/>
      <c r="H53" s="169"/>
      <c r="I53" s="169"/>
      <c r="J53" s="169"/>
      <c r="K53" s="169"/>
    </row>
    <row r="54" spans="2:11" ht="15">
      <c r="B54" s="11"/>
      <c r="C54" s="57"/>
      <c r="D54" s="57"/>
      <c r="E54" s="57"/>
      <c r="F54" s="67"/>
      <c r="G54" s="67"/>
      <c r="H54" s="67"/>
      <c r="I54" s="67"/>
      <c r="J54" s="67"/>
      <c r="K54" s="67"/>
    </row>
    <row r="55" spans="2:11" ht="15">
      <c r="B55" s="11"/>
      <c r="C55" s="57"/>
      <c r="D55" s="57"/>
      <c r="E55" s="57"/>
      <c r="F55" s="67"/>
      <c r="G55" s="67"/>
      <c r="H55" s="67"/>
      <c r="I55" s="67"/>
      <c r="J55" s="67"/>
      <c r="K55" s="67"/>
    </row>
    <row r="56" spans="2:11" ht="12.75" customHeight="1">
      <c r="B56" s="11"/>
      <c r="C56" s="57"/>
      <c r="D56" s="57"/>
      <c r="E56" s="57"/>
      <c r="F56" s="67"/>
      <c r="G56" s="67"/>
      <c r="H56" s="67"/>
      <c r="I56" s="67"/>
      <c r="J56" s="67"/>
      <c r="K56" s="67"/>
    </row>
    <row r="57" spans="2:11" ht="17.25" customHeight="1">
      <c r="B57" s="11"/>
      <c r="C57" s="57"/>
      <c r="D57" s="57"/>
      <c r="E57" s="57"/>
      <c r="F57" s="67"/>
      <c r="G57" s="67"/>
      <c r="H57" s="67"/>
      <c r="I57" s="67"/>
      <c r="J57" s="67"/>
      <c r="K57" s="67"/>
    </row>
    <row r="58" spans="2:11" ht="15">
      <c r="B58" s="11"/>
      <c r="C58" s="57"/>
      <c r="D58" s="57"/>
      <c r="E58" s="57"/>
      <c r="F58" s="67"/>
      <c r="G58" s="67"/>
      <c r="H58" s="67"/>
      <c r="I58" s="67"/>
      <c r="J58" s="67"/>
      <c r="K58" s="67"/>
    </row>
    <row r="59" spans="2:11" ht="15">
      <c r="B59" s="11"/>
      <c r="C59" s="57"/>
      <c r="D59" s="57"/>
      <c r="E59" s="57"/>
      <c r="F59" s="67"/>
      <c r="G59" s="67"/>
      <c r="H59" s="67"/>
      <c r="I59" s="67"/>
      <c r="J59" s="67"/>
      <c r="K59" s="67"/>
    </row>
    <row r="60" spans="2:11" ht="15">
      <c r="B60" s="11"/>
      <c r="C60" s="57"/>
      <c r="D60" s="57"/>
      <c r="E60" s="57"/>
      <c r="F60" s="67"/>
      <c r="G60" s="67"/>
      <c r="H60" s="67"/>
      <c r="I60" s="67"/>
      <c r="J60" s="67"/>
      <c r="K60" s="67"/>
    </row>
    <row r="61" spans="2:11" ht="15">
      <c r="B61" s="11"/>
      <c r="C61" s="57"/>
      <c r="D61" s="57"/>
      <c r="E61" s="57"/>
      <c r="F61" s="67"/>
      <c r="G61" s="67"/>
      <c r="H61" s="67"/>
      <c r="I61" s="67"/>
      <c r="J61" s="67"/>
      <c r="K61" s="67"/>
    </row>
    <row r="62" spans="2:11" ht="15">
      <c r="B62" s="11"/>
      <c r="C62" s="57"/>
      <c r="D62" s="57"/>
      <c r="E62" s="57"/>
      <c r="F62" s="67"/>
      <c r="G62" s="67"/>
      <c r="H62" s="67"/>
      <c r="I62" s="67"/>
      <c r="J62" s="67"/>
      <c r="K62" s="67"/>
    </row>
    <row r="63" spans="2:11" ht="15">
      <c r="B63" s="11"/>
      <c r="C63" s="57"/>
      <c r="D63" s="57"/>
      <c r="E63" s="57"/>
      <c r="F63" s="67"/>
      <c r="G63" s="67"/>
      <c r="H63" s="67"/>
      <c r="I63" s="67"/>
      <c r="J63" s="67"/>
      <c r="K63" s="67"/>
    </row>
    <row r="64" spans="2:11" ht="15">
      <c r="B64" s="11"/>
      <c r="C64" s="57"/>
      <c r="D64" s="57"/>
      <c r="E64" s="57"/>
      <c r="F64" s="67"/>
      <c r="G64" s="67"/>
      <c r="H64" s="67"/>
      <c r="I64" s="67"/>
      <c r="J64" s="67"/>
      <c r="K64" s="67"/>
    </row>
    <row r="65" spans="2:11" ht="15">
      <c r="B65" s="11"/>
      <c r="C65" s="57"/>
      <c r="D65" s="57"/>
      <c r="E65" s="57"/>
      <c r="F65" s="67"/>
      <c r="G65" s="67"/>
      <c r="H65" s="67"/>
      <c r="I65" s="67"/>
      <c r="J65" s="67"/>
      <c r="K65" s="67"/>
    </row>
    <row r="66" spans="2:11" ht="15">
      <c r="B66" s="16"/>
      <c r="C66" s="29"/>
      <c r="D66" s="29"/>
      <c r="E66" s="29"/>
      <c r="F66" s="29"/>
      <c r="G66" s="29"/>
      <c r="H66" s="29"/>
      <c r="I66" s="29"/>
      <c r="J66" s="29"/>
      <c r="K66" s="29"/>
    </row>
    <row r="67" spans="2:11" ht="18.75" customHeight="1">
      <c r="B67" s="522" t="s">
        <v>135</v>
      </c>
      <c r="C67" s="522"/>
      <c r="D67" s="522"/>
      <c r="E67" s="522"/>
      <c r="F67" s="522"/>
      <c r="G67" s="522"/>
      <c r="H67" s="522"/>
      <c r="I67" s="522"/>
      <c r="J67" s="522"/>
      <c r="K67" s="522"/>
    </row>
    <row r="68" spans="2:11" ht="15">
      <c r="B68" s="50"/>
      <c r="C68" s="67"/>
      <c r="D68" s="67"/>
      <c r="E68" s="67"/>
      <c r="F68" s="67"/>
      <c r="G68" s="67"/>
      <c r="H68" s="67"/>
      <c r="I68" s="67"/>
      <c r="J68" s="67"/>
      <c r="K68" s="67"/>
    </row>
    <row r="69" spans="2:11" ht="12.75" customHeight="1">
      <c r="B69" s="521" t="s">
        <v>1515</v>
      </c>
      <c r="C69" s="521"/>
      <c r="D69" s="521"/>
      <c r="E69" s="521"/>
      <c r="F69" s="521"/>
      <c r="G69" s="521"/>
      <c r="H69" s="521"/>
      <c r="I69" s="521"/>
      <c r="J69" s="521"/>
      <c r="K69" s="521"/>
    </row>
    <row r="70" spans="2:11" ht="12.75" customHeight="1">
      <c r="B70" s="521"/>
      <c r="C70" s="521"/>
      <c r="D70" s="521"/>
      <c r="E70" s="521"/>
      <c r="F70" s="521"/>
      <c r="G70" s="521"/>
      <c r="H70" s="521"/>
      <c r="I70" s="521"/>
      <c r="J70" s="521"/>
      <c r="K70" s="521"/>
    </row>
    <row r="71" spans="2:11" ht="15.75">
      <c r="B71" s="56"/>
      <c r="C71" s="71"/>
      <c r="D71" s="71"/>
      <c r="E71" s="71"/>
      <c r="F71" s="67"/>
      <c r="G71" s="67"/>
      <c r="H71" s="67"/>
      <c r="I71" s="67"/>
      <c r="J71" s="67"/>
      <c r="K71" s="67"/>
    </row>
    <row r="72" spans="2:11" ht="15">
      <c r="B72" s="11"/>
      <c r="C72" s="80"/>
      <c r="D72" s="81"/>
      <c r="E72" s="80" t="s">
        <v>312</v>
      </c>
      <c r="F72" s="1"/>
      <c r="G72" s="1"/>
      <c r="H72" s="1"/>
      <c r="I72" s="1"/>
      <c r="J72" s="1"/>
      <c r="K72" s="1"/>
    </row>
    <row r="73" spans="2:11" ht="15">
      <c r="B73" s="14"/>
      <c r="C73" s="80" t="s">
        <v>23</v>
      </c>
      <c r="D73" s="62" t="s">
        <v>253</v>
      </c>
      <c r="E73" s="81" t="s">
        <v>1045</v>
      </c>
      <c r="F73" s="81" t="s">
        <v>312</v>
      </c>
      <c r="G73" s="81" t="s">
        <v>313</v>
      </c>
      <c r="H73" s="81" t="s">
        <v>329</v>
      </c>
      <c r="I73" s="81" t="s">
        <v>332</v>
      </c>
      <c r="J73" s="81" t="s">
        <v>333</v>
      </c>
      <c r="K73" s="81" t="s">
        <v>1224</v>
      </c>
    </row>
    <row r="74" spans="2:11" ht="15.75" thickBot="1">
      <c r="B74" s="52"/>
      <c r="C74" s="83" t="s">
        <v>1</v>
      </c>
      <c r="D74" s="83" t="s">
        <v>1</v>
      </c>
      <c r="E74" s="83" t="s">
        <v>987</v>
      </c>
      <c r="F74" s="83" t="s">
        <v>24</v>
      </c>
      <c r="G74" s="83" t="s">
        <v>1045</v>
      </c>
      <c r="H74" s="83" t="s">
        <v>24</v>
      </c>
      <c r="I74" s="83" t="s">
        <v>24</v>
      </c>
      <c r="J74" s="83" t="s">
        <v>24</v>
      </c>
      <c r="K74" s="83" t="s">
        <v>24</v>
      </c>
    </row>
    <row r="75" spans="2:11" ht="15">
      <c r="B75" s="11"/>
      <c r="C75" s="57"/>
      <c r="D75" s="57"/>
      <c r="E75" s="57"/>
      <c r="F75" s="67"/>
      <c r="G75" s="67"/>
      <c r="H75" s="67"/>
      <c r="I75" s="67"/>
      <c r="J75" s="67"/>
      <c r="K75" s="67"/>
    </row>
    <row r="76" spans="2:11" ht="15">
      <c r="B76" s="53" t="s">
        <v>761</v>
      </c>
      <c r="C76" s="57"/>
      <c r="D76" s="57"/>
      <c r="E76" s="57"/>
      <c r="F76" s="67"/>
      <c r="G76" s="67"/>
      <c r="H76" s="67"/>
      <c r="I76" s="67"/>
      <c r="J76" s="67"/>
      <c r="K76" s="67"/>
    </row>
    <row r="77" spans="2:11" ht="20.100000000000001" customHeight="1">
      <c r="B77" s="21" t="s">
        <v>1057</v>
      </c>
      <c r="C77" s="2">
        <f>'Budget Detail FY 2013-18'!N135</f>
        <v>63359</v>
      </c>
      <c r="D77" s="2">
        <f>'Budget Detail FY 2013-18'!O135</f>
        <v>0</v>
      </c>
      <c r="E77" s="2">
        <f>'Budget Detail FY 2013-18'!P135</f>
        <v>0</v>
      </c>
      <c r="F77" s="2">
        <f>'Budget Detail FY 2013-18'!Q135</f>
        <v>0</v>
      </c>
      <c r="G77" s="2">
        <f>'Budget Detail FY 2013-18'!R135</f>
        <v>0</v>
      </c>
      <c r="H77" s="2">
        <f>'Budget Detail FY 2013-18'!S135</f>
        <v>0</v>
      </c>
      <c r="I77" s="2">
        <f>'Budget Detail FY 2013-18'!T135</f>
        <v>0</v>
      </c>
      <c r="J77" s="2">
        <f>'Budget Detail FY 2013-18'!U135</f>
        <v>0</v>
      </c>
      <c r="K77" s="2">
        <f>'Budget Detail FY 2013-18'!V135</f>
        <v>0</v>
      </c>
    </row>
    <row r="78" spans="2:11" ht="20.100000000000001" customHeight="1">
      <c r="B78" s="21" t="s">
        <v>1058</v>
      </c>
      <c r="C78" s="2">
        <f>SUM('Budget Detail FY 2013-18'!N136:N137)</f>
        <v>7939</v>
      </c>
      <c r="D78" s="2">
        <f>SUM('Budget Detail FY 2013-18'!O136:O137)</f>
        <v>0</v>
      </c>
      <c r="E78" s="2">
        <f>SUM('Budget Detail FY 2013-18'!P136:P137)</f>
        <v>0</v>
      </c>
      <c r="F78" s="2">
        <f>SUM('Budget Detail FY 2013-18'!Q136:Q137)</f>
        <v>0</v>
      </c>
      <c r="G78" s="2">
        <f>SUM('Budget Detail FY 2013-18'!R136:R137)</f>
        <v>0</v>
      </c>
      <c r="H78" s="2">
        <f>SUM('Budget Detail FY 2013-18'!S136:S137)</f>
        <v>0</v>
      </c>
      <c r="I78" s="2">
        <f>SUM('Budget Detail FY 2013-18'!T136:T137)</f>
        <v>0</v>
      </c>
      <c r="J78" s="2">
        <f>SUM('Budget Detail FY 2013-18'!U136:U137)</f>
        <v>0</v>
      </c>
      <c r="K78" s="2">
        <f>SUM('Budget Detail FY 2013-18'!V136:V137)</f>
        <v>0</v>
      </c>
    </row>
    <row r="79" spans="2:11" ht="20.100000000000001" customHeight="1">
      <c r="B79" s="21" t="s">
        <v>1059</v>
      </c>
      <c r="C79" s="2">
        <f>SUM('Budget Detail FY 2013-18'!N138:N141)</f>
        <v>11361</v>
      </c>
      <c r="D79" s="2">
        <f>SUM('Budget Detail FY 2013-18'!O138:O141)</f>
        <v>333</v>
      </c>
      <c r="E79" s="2">
        <f>SUM('Budget Detail FY 2013-18'!P138:P141)</f>
        <v>0</v>
      </c>
      <c r="F79" s="2">
        <f>SUM('Budget Detail FY 2013-18'!Q138:Q141)</f>
        <v>0</v>
      </c>
      <c r="G79" s="2">
        <f>SUM('Budget Detail FY 2013-18'!R138:R141)</f>
        <v>0</v>
      </c>
      <c r="H79" s="2">
        <f>SUM('Budget Detail FY 2013-18'!S138:S141)</f>
        <v>0</v>
      </c>
      <c r="I79" s="2">
        <f>SUM('Budget Detail FY 2013-18'!T138:T141)</f>
        <v>0</v>
      </c>
      <c r="J79" s="2">
        <f>SUM('Budget Detail FY 2013-18'!U138:U141)</f>
        <v>0</v>
      </c>
      <c r="K79" s="2">
        <f>SUM('Budget Detail FY 2013-18'!V138:V141)</f>
        <v>0</v>
      </c>
    </row>
    <row r="80" spans="2:11" ht="20.100000000000001" customHeight="1">
      <c r="B80" s="21" t="s">
        <v>1060</v>
      </c>
      <c r="C80" s="2">
        <f>SUM('Budget Detail FY 2013-18'!N142:N143)</f>
        <v>656</v>
      </c>
      <c r="D80" s="2">
        <f>SUM('Budget Detail FY 2013-18'!O142:O143)</f>
        <v>0</v>
      </c>
      <c r="E80" s="2">
        <f>SUM('Budget Detail FY 2013-18'!P142:P143)</f>
        <v>0</v>
      </c>
      <c r="F80" s="2">
        <f>SUM('Budget Detail FY 2013-18'!Q142:Q143)</f>
        <v>0</v>
      </c>
      <c r="G80" s="2">
        <f>SUM('Budget Detail FY 2013-18'!R142:R143)</f>
        <v>0</v>
      </c>
      <c r="H80" s="2">
        <f>SUM('Budget Detail FY 2013-18'!S142:S143)</f>
        <v>0</v>
      </c>
      <c r="I80" s="2">
        <f>SUM('Budget Detail FY 2013-18'!T142:T143)</f>
        <v>0</v>
      </c>
      <c r="J80" s="2">
        <f>SUM('Budget Detail FY 2013-18'!U142:U143)</f>
        <v>0</v>
      </c>
      <c r="K80" s="2">
        <f>SUM('Budget Detail FY 2013-18'!V142:V143)</f>
        <v>0</v>
      </c>
    </row>
    <row r="81" spans="2:11" s="136" customFormat="1" ht="20.100000000000001" customHeight="1" thickBot="1">
      <c r="B81" s="137" t="s">
        <v>1103</v>
      </c>
      <c r="C81" s="99">
        <f>SUM(C77:C80)</f>
        <v>83315</v>
      </c>
      <c r="D81" s="99">
        <f t="shared" ref="D81:K81" si="4">SUM(D77:D80)</f>
        <v>333</v>
      </c>
      <c r="E81" s="99">
        <f t="shared" si="4"/>
        <v>0</v>
      </c>
      <c r="F81" s="99">
        <f t="shared" si="4"/>
        <v>0</v>
      </c>
      <c r="G81" s="99">
        <f t="shared" si="4"/>
        <v>0</v>
      </c>
      <c r="H81" s="99">
        <f t="shared" si="4"/>
        <v>0</v>
      </c>
      <c r="I81" s="99">
        <f t="shared" si="4"/>
        <v>0</v>
      </c>
      <c r="J81" s="99">
        <f t="shared" si="4"/>
        <v>0</v>
      </c>
      <c r="K81" s="99">
        <f t="shared" si="4"/>
        <v>0</v>
      </c>
    </row>
    <row r="82" spans="2:11" s="172" customFormat="1" ht="15.75" hidden="1" thickTop="1">
      <c r="B82" s="150"/>
      <c r="C82" s="171">
        <f>'Budget Detail FY 2013-18'!N144</f>
        <v>83315</v>
      </c>
      <c r="D82" s="171">
        <f>'Budget Detail FY 2013-18'!O144</f>
        <v>333</v>
      </c>
      <c r="E82" s="171">
        <f>'Budget Detail FY 2013-18'!P144</f>
        <v>0</v>
      </c>
      <c r="F82" s="171">
        <f>'Budget Detail FY 2013-18'!Q144</f>
        <v>0</v>
      </c>
      <c r="G82" s="171">
        <f>'Budget Detail FY 2013-18'!R144</f>
        <v>0</v>
      </c>
      <c r="H82" s="171">
        <f>'Budget Detail FY 2013-18'!S144</f>
        <v>0</v>
      </c>
      <c r="I82" s="171">
        <f>'Budget Detail FY 2013-18'!T144</f>
        <v>0</v>
      </c>
      <c r="J82" s="171">
        <f>'Budget Detail FY 2013-18'!U144</f>
        <v>0</v>
      </c>
      <c r="K82" s="171">
        <f>'Budget Detail FY 2013-18'!V144</f>
        <v>0</v>
      </c>
    </row>
    <row r="83" spans="2:11" s="179" customFormat="1" ht="14.25" hidden="1">
      <c r="B83" s="156"/>
      <c r="C83" s="178">
        <f>C81-C82</f>
        <v>0</v>
      </c>
      <c r="D83" s="178">
        <f t="shared" ref="D83:K83" si="5">D81-D82</f>
        <v>0</v>
      </c>
      <c r="E83" s="178">
        <f t="shared" si="5"/>
        <v>0</v>
      </c>
      <c r="F83" s="178">
        <f t="shared" si="5"/>
        <v>0</v>
      </c>
      <c r="G83" s="178">
        <f t="shared" si="5"/>
        <v>0</v>
      </c>
      <c r="H83" s="178">
        <f t="shared" si="5"/>
        <v>0</v>
      </c>
      <c r="I83" s="178">
        <f t="shared" si="5"/>
        <v>0</v>
      </c>
      <c r="J83" s="178">
        <f t="shared" si="5"/>
        <v>0</v>
      </c>
      <c r="K83" s="178">
        <f t="shared" si="5"/>
        <v>0</v>
      </c>
    </row>
    <row r="84" spans="2:11" s="136" customFormat="1" ht="15" thickTop="1">
      <c r="B84" s="23"/>
      <c r="C84" s="169"/>
      <c r="D84" s="169"/>
      <c r="E84" s="169"/>
      <c r="F84" s="169"/>
      <c r="G84" s="169"/>
      <c r="H84" s="169"/>
      <c r="I84" s="169"/>
      <c r="J84" s="169"/>
      <c r="K84" s="169"/>
    </row>
    <row r="85" spans="2:11" ht="15">
      <c r="B85" s="11"/>
      <c r="C85" s="57"/>
      <c r="D85" s="57"/>
      <c r="E85" s="57"/>
      <c r="F85" s="67"/>
      <c r="G85" s="67"/>
      <c r="H85" s="67"/>
      <c r="I85" s="67"/>
      <c r="J85" s="67"/>
      <c r="K85" s="67"/>
    </row>
    <row r="86" spans="2:11" ht="15">
      <c r="B86" s="11"/>
      <c r="C86" s="57"/>
      <c r="D86" s="57"/>
      <c r="E86" s="57"/>
      <c r="F86" s="67"/>
      <c r="G86" s="67"/>
      <c r="H86" s="67"/>
      <c r="I86" s="67"/>
      <c r="J86" s="67"/>
      <c r="K86" s="67"/>
    </row>
    <row r="87" spans="2:11" ht="15">
      <c r="B87" s="11"/>
      <c r="C87" s="57"/>
      <c r="D87" s="57"/>
      <c r="E87" s="57"/>
      <c r="F87" s="67"/>
      <c r="G87" s="67"/>
      <c r="H87" s="67"/>
      <c r="I87" s="67"/>
      <c r="J87" s="67"/>
      <c r="K87" s="67"/>
    </row>
    <row r="88" spans="2:11" ht="15">
      <c r="B88" s="11"/>
      <c r="C88" s="57"/>
      <c r="D88" s="57"/>
      <c r="E88" s="57"/>
      <c r="F88" s="67"/>
      <c r="G88" s="67"/>
      <c r="H88" s="67"/>
      <c r="I88" s="67"/>
      <c r="J88" s="67"/>
      <c r="K88" s="67"/>
    </row>
    <row r="89" spans="2:11" ht="15">
      <c r="B89" s="11"/>
      <c r="C89" s="57"/>
      <c r="D89" s="57"/>
      <c r="E89" s="57"/>
      <c r="F89" s="67"/>
      <c r="G89" s="67"/>
      <c r="H89" s="67"/>
      <c r="I89" s="67"/>
      <c r="J89" s="67"/>
      <c r="K89" s="67"/>
    </row>
    <row r="90" spans="2:11" ht="15">
      <c r="B90" s="11"/>
      <c r="C90" s="57"/>
      <c r="D90" s="57"/>
      <c r="E90" s="57"/>
      <c r="F90" s="67"/>
      <c r="G90" s="67"/>
      <c r="H90" s="67"/>
      <c r="I90" s="67"/>
      <c r="J90" s="67"/>
      <c r="K90" s="67"/>
    </row>
    <row r="91" spans="2:11" ht="15">
      <c r="B91" s="11"/>
      <c r="C91" s="57"/>
      <c r="D91" s="57"/>
      <c r="E91" s="57"/>
      <c r="F91" s="67"/>
      <c r="G91" s="67"/>
      <c r="H91" s="67"/>
      <c r="I91" s="67"/>
      <c r="J91" s="67"/>
      <c r="K91" s="67"/>
    </row>
    <row r="92" spans="2:11" ht="15">
      <c r="B92" s="11"/>
      <c r="C92" s="57"/>
      <c r="D92" s="57"/>
      <c r="E92" s="57"/>
      <c r="F92" s="67"/>
      <c r="G92" s="67"/>
      <c r="H92" s="67"/>
      <c r="I92" s="67"/>
      <c r="J92" s="67"/>
      <c r="K92" s="67"/>
    </row>
    <row r="93" spans="2:11" ht="12.75" customHeight="1">
      <c r="B93" s="11"/>
      <c r="C93" s="57"/>
      <c r="D93" s="57"/>
      <c r="E93" s="57"/>
      <c r="F93" s="67"/>
      <c r="G93" s="67"/>
      <c r="H93" s="67"/>
      <c r="I93" s="67"/>
      <c r="J93" s="67"/>
      <c r="K93" s="67"/>
    </row>
    <row r="94" spans="2:11" ht="18" customHeight="1">
      <c r="B94" s="11"/>
      <c r="C94" s="57"/>
      <c r="D94" s="57"/>
      <c r="E94" s="57"/>
      <c r="F94" s="67"/>
      <c r="G94" s="67"/>
      <c r="H94" s="67"/>
      <c r="I94" s="67"/>
      <c r="J94" s="67"/>
      <c r="K94" s="67"/>
    </row>
    <row r="95" spans="2:11" ht="15">
      <c r="B95" s="11"/>
      <c r="C95" s="57"/>
      <c r="D95" s="57"/>
      <c r="E95" s="57"/>
      <c r="F95" s="67"/>
      <c r="G95" s="67"/>
      <c r="H95" s="67"/>
      <c r="I95" s="67"/>
      <c r="J95" s="67"/>
      <c r="K95" s="67"/>
    </row>
    <row r="96" spans="2:11" ht="15">
      <c r="B96" s="11"/>
      <c r="C96" s="57"/>
      <c r="D96" s="57"/>
      <c r="E96" s="57"/>
      <c r="F96" s="67"/>
      <c r="G96" s="67"/>
      <c r="H96" s="67"/>
      <c r="I96" s="67"/>
      <c r="J96" s="67"/>
      <c r="K96" s="67"/>
    </row>
    <row r="97" spans="2:11" ht="15">
      <c r="B97" s="30"/>
      <c r="C97" s="32"/>
      <c r="D97" s="32"/>
      <c r="E97" s="32"/>
      <c r="F97" s="32"/>
      <c r="G97" s="32"/>
      <c r="H97" s="32"/>
      <c r="I97" s="32"/>
      <c r="J97" s="32"/>
      <c r="K97" s="32"/>
    </row>
    <row r="98" spans="2:11" ht="18.75" customHeight="1">
      <c r="B98" s="522" t="s">
        <v>1104</v>
      </c>
      <c r="C98" s="522"/>
      <c r="D98" s="522"/>
      <c r="E98" s="522"/>
      <c r="F98" s="522"/>
      <c r="G98" s="522"/>
      <c r="H98" s="522"/>
      <c r="I98" s="522"/>
      <c r="J98" s="522"/>
      <c r="K98" s="522"/>
    </row>
    <row r="99" spans="2:11" ht="15">
      <c r="B99" s="50"/>
      <c r="C99" s="67"/>
      <c r="D99" s="67"/>
      <c r="E99" s="67"/>
      <c r="F99" s="67"/>
      <c r="G99" s="67"/>
      <c r="H99" s="67"/>
      <c r="I99" s="67"/>
      <c r="J99" s="67"/>
      <c r="K99" s="67"/>
    </row>
    <row r="100" spans="2:11" ht="12.75" customHeight="1">
      <c r="B100" s="521" t="s">
        <v>1327</v>
      </c>
      <c r="C100" s="521"/>
      <c r="D100" s="521"/>
      <c r="E100" s="521"/>
      <c r="F100" s="521"/>
      <c r="G100" s="521"/>
      <c r="H100" s="521"/>
      <c r="I100" s="521"/>
      <c r="J100" s="521"/>
      <c r="K100" s="521"/>
    </row>
    <row r="101" spans="2:11" ht="12.75" customHeight="1">
      <c r="B101" s="521"/>
      <c r="C101" s="521"/>
      <c r="D101" s="521"/>
      <c r="E101" s="521"/>
      <c r="F101" s="521"/>
      <c r="G101" s="521"/>
      <c r="H101" s="521"/>
      <c r="I101" s="521"/>
      <c r="J101" s="521"/>
      <c r="K101" s="521"/>
    </row>
    <row r="102" spans="2:11" ht="15">
      <c r="B102" s="58"/>
      <c r="C102" s="72"/>
      <c r="D102" s="72"/>
      <c r="E102" s="72"/>
      <c r="F102" s="67"/>
      <c r="G102" s="67"/>
      <c r="H102" s="67"/>
      <c r="I102" s="67"/>
      <c r="J102" s="67"/>
      <c r="K102" s="67"/>
    </row>
    <row r="103" spans="2:11" ht="15">
      <c r="B103" s="11"/>
      <c r="C103" s="80"/>
      <c r="D103" s="81"/>
      <c r="E103" s="80" t="s">
        <v>312</v>
      </c>
      <c r="F103" s="1"/>
      <c r="G103" s="1"/>
      <c r="H103" s="1"/>
      <c r="I103" s="1"/>
      <c r="J103" s="1"/>
      <c r="K103" s="1"/>
    </row>
    <row r="104" spans="2:11" ht="15">
      <c r="B104" s="14"/>
      <c r="C104" s="80" t="s">
        <v>23</v>
      </c>
      <c r="D104" s="62" t="s">
        <v>253</v>
      </c>
      <c r="E104" s="81" t="s">
        <v>1045</v>
      </c>
      <c r="F104" s="81" t="s">
        <v>312</v>
      </c>
      <c r="G104" s="81" t="s">
        <v>313</v>
      </c>
      <c r="H104" s="81" t="s">
        <v>329</v>
      </c>
      <c r="I104" s="81" t="s">
        <v>332</v>
      </c>
      <c r="J104" s="81" t="s">
        <v>333</v>
      </c>
      <c r="K104" s="81" t="s">
        <v>1224</v>
      </c>
    </row>
    <row r="105" spans="2:11" ht="15.75" thickBot="1">
      <c r="B105" s="52"/>
      <c r="C105" s="83" t="s">
        <v>1</v>
      </c>
      <c r="D105" s="83" t="s">
        <v>1</v>
      </c>
      <c r="E105" s="83" t="s">
        <v>987</v>
      </c>
      <c r="F105" s="83" t="s">
        <v>24</v>
      </c>
      <c r="G105" s="83" t="s">
        <v>1045</v>
      </c>
      <c r="H105" s="83" t="s">
        <v>24</v>
      </c>
      <c r="I105" s="83" t="s">
        <v>24</v>
      </c>
      <c r="J105" s="83" t="s">
        <v>24</v>
      </c>
      <c r="K105" s="83" t="s">
        <v>24</v>
      </c>
    </row>
    <row r="106" spans="2:11" ht="15">
      <c r="B106" s="11"/>
      <c r="C106" s="57"/>
      <c r="D106" s="57"/>
      <c r="E106" s="57"/>
      <c r="F106" s="67"/>
      <c r="G106" s="67"/>
      <c r="H106" s="67"/>
      <c r="I106" s="67"/>
      <c r="J106" s="67"/>
      <c r="K106" s="67"/>
    </row>
    <row r="107" spans="2:11" ht="15">
      <c r="B107" s="53" t="s">
        <v>761</v>
      </c>
      <c r="C107" s="57"/>
      <c r="D107" s="57"/>
      <c r="E107" s="57"/>
      <c r="F107" s="67"/>
      <c r="G107" s="67"/>
      <c r="H107" s="67"/>
      <c r="I107" s="67"/>
      <c r="J107" s="67"/>
      <c r="K107" s="67"/>
    </row>
    <row r="108" spans="2:11" ht="20.100000000000001" customHeight="1">
      <c r="B108" s="21" t="s">
        <v>1057</v>
      </c>
      <c r="C108" s="2">
        <f>SUM('Budget Detail FY 2013-18'!N147:N148)</f>
        <v>235639</v>
      </c>
      <c r="D108" s="2">
        <f>SUM('Budget Detail FY 2013-18'!O147:O148)</f>
        <v>75383</v>
      </c>
      <c r="E108" s="2">
        <f>SUM('Budget Detail FY 2013-18'!P147:P148)</f>
        <v>0</v>
      </c>
      <c r="F108" s="2">
        <f>SUM('Budget Detail FY 2013-18'!Q147:Q148)</f>
        <v>0</v>
      </c>
      <c r="G108" s="2">
        <f>SUM('Budget Detail FY 2013-18'!R147:R148)</f>
        <v>0</v>
      </c>
      <c r="H108" s="2">
        <f>SUM('Budget Detail FY 2013-18'!S147:S148)</f>
        <v>0</v>
      </c>
      <c r="I108" s="2">
        <f>SUM('Budget Detail FY 2013-18'!T147:T148)</f>
        <v>0</v>
      </c>
      <c r="J108" s="2">
        <f>SUM('Budget Detail FY 2013-18'!U147:U148)</f>
        <v>0</v>
      </c>
      <c r="K108" s="2">
        <f>SUM('Budget Detail FY 2013-18'!V147:V148)</f>
        <v>0</v>
      </c>
    </row>
    <row r="109" spans="2:11" ht="20.100000000000001" customHeight="1">
      <c r="B109" s="21" t="s">
        <v>1058</v>
      </c>
      <c r="C109" s="2">
        <f>SUM('Budget Detail FY 2013-18'!N149:N154)</f>
        <v>95112</v>
      </c>
      <c r="D109" s="2">
        <f>SUM('Budget Detail FY 2013-18'!O149:O154)</f>
        <v>22485</v>
      </c>
      <c r="E109" s="2">
        <f>SUM('Budget Detail FY 2013-18'!P149:P154)</f>
        <v>0</v>
      </c>
      <c r="F109" s="2">
        <f>SUM('Budget Detail FY 2013-18'!Q149:Q154)</f>
        <v>0</v>
      </c>
      <c r="G109" s="2">
        <f>SUM('Budget Detail FY 2013-18'!R149:R154)</f>
        <v>0</v>
      </c>
      <c r="H109" s="2">
        <f>SUM('Budget Detail FY 2013-18'!S149:S154)</f>
        <v>0</v>
      </c>
      <c r="I109" s="2">
        <f>SUM('Budget Detail FY 2013-18'!T149:T154)</f>
        <v>0</v>
      </c>
      <c r="J109" s="2">
        <f>SUM('Budget Detail FY 2013-18'!U149:U154)</f>
        <v>0</v>
      </c>
      <c r="K109" s="2">
        <f>SUM('Budget Detail FY 2013-18'!V149:V154)</f>
        <v>0</v>
      </c>
    </row>
    <row r="110" spans="2:11" ht="20.100000000000001" customHeight="1">
      <c r="B110" s="21" t="s">
        <v>1059</v>
      </c>
      <c r="C110" s="2">
        <f>SUM('Budget Detail FY 2013-18'!N155:N162)</f>
        <v>10022</v>
      </c>
      <c r="D110" s="2">
        <f>SUM('Budget Detail FY 2013-18'!O155:O162)</f>
        <v>4348</v>
      </c>
      <c r="E110" s="2">
        <f>SUM('Budget Detail FY 2013-18'!P155:P162)</f>
        <v>0</v>
      </c>
      <c r="F110" s="2">
        <f>SUM('Budget Detail FY 2013-18'!Q155:Q162)</f>
        <v>0</v>
      </c>
      <c r="G110" s="2">
        <f>SUM('Budget Detail FY 2013-18'!R155:R162)</f>
        <v>0</v>
      </c>
      <c r="H110" s="2">
        <f>SUM('Budget Detail FY 2013-18'!S155:S162)</f>
        <v>0</v>
      </c>
      <c r="I110" s="2">
        <f>SUM('Budget Detail FY 2013-18'!T155:T162)</f>
        <v>0</v>
      </c>
      <c r="J110" s="2">
        <f>SUM('Budget Detail FY 2013-18'!U155:U162)</f>
        <v>0</v>
      </c>
      <c r="K110" s="2">
        <f>SUM('Budget Detail FY 2013-18'!V155:V162)</f>
        <v>0</v>
      </c>
    </row>
    <row r="111" spans="2:11" ht="20.100000000000001" customHeight="1">
      <c r="B111" s="21" t="s">
        <v>1060</v>
      </c>
      <c r="C111" s="2">
        <f>SUM('Budget Detail FY 2013-18'!N163:N167)</f>
        <v>9994</v>
      </c>
      <c r="D111" s="2">
        <f>SUM('Budget Detail FY 2013-18'!O163:O167)</f>
        <v>7</v>
      </c>
      <c r="E111" s="2">
        <f>SUM('Budget Detail FY 2013-18'!P163:P167)</f>
        <v>0</v>
      </c>
      <c r="F111" s="2">
        <f>SUM('Budget Detail FY 2013-18'!Q163:Q167)</f>
        <v>0</v>
      </c>
      <c r="G111" s="2">
        <f>SUM('Budget Detail FY 2013-18'!R163:R167)</f>
        <v>0</v>
      </c>
      <c r="H111" s="2">
        <f>SUM('Budget Detail FY 2013-18'!S163:S167)</f>
        <v>0</v>
      </c>
      <c r="I111" s="2">
        <f>SUM('Budget Detail FY 2013-18'!T163:T167)</f>
        <v>0</v>
      </c>
      <c r="J111" s="2">
        <f>SUM('Budget Detail FY 2013-18'!U163:U167)</f>
        <v>0</v>
      </c>
      <c r="K111" s="2">
        <f>SUM('Budget Detail FY 2013-18'!V163:V167)</f>
        <v>0</v>
      </c>
    </row>
    <row r="112" spans="2:11" s="136" customFormat="1" ht="20.100000000000001" customHeight="1" thickBot="1">
      <c r="B112" s="137" t="s">
        <v>1232</v>
      </c>
      <c r="C112" s="99">
        <f>SUM(C108:C111)</f>
        <v>350767</v>
      </c>
      <c r="D112" s="99">
        <f t="shared" ref="D112:J112" si="6">SUM(D108:D111)</f>
        <v>102223</v>
      </c>
      <c r="E112" s="99">
        <f t="shared" si="6"/>
        <v>0</v>
      </c>
      <c r="F112" s="99">
        <f t="shared" si="6"/>
        <v>0</v>
      </c>
      <c r="G112" s="99">
        <f t="shared" si="6"/>
        <v>0</v>
      </c>
      <c r="H112" s="99">
        <f t="shared" si="6"/>
        <v>0</v>
      </c>
      <c r="I112" s="99">
        <f t="shared" si="6"/>
        <v>0</v>
      </c>
      <c r="J112" s="99">
        <f t="shared" si="6"/>
        <v>0</v>
      </c>
      <c r="K112" s="99">
        <f>SUM(K108:K111)</f>
        <v>0</v>
      </c>
    </row>
    <row r="113" spans="2:11" s="172" customFormat="1" ht="15.75" hidden="1" thickTop="1">
      <c r="B113" s="150"/>
      <c r="C113" s="171">
        <f>'Budget Detail FY 2013-18'!N168</f>
        <v>350767</v>
      </c>
      <c r="D113" s="171">
        <f>'Budget Detail FY 2013-18'!O168</f>
        <v>102223</v>
      </c>
      <c r="E113" s="171">
        <f>'Budget Detail FY 2013-18'!P168</f>
        <v>0</v>
      </c>
      <c r="F113" s="171">
        <f>'Budget Detail FY 2013-18'!Q168</f>
        <v>0</v>
      </c>
      <c r="G113" s="171">
        <f>'Budget Detail FY 2013-18'!R168</f>
        <v>0</v>
      </c>
      <c r="H113" s="171">
        <f>'Budget Detail FY 2013-18'!S168</f>
        <v>0</v>
      </c>
      <c r="I113" s="171">
        <f>'Budget Detail FY 2013-18'!T168</f>
        <v>0</v>
      </c>
      <c r="J113" s="171">
        <f>'Budget Detail FY 2013-18'!U168</f>
        <v>0</v>
      </c>
      <c r="K113" s="171">
        <f>'Budget Detail FY 2013-18'!V168</f>
        <v>0</v>
      </c>
    </row>
    <row r="114" spans="2:11" s="179" customFormat="1" ht="14.25" hidden="1">
      <c r="B114" s="156"/>
      <c r="C114" s="178">
        <f>C112-C113</f>
        <v>0</v>
      </c>
      <c r="D114" s="178">
        <f t="shared" ref="D114:K114" si="7">D112-D113</f>
        <v>0</v>
      </c>
      <c r="E114" s="178">
        <f t="shared" si="7"/>
        <v>0</v>
      </c>
      <c r="F114" s="178">
        <f t="shared" si="7"/>
        <v>0</v>
      </c>
      <c r="G114" s="178">
        <f t="shared" si="7"/>
        <v>0</v>
      </c>
      <c r="H114" s="178">
        <f t="shared" si="7"/>
        <v>0</v>
      </c>
      <c r="I114" s="178">
        <f t="shared" si="7"/>
        <v>0</v>
      </c>
      <c r="J114" s="178">
        <f t="shared" si="7"/>
        <v>0</v>
      </c>
      <c r="K114" s="178">
        <f t="shared" si="7"/>
        <v>0</v>
      </c>
    </row>
    <row r="115" spans="2:11" s="136" customFormat="1" ht="15" thickTop="1">
      <c r="B115" s="23"/>
      <c r="C115" s="169"/>
      <c r="D115" s="169"/>
      <c r="E115" s="169"/>
      <c r="F115" s="169"/>
      <c r="G115" s="169"/>
      <c r="H115" s="169"/>
      <c r="I115" s="169"/>
      <c r="J115" s="169"/>
      <c r="K115" s="169"/>
    </row>
    <row r="116" spans="2:11" ht="15">
      <c r="B116" s="11"/>
      <c r="C116" s="57"/>
      <c r="D116" s="57"/>
      <c r="E116" s="57"/>
      <c r="F116" s="67"/>
      <c r="G116" s="67"/>
      <c r="H116" s="67"/>
      <c r="I116" s="67"/>
      <c r="J116" s="67"/>
      <c r="K116" s="67"/>
    </row>
    <row r="117" spans="2:11" ht="15">
      <c r="B117" s="11"/>
      <c r="C117" s="57"/>
      <c r="D117" s="57"/>
      <c r="E117" s="57"/>
      <c r="F117" s="67"/>
      <c r="G117" s="67"/>
      <c r="H117" s="67"/>
      <c r="I117" s="67"/>
      <c r="J117" s="67"/>
      <c r="K117" s="67"/>
    </row>
    <row r="118" spans="2:11" ht="15">
      <c r="B118" s="11"/>
      <c r="C118" s="57"/>
      <c r="D118" s="57"/>
      <c r="E118" s="57"/>
      <c r="F118" s="67"/>
      <c r="G118" s="67"/>
      <c r="H118" s="67"/>
      <c r="I118" s="67"/>
      <c r="J118" s="67"/>
      <c r="K118" s="67"/>
    </row>
    <row r="119" spans="2:11" ht="15">
      <c r="B119" s="11"/>
      <c r="C119" s="57"/>
      <c r="D119" s="57"/>
      <c r="E119" s="57"/>
      <c r="F119" s="67"/>
      <c r="G119" s="67"/>
      <c r="H119" s="67"/>
      <c r="I119" s="67"/>
      <c r="J119" s="67"/>
      <c r="K119" s="67"/>
    </row>
    <row r="120" spans="2:11" ht="15">
      <c r="B120" s="11"/>
      <c r="C120" s="57"/>
      <c r="D120" s="57"/>
      <c r="E120" s="57"/>
      <c r="F120" s="67"/>
      <c r="G120" s="67"/>
      <c r="H120" s="67"/>
      <c r="I120" s="67"/>
      <c r="J120" s="67"/>
      <c r="K120" s="67"/>
    </row>
    <row r="121" spans="2:11" ht="15">
      <c r="B121" s="11"/>
      <c r="C121" s="57"/>
      <c r="D121" s="57"/>
      <c r="E121" s="57"/>
      <c r="F121" s="67"/>
      <c r="G121" s="67"/>
      <c r="H121" s="67"/>
      <c r="I121" s="67"/>
      <c r="J121" s="67"/>
      <c r="K121" s="67"/>
    </row>
    <row r="122" spans="2:11" ht="15">
      <c r="B122" s="11"/>
      <c r="C122" s="57"/>
      <c r="D122" s="57"/>
      <c r="E122" s="57"/>
      <c r="F122" s="67"/>
      <c r="G122" s="67"/>
      <c r="H122" s="67"/>
      <c r="I122" s="67"/>
      <c r="J122" s="67"/>
      <c r="K122" s="67"/>
    </row>
    <row r="123" spans="2:11" ht="15">
      <c r="B123" s="11"/>
      <c r="C123" s="57"/>
      <c r="D123" s="57"/>
      <c r="E123" s="57"/>
      <c r="F123" s="67"/>
      <c r="G123" s="67"/>
      <c r="H123" s="67"/>
      <c r="I123" s="67"/>
      <c r="J123" s="67"/>
      <c r="K123" s="67"/>
    </row>
    <row r="124" spans="2:11" ht="15">
      <c r="B124" s="11"/>
      <c r="C124" s="57"/>
      <c r="D124" s="57"/>
      <c r="E124" s="57"/>
      <c r="F124" s="67"/>
      <c r="G124" s="67"/>
      <c r="H124" s="67"/>
      <c r="I124" s="67"/>
      <c r="J124" s="67"/>
      <c r="K124" s="67"/>
    </row>
    <row r="125" spans="2:11" ht="15">
      <c r="B125" s="11"/>
      <c r="C125" s="57"/>
      <c r="D125" s="57"/>
      <c r="E125" s="57"/>
      <c r="F125" s="67"/>
      <c r="G125" s="67"/>
      <c r="H125" s="67"/>
      <c r="I125" s="67"/>
      <c r="J125" s="67"/>
      <c r="K125" s="67"/>
    </row>
    <row r="126" spans="2:11" ht="15">
      <c r="B126" s="11"/>
      <c r="C126" s="57"/>
      <c r="D126" s="57"/>
      <c r="E126" s="57"/>
      <c r="F126" s="67"/>
      <c r="G126" s="67"/>
      <c r="H126" s="67"/>
      <c r="I126" s="67"/>
      <c r="J126" s="67"/>
      <c r="K126" s="67"/>
    </row>
    <row r="127" spans="2:11" ht="21" customHeight="1">
      <c r="B127" s="11"/>
      <c r="C127" s="57"/>
      <c r="D127" s="57"/>
      <c r="E127" s="57"/>
      <c r="F127" s="67"/>
      <c r="G127" s="67"/>
      <c r="H127" s="67"/>
      <c r="I127" s="67"/>
      <c r="J127" s="67"/>
      <c r="K127" s="67"/>
    </row>
    <row r="129" spans="2:11" ht="18.75">
      <c r="B129" s="523" t="s">
        <v>1105</v>
      </c>
      <c r="C129" s="523"/>
      <c r="D129" s="523"/>
      <c r="E129" s="523"/>
      <c r="F129" s="523"/>
      <c r="G129" s="523"/>
      <c r="H129" s="523"/>
      <c r="I129" s="523"/>
      <c r="J129" s="523"/>
      <c r="K129" s="523"/>
    </row>
    <row r="130" spans="2:11" ht="15">
      <c r="B130" s="50"/>
      <c r="C130" s="67"/>
      <c r="D130" s="67"/>
      <c r="E130" s="67"/>
      <c r="F130" s="67"/>
      <c r="G130" s="67"/>
      <c r="H130" s="67"/>
      <c r="I130" s="67"/>
      <c r="J130" s="67"/>
      <c r="K130" s="67"/>
    </row>
    <row r="131" spans="2:11" ht="12.75" customHeight="1">
      <c r="B131" s="524" t="s">
        <v>1106</v>
      </c>
      <c r="C131" s="524"/>
      <c r="D131" s="524"/>
      <c r="E131" s="524"/>
      <c r="F131" s="524"/>
      <c r="G131" s="524"/>
      <c r="H131" s="524"/>
      <c r="I131" s="524"/>
      <c r="J131" s="524"/>
      <c r="K131" s="524"/>
    </row>
    <row r="132" spans="2:11" ht="18.75" customHeight="1">
      <c r="B132" s="524"/>
      <c r="C132" s="524"/>
      <c r="D132" s="524"/>
      <c r="E132" s="524"/>
      <c r="F132" s="524"/>
      <c r="G132" s="524"/>
      <c r="H132" s="524"/>
      <c r="I132" s="524"/>
      <c r="J132" s="524"/>
      <c r="K132" s="524"/>
    </row>
    <row r="133" spans="2:11" ht="15">
      <c r="B133" s="59"/>
      <c r="C133" s="73"/>
      <c r="D133" s="73"/>
      <c r="E133" s="73"/>
      <c r="F133" s="67"/>
      <c r="G133" s="67"/>
      <c r="H133" s="67"/>
      <c r="I133" s="67"/>
      <c r="J133" s="67"/>
      <c r="K133" s="67"/>
    </row>
    <row r="134" spans="2:11" ht="15">
      <c r="B134" s="11"/>
      <c r="C134" s="80"/>
      <c r="D134" s="81"/>
      <c r="E134" s="80" t="s">
        <v>312</v>
      </c>
      <c r="F134" s="1"/>
      <c r="G134" s="1"/>
      <c r="H134" s="1"/>
      <c r="I134" s="1"/>
      <c r="J134" s="1"/>
      <c r="K134" s="1"/>
    </row>
    <row r="135" spans="2:11" ht="15">
      <c r="B135" s="14"/>
      <c r="C135" s="80" t="s">
        <v>23</v>
      </c>
      <c r="D135" s="62" t="s">
        <v>253</v>
      </c>
      <c r="E135" s="81" t="s">
        <v>1045</v>
      </c>
      <c r="F135" s="81" t="s">
        <v>312</v>
      </c>
      <c r="G135" s="81" t="s">
        <v>313</v>
      </c>
      <c r="H135" s="81" t="s">
        <v>329</v>
      </c>
      <c r="I135" s="81" t="s">
        <v>332</v>
      </c>
      <c r="J135" s="81" t="s">
        <v>333</v>
      </c>
      <c r="K135" s="81" t="s">
        <v>1224</v>
      </c>
    </row>
    <row r="136" spans="2:11" ht="15.75" thickBot="1">
      <c r="B136" s="52"/>
      <c r="C136" s="83" t="s">
        <v>1</v>
      </c>
      <c r="D136" s="83" t="s">
        <v>1</v>
      </c>
      <c r="E136" s="83" t="s">
        <v>987</v>
      </c>
      <c r="F136" s="83" t="s">
        <v>24</v>
      </c>
      <c r="G136" s="83" t="s">
        <v>1045</v>
      </c>
      <c r="H136" s="83" t="s">
        <v>24</v>
      </c>
      <c r="I136" s="83" t="s">
        <v>24</v>
      </c>
      <c r="J136" s="83" t="s">
        <v>24</v>
      </c>
      <c r="K136" s="83" t="s">
        <v>24</v>
      </c>
    </row>
    <row r="137" spans="2:11" ht="15">
      <c r="B137" s="11"/>
      <c r="C137" s="57"/>
      <c r="D137" s="57"/>
      <c r="E137" s="57"/>
      <c r="F137" s="67"/>
      <c r="G137" s="67"/>
      <c r="H137" s="67"/>
      <c r="I137" s="67"/>
      <c r="J137" s="67"/>
      <c r="K137" s="67"/>
    </row>
    <row r="138" spans="2:11" ht="15">
      <c r="B138" s="53" t="s">
        <v>761</v>
      </c>
      <c r="C138" s="57"/>
      <c r="D138" s="57"/>
      <c r="E138" s="57"/>
      <c r="F138" s="67"/>
      <c r="G138" s="67"/>
      <c r="H138" s="67"/>
      <c r="I138" s="67"/>
      <c r="J138" s="67"/>
      <c r="K138" s="67"/>
    </row>
    <row r="139" spans="2:11" ht="20.100000000000001" customHeight="1">
      <c r="B139" s="21" t="s">
        <v>1057</v>
      </c>
      <c r="C139" s="2">
        <f>SUM('Budget Detail FY 2013-18'!N171:N179)</f>
        <v>2127332</v>
      </c>
      <c r="D139" s="2">
        <f>SUM('Budget Detail FY 2013-18'!O171:O179)</f>
        <v>2028011</v>
      </c>
      <c r="E139" s="2">
        <f>SUM('Budget Detail FY 2013-18'!P171:P179)</f>
        <v>2305500</v>
      </c>
      <c r="F139" s="2">
        <f>SUM('Budget Detail FY 2013-18'!Q171:Q179)</f>
        <v>2279500</v>
      </c>
      <c r="G139" s="2">
        <f>SUM('Budget Detail FY 2013-18'!R171:R179)</f>
        <v>2434547</v>
      </c>
      <c r="H139" s="2">
        <f>SUM('Budget Detail FY 2013-18'!S171:S179)</f>
        <v>2434547</v>
      </c>
      <c r="I139" s="2">
        <f>SUM('Budget Detail FY 2013-18'!T171:T179)</f>
        <v>2434547</v>
      </c>
      <c r="J139" s="2">
        <f>SUM('Budget Detail FY 2013-18'!U171:U179)</f>
        <v>2434547</v>
      </c>
      <c r="K139" s="2">
        <f>SUM('Budget Detail FY 2013-18'!V171:V179)</f>
        <v>2434547</v>
      </c>
    </row>
    <row r="140" spans="2:11" ht="20.100000000000001" customHeight="1">
      <c r="B140" s="21" t="s">
        <v>1058</v>
      </c>
      <c r="C140" s="2">
        <f>SUM('Budget Detail FY 2013-18'!N180:N186)</f>
        <v>507612</v>
      </c>
      <c r="D140" s="2">
        <f>SUM('Budget Detail FY 2013-18'!O180:O186)</f>
        <v>521435</v>
      </c>
      <c r="E140" s="2">
        <f>SUM('Budget Detail FY 2013-18'!P180:P186)</f>
        <v>1169457</v>
      </c>
      <c r="F140" s="2">
        <f>SUM('Budget Detail FY 2013-18'!Q180:Q186)</f>
        <v>1115046</v>
      </c>
      <c r="G140" s="2">
        <f>SUM('Budget Detail FY 2013-18'!R180:R186)</f>
        <v>1342880</v>
      </c>
      <c r="H140" s="2">
        <f>SUM('Budget Detail FY 2013-18'!S180:S186)</f>
        <v>1426028</v>
      </c>
      <c r="I140" s="2">
        <f>SUM('Budget Detail FY 2013-18'!T180:T186)</f>
        <v>1514987</v>
      </c>
      <c r="J140" s="2">
        <f>SUM('Budget Detail FY 2013-18'!U180:U186)</f>
        <v>1582213</v>
      </c>
      <c r="K140" s="2">
        <f>SUM('Budget Detail FY 2013-18'!V180:V186)</f>
        <v>1651971</v>
      </c>
    </row>
    <row r="141" spans="2:11" ht="20.100000000000001" customHeight="1">
      <c r="B141" s="21" t="s">
        <v>1059</v>
      </c>
      <c r="C141" s="2">
        <f>SUM('Budget Detail FY 2013-18'!N187:N204)</f>
        <v>131034</v>
      </c>
      <c r="D141" s="2">
        <f>SUM('Budget Detail FY 2013-18'!O187:O204)</f>
        <v>163951</v>
      </c>
      <c r="E141" s="2">
        <f>SUM('Budget Detail FY 2013-18'!P187:P204)</f>
        <v>213850</v>
      </c>
      <c r="F141" s="2">
        <f>SUM('Budget Detail FY 2013-18'!Q187:Q204)</f>
        <v>209180</v>
      </c>
      <c r="G141" s="2">
        <f>SUM('Budget Detail FY 2013-18'!R187:R204)</f>
        <v>209350</v>
      </c>
      <c r="H141" s="2">
        <f>SUM('Budget Detail FY 2013-18'!S187:S204)</f>
        <v>263006</v>
      </c>
      <c r="I141" s="2">
        <f>SUM('Budget Detail FY 2013-18'!T187:T204)</f>
        <v>287142</v>
      </c>
      <c r="J141" s="2">
        <f>SUM('Budget Detail FY 2013-18'!U187:U204)</f>
        <v>286142</v>
      </c>
      <c r="K141" s="2">
        <f>SUM('Budget Detail FY 2013-18'!V187:V204)</f>
        <v>287141</v>
      </c>
    </row>
    <row r="142" spans="2:11" ht="20.100000000000001" customHeight="1">
      <c r="B142" s="21" t="s">
        <v>1060</v>
      </c>
      <c r="C142" s="2">
        <f>SUM('Budget Detail FY 2013-18'!N205:N213)</f>
        <v>112842</v>
      </c>
      <c r="D142" s="2">
        <f>SUM('Budget Detail FY 2013-18'!O205:O213)</f>
        <v>133023</v>
      </c>
      <c r="E142" s="2">
        <f>SUM('Budget Detail FY 2013-18'!P205:P213)</f>
        <v>151770</v>
      </c>
      <c r="F142" s="2">
        <f>SUM('Budget Detail FY 2013-18'!Q205:Q213)</f>
        <v>138700</v>
      </c>
      <c r="G142" s="2">
        <f>SUM('Budget Detail FY 2013-18'!R205:R213)</f>
        <v>153270</v>
      </c>
      <c r="H142" s="2">
        <f>SUM('Budget Detail FY 2013-18'!S205:S213)</f>
        <v>159637</v>
      </c>
      <c r="I142" s="2">
        <f>SUM('Budget Detail FY 2013-18'!T205:T213)</f>
        <v>166449</v>
      </c>
      <c r="J142" s="2">
        <f>SUM('Budget Detail FY 2013-18'!U205:U213)</f>
        <v>173738</v>
      </c>
      <c r="K142" s="2">
        <f>SUM('Budget Detail FY 2013-18'!V205:V213)</f>
        <v>181537</v>
      </c>
    </row>
    <row r="143" spans="2:11" s="136" customFormat="1" ht="20.100000000000001" customHeight="1" thickBot="1">
      <c r="B143" s="137" t="s">
        <v>1233</v>
      </c>
      <c r="C143" s="99">
        <f t="shared" ref="C143:J143" si="8">SUM(C139:C142)</f>
        <v>2878820</v>
      </c>
      <c r="D143" s="99">
        <f t="shared" si="8"/>
        <v>2846420</v>
      </c>
      <c r="E143" s="99">
        <f>SUM(E139:E142)</f>
        <v>3840577</v>
      </c>
      <c r="F143" s="99">
        <f t="shared" si="8"/>
        <v>3742426</v>
      </c>
      <c r="G143" s="99">
        <f t="shared" si="8"/>
        <v>4140047</v>
      </c>
      <c r="H143" s="99">
        <f t="shared" si="8"/>
        <v>4283218</v>
      </c>
      <c r="I143" s="99">
        <f t="shared" si="8"/>
        <v>4403125</v>
      </c>
      <c r="J143" s="99">
        <f t="shared" si="8"/>
        <v>4476640</v>
      </c>
      <c r="K143" s="99">
        <f>SUM(K139:K142)</f>
        <v>4555196</v>
      </c>
    </row>
    <row r="144" spans="2:11" s="172" customFormat="1" ht="15.75" hidden="1" thickTop="1">
      <c r="B144" s="150"/>
      <c r="C144" s="171">
        <f>'Budget Detail FY 2013-18'!N214</f>
        <v>2878820</v>
      </c>
      <c r="D144" s="171">
        <f>'Budget Detail FY 2013-18'!O214</f>
        <v>2846420</v>
      </c>
      <c r="E144" s="171">
        <f>'Budget Detail FY 2013-18'!P214</f>
        <v>3840577</v>
      </c>
      <c r="F144" s="171">
        <f>'Budget Detail FY 2013-18'!Q214</f>
        <v>3742426</v>
      </c>
      <c r="G144" s="171">
        <f>'Budget Detail FY 2013-18'!R214</f>
        <v>4140047</v>
      </c>
      <c r="H144" s="171">
        <f>'Budget Detail FY 2013-18'!S214</f>
        <v>4283218</v>
      </c>
      <c r="I144" s="171">
        <f>'Budget Detail FY 2013-18'!T214</f>
        <v>4403125</v>
      </c>
      <c r="J144" s="171">
        <f>'Budget Detail FY 2013-18'!U214</f>
        <v>4476640</v>
      </c>
      <c r="K144" s="171">
        <f>'Budget Detail FY 2013-18'!V214</f>
        <v>4555196</v>
      </c>
    </row>
    <row r="145" spans="2:11" s="179" customFormat="1" ht="14.25" hidden="1">
      <c r="B145" s="156"/>
      <c r="C145" s="178">
        <f>C143-C144</f>
        <v>0</v>
      </c>
      <c r="D145" s="178">
        <f t="shared" ref="D145:K145" si="9">D143-D144</f>
        <v>0</v>
      </c>
      <c r="E145" s="178">
        <f t="shared" si="9"/>
        <v>0</v>
      </c>
      <c r="F145" s="178">
        <f t="shared" si="9"/>
        <v>0</v>
      </c>
      <c r="G145" s="178">
        <f t="shared" si="9"/>
        <v>0</v>
      </c>
      <c r="H145" s="178">
        <f t="shared" si="9"/>
        <v>0</v>
      </c>
      <c r="I145" s="178">
        <f t="shared" si="9"/>
        <v>0</v>
      </c>
      <c r="J145" s="178">
        <f t="shared" si="9"/>
        <v>0</v>
      </c>
      <c r="K145" s="178">
        <f t="shared" si="9"/>
        <v>0</v>
      </c>
    </row>
    <row r="146" spans="2:11" s="136" customFormat="1" ht="15" thickTop="1">
      <c r="B146" s="23"/>
      <c r="C146" s="169"/>
      <c r="D146" s="169"/>
      <c r="E146" s="169"/>
      <c r="F146" s="169"/>
      <c r="G146" s="169"/>
      <c r="H146" s="169"/>
      <c r="I146" s="169"/>
      <c r="J146" s="169"/>
      <c r="K146" s="169"/>
    </row>
    <row r="147" spans="2:11" ht="15">
      <c r="B147" s="11"/>
      <c r="C147" s="57"/>
      <c r="D147" s="57"/>
      <c r="E147" s="57"/>
      <c r="F147" s="67"/>
      <c r="G147" s="67"/>
      <c r="H147" s="67"/>
      <c r="I147" s="67"/>
      <c r="J147" s="67"/>
      <c r="K147" s="67"/>
    </row>
    <row r="148" spans="2:11" ht="15">
      <c r="B148" s="11"/>
      <c r="C148" s="57"/>
      <c r="D148" s="57"/>
      <c r="E148" s="57"/>
      <c r="F148" s="67"/>
      <c r="G148" s="67"/>
      <c r="H148" s="67"/>
      <c r="I148" s="67"/>
      <c r="J148" s="67"/>
      <c r="K148" s="67"/>
    </row>
    <row r="149" spans="2:11" ht="15">
      <c r="B149" s="11"/>
      <c r="C149" s="57"/>
      <c r="D149" s="57"/>
      <c r="E149" s="57"/>
      <c r="F149" s="67"/>
      <c r="G149" s="67"/>
      <c r="H149" s="67"/>
      <c r="I149" s="67"/>
      <c r="J149" s="67"/>
      <c r="K149" s="67"/>
    </row>
    <row r="150" spans="2:11" ht="15">
      <c r="B150" s="11"/>
      <c r="C150" s="57"/>
      <c r="D150" s="57"/>
      <c r="E150" s="57"/>
      <c r="F150" s="67"/>
      <c r="G150" s="67"/>
      <c r="H150" s="67"/>
      <c r="I150" s="67"/>
      <c r="J150" s="67"/>
      <c r="K150" s="67"/>
    </row>
    <row r="151" spans="2:11" ht="15">
      <c r="B151" s="11"/>
      <c r="C151" s="57"/>
      <c r="D151" s="57"/>
      <c r="E151" s="57"/>
      <c r="F151" s="67"/>
      <c r="G151" s="67"/>
      <c r="H151" s="67"/>
      <c r="I151" s="67"/>
      <c r="J151" s="67"/>
      <c r="K151" s="67"/>
    </row>
    <row r="152" spans="2:11" ht="15">
      <c r="B152" s="11"/>
      <c r="C152" s="57"/>
      <c r="D152" s="57"/>
      <c r="E152" s="57"/>
      <c r="F152" s="67"/>
      <c r="G152" s="67"/>
      <c r="H152" s="67"/>
      <c r="I152" s="67"/>
      <c r="J152" s="67"/>
      <c r="K152" s="67"/>
    </row>
    <row r="153" spans="2:11" ht="15">
      <c r="B153" s="11"/>
      <c r="C153" s="57"/>
      <c r="D153" s="57"/>
      <c r="E153" s="57"/>
      <c r="F153" s="67"/>
      <c r="G153" s="67"/>
      <c r="H153" s="67"/>
      <c r="I153" s="67"/>
      <c r="J153" s="67"/>
      <c r="K153" s="67"/>
    </row>
    <row r="154" spans="2:11" ht="15">
      <c r="B154" s="11"/>
      <c r="C154" s="57"/>
      <c r="D154" s="57"/>
      <c r="E154" s="57"/>
      <c r="F154" s="67"/>
      <c r="G154" s="67"/>
      <c r="H154" s="67"/>
      <c r="I154" s="67"/>
      <c r="J154" s="67"/>
      <c r="K154" s="67"/>
    </row>
    <row r="155" spans="2:11" ht="15">
      <c r="B155" s="11"/>
      <c r="C155" s="57"/>
      <c r="D155" s="57"/>
      <c r="E155" s="57"/>
      <c r="F155" s="67"/>
      <c r="G155" s="67"/>
      <c r="H155" s="67"/>
      <c r="I155" s="67"/>
      <c r="J155" s="67"/>
      <c r="K155" s="67"/>
    </row>
    <row r="156" spans="2:11" ht="15">
      <c r="B156" s="11"/>
      <c r="C156" s="57"/>
      <c r="D156" s="57"/>
      <c r="E156" s="57"/>
      <c r="F156" s="67"/>
      <c r="G156" s="67"/>
      <c r="H156" s="67"/>
      <c r="I156" s="67"/>
      <c r="J156" s="67"/>
      <c r="K156" s="67"/>
    </row>
    <row r="157" spans="2:11" ht="15">
      <c r="B157" s="11"/>
      <c r="C157" s="57"/>
      <c r="D157" s="57"/>
      <c r="E157" s="57"/>
      <c r="F157" s="67"/>
      <c r="G157" s="67"/>
      <c r="H157" s="67"/>
      <c r="I157" s="67"/>
      <c r="J157" s="67"/>
      <c r="K157" s="67"/>
    </row>
    <row r="158" spans="2:11" ht="15">
      <c r="B158" s="11"/>
      <c r="C158" s="57"/>
      <c r="D158" s="57"/>
      <c r="E158" s="57"/>
      <c r="F158" s="67"/>
      <c r="G158" s="67"/>
      <c r="H158" s="67"/>
      <c r="I158" s="67"/>
      <c r="J158" s="67"/>
      <c r="K158" s="67"/>
    </row>
    <row r="159" spans="2:11" ht="15">
      <c r="B159" s="11"/>
      <c r="C159" s="57"/>
      <c r="D159" s="57"/>
      <c r="E159" s="57"/>
      <c r="F159" s="67"/>
      <c r="G159" s="67"/>
      <c r="H159" s="67"/>
      <c r="I159" s="67"/>
      <c r="J159" s="67"/>
      <c r="K159" s="67"/>
    </row>
    <row r="160" spans="2:11" ht="15">
      <c r="B160" s="11"/>
      <c r="C160" s="57"/>
      <c r="D160" s="57"/>
      <c r="E160" s="57"/>
      <c r="F160" s="67"/>
      <c r="G160" s="67"/>
      <c r="H160" s="67"/>
      <c r="I160" s="67"/>
      <c r="J160" s="67"/>
      <c r="K160" s="67"/>
    </row>
    <row r="161" spans="2:11" ht="15">
      <c r="B161" s="11"/>
      <c r="C161" s="57"/>
      <c r="D161" s="57"/>
      <c r="E161" s="57"/>
      <c r="F161" s="67"/>
      <c r="G161" s="67"/>
      <c r="H161" s="67"/>
      <c r="I161" s="67"/>
      <c r="J161" s="67"/>
      <c r="K161" s="67"/>
    </row>
    <row r="162" spans="2:11" ht="15">
      <c r="B162" s="16"/>
      <c r="C162" s="29"/>
      <c r="D162" s="29"/>
      <c r="E162" s="29"/>
      <c r="F162" s="29"/>
      <c r="G162" s="29"/>
      <c r="H162" s="29"/>
      <c r="I162" s="29"/>
      <c r="J162" s="29"/>
      <c r="K162" s="29"/>
    </row>
    <row r="163" spans="2:11" ht="18.75" customHeight="1">
      <c r="B163" s="522" t="s">
        <v>1107</v>
      </c>
      <c r="C163" s="522"/>
      <c r="D163" s="522"/>
      <c r="E163" s="522"/>
      <c r="F163" s="522"/>
      <c r="G163" s="522"/>
      <c r="H163" s="522"/>
      <c r="I163" s="522"/>
      <c r="J163" s="522"/>
      <c r="K163" s="522"/>
    </row>
    <row r="164" spans="2:11" ht="15">
      <c r="B164" s="50"/>
      <c r="C164" s="67"/>
      <c r="D164" s="67"/>
      <c r="E164" s="67"/>
      <c r="F164" s="67"/>
      <c r="G164" s="67"/>
      <c r="H164" s="67"/>
      <c r="I164" s="67"/>
      <c r="J164" s="67"/>
      <c r="K164" s="67"/>
    </row>
    <row r="165" spans="2:11" ht="12.75" customHeight="1">
      <c r="B165" s="525" t="s">
        <v>1108</v>
      </c>
      <c r="C165" s="525"/>
      <c r="D165" s="525"/>
      <c r="E165" s="525"/>
      <c r="F165" s="525"/>
      <c r="G165" s="525"/>
      <c r="H165" s="525"/>
      <c r="I165" s="525"/>
      <c r="J165" s="525"/>
      <c r="K165" s="525"/>
    </row>
    <row r="166" spans="2:11" ht="12.75" customHeight="1">
      <c r="B166" s="525"/>
      <c r="C166" s="525"/>
      <c r="D166" s="525"/>
      <c r="E166" s="525"/>
      <c r="F166" s="525"/>
      <c r="G166" s="525"/>
      <c r="H166" s="525"/>
      <c r="I166" s="525"/>
      <c r="J166" s="525"/>
      <c r="K166" s="525"/>
    </row>
    <row r="167" spans="2:11" ht="12.75" customHeight="1">
      <c r="B167" s="525"/>
      <c r="C167" s="525"/>
      <c r="D167" s="525"/>
      <c r="E167" s="525"/>
      <c r="F167" s="525"/>
      <c r="G167" s="525"/>
      <c r="H167" s="525"/>
      <c r="I167" s="525"/>
      <c r="J167" s="525"/>
      <c r="K167" s="525"/>
    </row>
    <row r="168" spans="2:11" ht="12.75" customHeight="1">
      <c r="B168" s="525"/>
      <c r="C168" s="525"/>
      <c r="D168" s="525"/>
      <c r="E168" s="525"/>
      <c r="F168" s="525"/>
      <c r="G168" s="525"/>
      <c r="H168" s="525"/>
      <c r="I168" s="525"/>
      <c r="J168" s="525"/>
      <c r="K168" s="525"/>
    </row>
    <row r="169" spans="2:11" ht="15">
      <c r="B169" s="55"/>
      <c r="C169" s="70"/>
      <c r="D169" s="70"/>
      <c r="E169" s="70"/>
      <c r="F169" s="67"/>
      <c r="G169" s="67"/>
      <c r="H169" s="67"/>
      <c r="I169" s="67"/>
      <c r="J169" s="67"/>
      <c r="K169" s="67"/>
    </row>
    <row r="170" spans="2:11" ht="15">
      <c r="B170" s="11"/>
      <c r="C170" s="80"/>
      <c r="D170" s="81"/>
      <c r="E170" s="80" t="s">
        <v>312</v>
      </c>
      <c r="F170" s="1"/>
      <c r="G170" s="1"/>
      <c r="H170" s="1"/>
      <c r="I170" s="1"/>
      <c r="J170" s="1"/>
      <c r="K170" s="1"/>
    </row>
    <row r="171" spans="2:11" ht="15">
      <c r="B171" s="14"/>
      <c r="C171" s="80" t="s">
        <v>23</v>
      </c>
      <c r="D171" s="62" t="s">
        <v>253</v>
      </c>
      <c r="E171" s="81" t="s">
        <v>1045</v>
      </c>
      <c r="F171" s="81" t="s">
        <v>312</v>
      </c>
      <c r="G171" s="81" t="s">
        <v>313</v>
      </c>
      <c r="H171" s="81" t="s">
        <v>329</v>
      </c>
      <c r="I171" s="81" t="s">
        <v>332</v>
      </c>
      <c r="J171" s="81" t="s">
        <v>333</v>
      </c>
      <c r="K171" s="81" t="s">
        <v>1224</v>
      </c>
    </row>
    <row r="172" spans="2:11" ht="15.75" thickBot="1">
      <c r="B172" s="52"/>
      <c r="C172" s="83" t="s">
        <v>1</v>
      </c>
      <c r="D172" s="83" t="s">
        <v>1</v>
      </c>
      <c r="E172" s="83" t="s">
        <v>987</v>
      </c>
      <c r="F172" s="83" t="s">
        <v>24</v>
      </c>
      <c r="G172" s="83" t="s">
        <v>1045</v>
      </c>
      <c r="H172" s="83" t="s">
        <v>24</v>
      </c>
      <c r="I172" s="83" t="s">
        <v>24</v>
      </c>
      <c r="J172" s="83" t="s">
        <v>24</v>
      </c>
      <c r="K172" s="83" t="s">
        <v>24</v>
      </c>
    </row>
    <row r="173" spans="2:11" ht="15">
      <c r="B173" s="11"/>
      <c r="C173" s="57"/>
      <c r="D173" s="57"/>
      <c r="E173" s="57"/>
      <c r="F173" s="67"/>
      <c r="G173" s="67"/>
      <c r="H173" s="67"/>
      <c r="I173" s="67"/>
      <c r="J173" s="67"/>
      <c r="K173" s="67"/>
    </row>
    <row r="174" spans="2:11" ht="15">
      <c r="B174" s="53" t="s">
        <v>761</v>
      </c>
      <c r="C174" s="57"/>
      <c r="D174" s="57"/>
      <c r="E174" s="57"/>
      <c r="F174" s="67"/>
      <c r="G174" s="67"/>
      <c r="H174" s="67"/>
      <c r="I174" s="67"/>
      <c r="J174" s="67"/>
      <c r="K174" s="67"/>
    </row>
    <row r="175" spans="2:11" ht="20.100000000000001" customHeight="1">
      <c r="B175" s="21" t="s">
        <v>1057</v>
      </c>
      <c r="C175" s="2">
        <f>SUM('Budget Detail FY 2013-18'!N217:N218)</f>
        <v>269607</v>
      </c>
      <c r="D175" s="2">
        <f>SUM('Budget Detail FY 2013-18'!O217:O218)</f>
        <v>188249</v>
      </c>
      <c r="E175" s="2">
        <f>SUM('Budget Detail FY 2013-18'!P217:P218)</f>
        <v>248000</v>
      </c>
      <c r="F175" s="2">
        <f>SUM('Budget Detail FY 2013-18'!Q217:Q218)</f>
        <v>220000</v>
      </c>
      <c r="G175" s="2">
        <f>SUM('Budget Detail FY 2013-18'!R217:R218)</f>
        <v>225666</v>
      </c>
      <c r="H175" s="2">
        <f>SUM('Budget Detail FY 2013-18'!S217:S218)</f>
        <v>225666</v>
      </c>
      <c r="I175" s="2">
        <f>SUM('Budget Detail FY 2013-18'!T217:T218)</f>
        <v>225666</v>
      </c>
      <c r="J175" s="2">
        <f>SUM('Budget Detail FY 2013-18'!U217:U218)</f>
        <v>225666</v>
      </c>
      <c r="K175" s="2">
        <f>SUM('Budget Detail FY 2013-18'!V217:V218)</f>
        <v>225666</v>
      </c>
    </row>
    <row r="176" spans="2:11" ht="20.100000000000001" customHeight="1">
      <c r="B176" s="21" t="s">
        <v>1058</v>
      </c>
      <c r="C176" s="2">
        <f>SUM('Budget Detail FY 2013-18'!N219:N224)</f>
        <v>43761</v>
      </c>
      <c r="D176" s="2">
        <f>SUM('Budget Detail FY 2013-18'!O219:O224)</f>
        <v>31460</v>
      </c>
      <c r="E176" s="2">
        <f>SUM('Budget Detail FY 2013-18'!P219:P224)</f>
        <v>109797</v>
      </c>
      <c r="F176" s="2">
        <f>SUM('Budget Detail FY 2013-18'!Q219:Q224)</f>
        <v>92911</v>
      </c>
      <c r="G176" s="2">
        <f>SUM('Budget Detail FY 2013-18'!R219:R224)</f>
        <v>93377</v>
      </c>
      <c r="H176" s="2">
        <f>SUM('Budget Detail FY 2013-18'!S219:S224)</f>
        <v>98822</v>
      </c>
      <c r="I176" s="2">
        <f>SUM('Budget Detail FY 2013-18'!T219:T224)</f>
        <v>104811</v>
      </c>
      <c r="J176" s="2">
        <f>SUM('Budget Detail FY 2013-18'!U219:U224)</f>
        <v>108765</v>
      </c>
      <c r="K176" s="2">
        <f>SUM('Budget Detail FY 2013-18'!V219:V224)</f>
        <v>112954</v>
      </c>
    </row>
    <row r="177" spans="2:11" ht="20.100000000000001" customHeight="1">
      <c r="B177" s="21" t="s">
        <v>1059</v>
      </c>
      <c r="C177" s="2">
        <f>SUM('Budget Detail FY 2013-18'!N225:N236)</f>
        <v>69730</v>
      </c>
      <c r="D177" s="2">
        <f>SUM('Budget Detail FY 2013-18'!O225:O236)</f>
        <v>83661</v>
      </c>
      <c r="E177" s="2">
        <f>SUM('Budget Detail FY 2013-18'!P225:P236)</f>
        <v>92350</v>
      </c>
      <c r="F177" s="2">
        <f>SUM('Budget Detail FY 2013-18'!Q225:Q236)</f>
        <v>69717</v>
      </c>
      <c r="G177" s="2">
        <f>SUM('Budget Detail FY 2013-18'!R225:R236)</f>
        <v>81750</v>
      </c>
      <c r="H177" s="2">
        <f>SUM('Budget Detail FY 2013-18'!S225:S236)</f>
        <v>83622</v>
      </c>
      <c r="I177" s="2">
        <f>SUM('Budget Detail FY 2013-18'!T225:T236)</f>
        <v>85769</v>
      </c>
      <c r="J177" s="2">
        <f>SUM('Budget Detail FY 2013-18'!U225:U236)</f>
        <v>87794</v>
      </c>
      <c r="K177" s="2">
        <f>SUM('Budget Detail FY 2013-18'!V225:V236)</f>
        <v>89899</v>
      </c>
    </row>
    <row r="178" spans="2:11" ht="20.100000000000001" customHeight="1">
      <c r="B178" s="21" t="s">
        <v>1060</v>
      </c>
      <c r="C178" s="2">
        <f>SUM('Budget Detail FY 2013-18'!N237:N243)</f>
        <v>12193</v>
      </c>
      <c r="D178" s="2">
        <f>SUM('Budget Detail FY 2013-18'!O237:O243)</f>
        <v>3683</v>
      </c>
      <c r="E178" s="2">
        <f>SUM('Budget Detail FY 2013-18'!P237:P243)</f>
        <v>11279</v>
      </c>
      <c r="F178" s="2">
        <f>SUM('Budget Detail FY 2013-18'!Q237:Q243)</f>
        <v>16682</v>
      </c>
      <c r="G178" s="2">
        <f>SUM('Budget Detail FY 2013-18'!R237:R243)</f>
        <v>11535</v>
      </c>
      <c r="H178" s="2">
        <f>SUM('Budget Detail FY 2013-18'!S237:S243)</f>
        <v>11808</v>
      </c>
      <c r="I178" s="2">
        <f>SUM('Budget Detail FY 2013-18'!T237:T243)</f>
        <v>12101</v>
      </c>
      <c r="J178" s="2">
        <f>SUM('Budget Detail FY 2013-18'!U237:U243)</f>
        <v>12415</v>
      </c>
      <c r="K178" s="2">
        <f>SUM('Budget Detail FY 2013-18'!V237:V243)</f>
        <v>12750</v>
      </c>
    </row>
    <row r="179" spans="2:11" s="136" customFormat="1" ht="20.100000000000001" customHeight="1" thickBot="1">
      <c r="B179" s="137" t="s">
        <v>1109</v>
      </c>
      <c r="C179" s="99">
        <f t="shared" ref="C179:I179" si="10">SUM(C175:C178)</f>
        <v>395291</v>
      </c>
      <c r="D179" s="99">
        <f>SUM(D175:D178)</f>
        <v>307053</v>
      </c>
      <c r="E179" s="99">
        <f t="shared" si="10"/>
        <v>461426</v>
      </c>
      <c r="F179" s="99">
        <f t="shared" si="10"/>
        <v>399310</v>
      </c>
      <c r="G179" s="99">
        <f t="shared" si="10"/>
        <v>412328</v>
      </c>
      <c r="H179" s="99">
        <f t="shared" si="10"/>
        <v>419918</v>
      </c>
      <c r="I179" s="99">
        <f t="shared" si="10"/>
        <v>428347</v>
      </c>
      <c r="J179" s="99">
        <f>SUM(J175:J178)</f>
        <v>434640</v>
      </c>
      <c r="K179" s="99">
        <f>SUM(K175:K178)</f>
        <v>441269</v>
      </c>
    </row>
    <row r="180" spans="2:11" s="172" customFormat="1" ht="15.75" hidden="1" thickTop="1">
      <c r="B180" s="150"/>
      <c r="C180" s="171">
        <f>'Budget Detail FY 2013-18'!N244</f>
        <v>395291</v>
      </c>
      <c r="D180" s="171">
        <f>'Budget Detail FY 2013-18'!O244</f>
        <v>307053</v>
      </c>
      <c r="E180" s="171">
        <f>'Budget Detail FY 2013-18'!P244</f>
        <v>461426</v>
      </c>
      <c r="F180" s="171">
        <f>'Budget Detail FY 2013-18'!Q244</f>
        <v>399310</v>
      </c>
      <c r="G180" s="171">
        <f>'Budget Detail FY 2013-18'!R244</f>
        <v>412328</v>
      </c>
      <c r="H180" s="171">
        <f>'Budget Detail FY 2013-18'!S244</f>
        <v>419918</v>
      </c>
      <c r="I180" s="171">
        <f>'Budget Detail FY 2013-18'!T244</f>
        <v>428347</v>
      </c>
      <c r="J180" s="171">
        <f>'Budget Detail FY 2013-18'!U244</f>
        <v>434640</v>
      </c>
      <c r="K180" s="171">
        <f>'Budget Detail FY 2013-18'!V244</f>
        <v>441269</v>
      </c>
    </row>
    <row r="181" spans="2:11" s="179" customFormat="1" ht="14.25" hidden="1">
      <c r="B181" s="156"/>
      <c r="C181" s="178">
        <f>C179-C180</f>
        <v>0</v>
      </c>
      <c r="D181" s="178">
        <f t="shared" ref="D181:K181" si="11">D179-D180</f>
        <v>0</v>
      </c>
      <c r="E181" s="178">
        <f t="shared" si="11"/>
        <v>0</v>
      </c>
      <c r="F181" s="178">
        <f t="shared" si="11"/>
        <v>0</v>
      </c>
      <c r="G181" s="178">
        <f t="shared" si="11"/>
        <v>0</v>
      </c>
      <c r="H181" s="178">
        <f t="shared" si="11"/>
        <v>0</v>
      </c>
      <c r="I181" s="178">
        <f t="shared" si="11"/>
        <v>0</v>
      </c>
      <c r="J181" s="178">
        <f t="shared" si="11"/>
        <v>0</v>
      </c>
      <c r="K181" s="178">
        <f t="shared" si="11"/>
        <v>0</v>
      </c>
    </row>
    <row r="182" spans="2:11" s="136" customFormat="1" ht="15" thickTop="1">
      <c r="B182" s="23"/>
      <c r="C182" s="169"/>
      <c r="D182" s="169"/>
      <c r="E182" s="169"/>
      <c r="F182" s="169"/>
      <c r="G182" s="169"/>
      <c r="H182" s="169"/>
      <c r="I182" s="169"/>
      <c r="J182" s="169"/>
      <c r="K182" s="169"/>
    </row>
    <row r="183" spans="2:11" ht="15">
      <c r="B183" s="11"/>
      <c r="C183" s="57"/>
      <c r="D183" s="57"/>
      <c r="E183" s="57"/>
      <c r="F183" s="67"/>
      <c r="G183" s="67"/>
      <c r="H183" s="67"/>
      <c r="I183" s="67"/>
      <c r="J183" s="67"/>
      <c r="K183" s="67"/>
    </row>
    <row r="184" spans="2:11" ht="15">
      <c r="B184" s="11"/>
      <c r="C184" s="57"/>
      <c r="D184" s="57"/>
      <c r="E184" s="57"/>
      <c r="F184" s="67"/>
      <c r="G184" s="67"/>
      <c r="H184" s="67"/>
      <c r="I184" s="67"/>
      <c r="J184" s="67"/>
      <c r="K184" s="67"/>
    </row>
    <row r="185" spans="2:11" ht="15">
      <c r="B185" s="11"/>
      <c r="C185" s="57"/>
      <c r="D185" s="57"/>
      <c r="E185" s="57"/>
      <c r="F185" s="67"/>
      <c r="G185" s="67"/>
      <c r="H185" s="67"/>
      <c r="I185" s="67"/>
      <c r="J185" s="67"/>
      <c r="K185" s="67"/>
    </row>
    <row r="186" spans="2:11" ht="15">
      <c r="B186" s="11"/>
      <c r="C186" s="57"/>
      <c r="D186" s="57"/>
      <c r="E186" s="57"/>
      <c r="F186" s="67"/>
      <c r="G186" s="67"/>
      <c r="H186" s="67"/>
      <c r="I186" s="67"/>
      <c r="J186" s="67"/>
      <c r="K186" s="67"/>
    </row>
    <row r="187" spans="2:11" ht="15">
      <c r="B187" s="11"/>
      <c r="C187" s="57"/>
      <c r="D187" s="57"/>
      <c r="E187" s="57"/>
      <c r="F187" s="67"/>
      <c r="G187" s="67"/>
      <c r="H187" s="67"/>
      <c r="I187" s="67"/>
      <c r="J187" s="67"/>
      <c r="K187" s="67"/>
    </row>
    <row r="188" spans="2:11" ht="15">
      <c r="B188" s="11"/>
      <c r="C188" s="57"/>
      <c r="D188" s="57"/>
      <c r="E188" s="57"/>
      <c r="F188" s="67"/>
      <c r="G188" s="67"/>
      <c r="H188" s="67"/>
      <c r="I188" s="67"/>
      <c r="J188" s="67"/>
      <c r="K188" s="67"/>
    </row>
    <row r="189" spans="2:11" ht="15">
      <c r="B189" s="11"/>
      <c r="C189" s="57"/>
      <c r="D189" s="57"/>
      <c r="E189" s="57"/>
      <c r="F189" s="67"/>
      <c r="G189" s="67"/>
      <c r="H189" s="67"/>
      <c r="I189" s="67"/>
      <c r="J189" s="67"/>
      <c r="K189" s="67"/>
    </row>
    <row r="190" spans="2:11" ht="15">
      <c r="B190" s="11"/>
      <c r="C190" s="57"/>
      <c r="D190" s="57"/>
      <c r="E190" s="57"/>
      <c r="F190" s="67"/>
      <c r="G190" s="67"/>
      <c r="H190" s="67"/>
      <c r="I190" s="67"/>
      <c r="J190" s="67"/>
      <c r="K190" s="67"/>
    </row>
    <row r="191" spans="2:11" ht="15">
      <c r="B191" s="11"/>
      <c r="C191" s="57"/>
      <c r="D191" s="57"/>
      <c r="E191" s="57"/>
      <c r="F191" s="67"/>
      <c r="G191" s="67"/>
      <c r="H191" s="67"/>
      <c r="I191" s="67"/>
      <c r="J191" s="67"/>
      <c r="K191" s="67"/>
    </row>
    <row r="192" spans="2:11" ht="15">
      <c r="B192" s="11"/>
      <c r="C192" s="57"/>
      <c r="D192" s="57"/>
      <c r="E192" s="57"/>
      <c r="F192" s="67"/>
      <c r="G192" s="67"/>
      <c r="H192" s="67"/>
      <c r="I192" s="67"/>
      <c r="J192" s="67"/>
      <c r="K192" s="67"/>
    </row>
    <row r="193" spans="2:11" ht="15">
      <c r="B193" s="11"/>
      <c r="C193" s="57"/>
      <c r="D193" s="57"/>
      <c r="E193" s="57"/>
      <c r="F193" s="67"/>
      <c r="G193" s="67"/>
      <c r="H193" s="67"/>
      <c r="I193" s="67"/>
      <c r="J193" s="67"/>
      <c r="K193" s="67"/>
    </row>
    <row r="194" spans="2:11" ht="15">
      <c r="B194" s="11"/>
      <c r="C194" s="57"/>
      <c r="D194" s="57"/>
      <c r="E194" s="57"/>
      <c r="F194" s="67"/>
      <c r="G194" s="67"/>
      <c r="H194" s="67"/>
      <c r="I194" s="67"/>
      <c r="J194" s="67"/>
      <c r="K194" s="67"/>
    </row>
    <row r="195" spans="2:11" ht="15">
      <c r="B195" s="44"/>
      <c r="C195" s="29"/>
      <c r="D195" s="29"/>
      <c r="E195" s="29"/>
      <c r="F195" s="29"/>
      <c r="G195" s="29"/>
      <c r="H195" s="29"/>
      <c r="I195" s="29"/>
      <c r="J195" s="29"/>
      <c r="K195" s="29"/>
    </row>
    <row r="196" spans="2:11" ht="18.75" customHeight="1">
      <c r="B196" s="522" t="s">
        <v>1110</v>
      </c>
      <c r="C196" s="522"/>
      <c r="D196" s="522"/>
      <c r="E196" s="522"/>
      <c r="F196" s="522"/>
      <c r="G196" s="522"/>
      <c r="H196" s="522"/>
      <c r="I196" s="522"/>
      <c r="J196" s="522"/>
      <c r="K196" s="522"/>
    </row>
    <row r="197" spans="2:11" ht="15">
      <c r="B197" s="60"/>
      <c r="C197" s="74"/>
      <c r="D197" s="75"/>
      <c r="E197" s="75"/>
      <c r="F197" s="67"/>
      <c r="G197" s="67"/>
      <c r="H197" s="67"/>
      <c r="I197" s="67"/>
      <c r="J197" s="67"/>
      <c r="K197" s="67"/>
    </row>
    <row r="198" spans="2:11" ht="12.75" customHeight="1">
      <c r="B198" s="525" t="s">
        <v>1111</v>
      </c>
      <c r="C198" s="525"/>
      <c r="D198" s="525"/>
      <c r="E198" s="525"/>
      <c r="F198" s="525"/>
      <c r="G198" s="525"/>
      <c r="H198" s="525"/>
      <c r="I198" s="525"/>
      <c r="J198" s="525"/>
      <c r="K198" s="525"/>
    </row>
    <row r="199" spans="2:11" ht="17.25" customHeight="1">
      <c r="B199" s="525"/>
      <c r="C199" s="525"/>
      <c r="D199" s="525"/>
      <c r="E199" s="525"/>
      <c r="F199" s="525"/>
      <c r="G199" s="525"/>
      <c r="H199" s="525"/>
      <c r="I199" s="525"/>
      <c r="J199" s="525"/>
      <c r="K199" s="525"/>
    </row>
    <row r="200" spans="2:11" ht="15">
      <c r="B200" s="61"/>
      <c r="C200" s="76"/>
      <c r="D200" s="76"/>
      <c r="E200" s="76"/>
      <c r="F200" s="67"/>
      <c r="G200" s="67"/>
      <c r="H200" s="67"/>
      <c r="I200" s="67"/>
      <c r="J200" s="67"/>
      <c r="K200" s="67"/>
    </row>
    <row r="201" spans="2:11" ht="15">
      <c r="B201" s="11"/>
      <c r="C201" s="80"/>
      <c r="D201" s="81"/>
      <c r="E201" s="80" t="s">
        <v>312</v>
      </c>
      <c r="F201" s="1"/>
      <c r="G201" s="1"/>
      <c r="H201" s="1"/>
      <c r="I201" s="1"/>
      <c r="J201" s="1"/>
      <c r="K201" s="1"/>
    </row>
    <row r="202" spans="2:11" ht="15">
      <c r="B202" s="14"/>
      <c r="C202" s="80" t="s">
        <v>23</v>
      </c>
      <c r="D202" s="62" t="s">
        <v>253</v>
      </c>
      <c r="E202" s="81" t="s">
        <v>1045</v>
      </c>
      <c r="F202" s="81" t="s">
        <v>312</v>
      </c>
      <c r="G202" s="81" t="s">
        <v>313</v>
      </c>
      <c r="H202" s="81" t="s">
        <v>329</v>
      </c>
      <c r="I202" s="81" t="s">
        <v>332</v>
      </c>
      <c r="J202" s="81" t="s">
        <v>333</v>
      </c>
      <c r="K202" s="81" t="s">
        <v>1224</v>
      </c>
    </row>
    <row r="203" spans="2:11" ht="15.75" thickBot="1">
      <c r="B203" s="52"/>
      <c r="C203" s="83" t="s">
        <v>1</v>
      </c>
      <c r="D203" s="83" t="s">
        <v>1</v>
      </c>
      <c r="E203" s="83" t="s">
        <v>987</v>
      </c>
      <c r="F203" s="83" t="s">
        <v>24</v>
      </c>
      <c r="G203" s="83" t="s">
        <v>1045</v>
      </c>
      <c r="H203" s="83" t="s">
        <v>24</v>
      </c>
      <c r="I203" s="83" t="s">
        <v>24</v>
      </c>
      <c r="J203" s="83" t="s">
        <v>24</v>
      </c>
      <c r="K203" s="83" t="s">
        <v>24</v>
      </c>
    </row>
    <row r="204" spans="2:11" ht="15">
      <c r="B204" s="11"/>
      <c r="C204" s="57"/>
      <c r="D204" s="57"/>
      <c r="E204" s="57"/>
      <c r="F204" s="67"/>
      <c r="G204" s="67"/>
      <c r="H204" s="67"/>
      <c r="I204" s="67"/>
      <c r="J204" s="67"/>
      <c r="K204" s="67"/>
    </row>
    <row r="205" spans="2:11" ht="15">
      <c r="B205" s="53" t="s">
        <v>761</v>
      </c>
      <c r="C205" s="57"/>
      <c r="D205" s="57"/>
      <c r="E205" s="57"/>
      <c r="F205" s="67"/>
      <c r="G205" s="67"/>
      <c r="H205" s="67"/>
      <c r="I205" s="67"/>
      <c r="J205" s="67"/>
      <c r="K205" s="67"/>
    </row>
    <row r="206" spans="2:11" ht="20.100000000000001" customHeight="1">
      <c r="B206" s="21" t="s">
        <v>1057</v>
      </c>
      <c r="C206" s="2">
        <f>SUM('Budget Detail FY 2013-18'!N247:N248)</f>
        <v>295927</v>
      </c>
      <c r="D206" s="2">
        <f>SUM('Budget Detail FY 2013-18'!O247:O248)</f>
        <v>260348</v>
      </c>
      <c r="E206" s="2">
        <f>SUM('Budget Detail FY 2013-18'!P247:P248)</f>
        <v>295000</v>
      </c>
      <c r="F206" s="2">
        <f>SUM('Budget Detail FY 2013-18'!Q247:Q248)</f>
        <v>287000</v>
      </c>
      <c r="G206" s="2">
        <f>SUM('Budget Detail FY 2013-18'!R247:R248)</f>
        <v>327962</v>
      </c>
      <c r="H206" s="2">
        <f>SUM('Budget Detail FY 2013-18'!S247:S248)</f>
        <v>327962</v>
      </c>
      <c r="I206" s="2">
        <f>SUM('Budget Detail FY 2013-18'!T247:T248)</f>
        <v>327962</v>
      </c>
      <c r="J206" s="2">
        <f>SUM('Budget Detail FY 2013-18'!U247:U248)</f>
        <v>327962</v>
      </c>
      <c r="K206" s="2">
        <f>SUM('Budget Detail FY 2013-18'!V247:V248)</f>
        <v>327962</v>
      </c>
    </row>
    <row r="207" spans="2:11" ht="20.100000000000001" customHeight="1">
      <c r="B207" s="21" t="s">
        <v>1058</v>
      </c>
      <c r="C207" s="2">
        <f>SUM('Budget Detail FY 2013-18'!N249:N254)</f>
        <v>49515</v>
      </c>
      <c r="D207" s="2">
        <f>SUM('Budget Detail FY 2013-18'!O249:O254)</f>
        <v>44246</v>
      </c>
      <c r="E207" s="2">
        <f>SUM('Budget Detail FY 2013-18'!P249:P254)</f>
        <v>147530</v>
      </c>
      <c r="F207" s="2">
        <f>SUM('Budget Detail FY 2013-18'!Q249:Q254)</f>
        <v>150914</v>
      </c>
      <c r="G207" s="2">
        <f>SUM('Budget Detail FY 2013-18'!R249:R254)</f>
        <v>163688</v>
      </c>
      <c r="H207" s="2">
        <f>SUM('Budget Detail FY 2013-18'!S249:S254)</f>
        <v>173914</v>
      </c>
      <c r="I207" s="2">
        <f>SUM('Budget Detail FY 2013-18'!T249:T254)</f>
        <v>185162</v>
      </c>
      <c r="J207" s="2">
        <f>SUM('Budget Detail FY 2013-18'!U249:U254)</f>
        <v>192588</v>
      </c>
      <c r="K207" s="2">
        <f>SUM('Budget Detail FY 2013-18'!V249:V254)</f>
        <v>200459</v>
      </c>
    </row>
    <row r="208" spans="2:11" ht="20.100000000000001" customHeight="1">
      <c r="B208" s="21" t="s">
        <v>1059</v>
      </c>
      <c r="C208" s="2">
        <f>SUM('Budget Detail FY 2013-18'!N255:N266)+SUM('Budget Detail FY 2013-18'!N278:N280)</f>
        <v>1321931</v>
      </c>
      <c r="D208" s="2">
        <f>SUM('Budget Detail FY 2013-18'!O255:O266)+SUM('Budget Detail FY 2013-18'!O278:O280)</f>
        <v>1314041</v>
      </c>
      <c r="E208" s="2">
        <f>SUM('Budget Detail FY 2013-18'!P255:P266)+SUM('Budget Detail FY 2013-18'!P278:P280)</f>
        <v>1390020</v>
      </c>
      <c r="F208" s="2">
        <f>SUM('Budget Detail FY 2013-18'!Q255:Q266)+SUM('Budget Detail FY 2013-18'!Q278:Q280)</f>
        <v>1227880</v>
      </c>
      <c r="G208" s="2">
        <f>SUM('Budget Detail FY 2013-18'!R255:R266)+SUM('Budget Detail FY 2013-18'!R278:R280)</f>
        <v>1509250</v>
      </c>
      <c r="H208" s="2">
        <f>SUM('Budget Detail FY 2013-18'!S255:S266)+SUM('Budget Detail FY 2013-18'!S278:S280)</f>
        <v>1356020</v>
      </c>
      <c r="I208" s="2">
        <f>SUM('Budget Detail FY 2013-18'!T255:T266)+SUM('Budget Detail FY 2013-18'!T278:T280)</f>
        <v>1363901</v>
      </c>
      <c r="J208" s="2">
        <f>SUM('Budget Detail FY 2013-18'!U255:U266)+SUM('Budget Detail FY 2013-18'!U278:U280)</f>
        <v>1372052</v>
      </c>
      <c r="K208" s="2">
        <f>SUM('Budget Detail FY 2013-18'!V255:V266)+SUM('Budget Detail FY 2013-18'!V278:V280)</f>
        <v>1384484</v>
      </c>
    </row>
    <row r="209" spans="2:11" ht="20.100000000000001" customHeight="1">
      <c r="B209" s="21" t="s">
        <v>1060</v>
      </c>
      <c r="C209" s="2">
        <f>SUM('Budget Detail FY 2013-18'!N267:N274)</f>
        <v>121163</v>
      </c>
      <c r="D209" s="2">
        <f>SUM('Budget Detail FY 2013-18'!O267:O274)</f>
        <v>85167</v>
      </c>
      <c r="E209" s="2">
        <f>SUM('Budget Detail FY 2013-18'!P267:P274)</f>
        <v>87902</v>
      </c>
      <c r="F209" s="2">
        <f>SUM('Budget Detail FY 2013-18'!Q267:Q274)</f>
        <v>95950</v>
      </c>
      <c r="G209" s="2">
        <f>SUM('Budget Detail FY 2013-18'!R267:R274)</f>
        <v>104105</v>
      </c>
      <c r="H209" s="2">
        <f>SUM('Budget Detail FY 2013-18'!S267:S274)</f>
        <v>110902</v>
      </c>
      <c r="I209" s="2">
        <f>SUM('Budget Detail FY 2013-18'!T267:T274)</f>
        <v>115848</v>
      </c>
      <c r="J209" s="2">
        <f>SUM('Budget Detail FY 2013-18'!U267:U274)</f>
        <v>120956</v>
      </c>
      <c r="K209" s="2">
        <f>SUM('Budget Detail FY 2013-18'!V267:V274)</f>
        <v>123736</v>
      </c>
    </row>
    <row r="210" spans="2:11" s="136" customFormat="1" ht="20.100000000000001" customHeight="1" thickBot="1">
      <c r="B210" s="137" t="s">
        <v>1234</v>
      </c>
      <c r="C210" s="99">
        <f t="shared" ref="C210:K210" si="12">SUM(C206:C209)</f>
        <v>1788536</v>
      </c>
      <c r="D210" s="99">
        <f t="shared" si="12"/>
        <v>1703802</v>
      </c>
      <c r="E210" s="99">
        <f>SUM(E206:E209)</f>
        <v>1920452</v>
      </c>
      <c r="F210" s="99">
        <f t="shared" si="12"/>
        <v>1761744</v>
      </c>
      <c r="G210" s="99">
        <f t="shared" si="12"/>
        <v>2105005</v>
      </c>
      <c r="H210" s="99">
        <f t="shared" si="12"/>
        <v>1968798</v>
      </c>
      <c r="I210" s="99">
        <f t="shared" si="12"/>
        <v>1992873</v>
      </c>
      <c r="J210" s="99">
        <f t="shared" si="12"/>
        <v>2013558</v>
      </c>
      <c r="K210" s="99">
        <f t="shared" si="12"/>
        <v>2036641</v>
      </c>
    </row>
    <row r="211" spans="2:11" s="174" customFormat="1" ht="15" hidden="1" customHeight="1" thickTop="1">
      <c r="B211" s="173"/>
      <c r="C211" s="171">
        <f>'Budget Detail FY 2013-18'!N283</f>
        <v>1788536</v>
      </c>
      <c r="D211" s="171">
        <f>'Budget Detail FY 2013-18'!O283</f>
        <v>1703802</v>
      </c>
      <c r="E211" s="171">
        <f>'Budget Detail FY 2013-18'!P283</f>
        <v>1920452</v>
      </c>
      <c r="F211" s="171">
        <f>'Budget Detail FY 2013-18'!Q283</f>
        <v>1761744</v>
      </c>
      <c r="G211" s="171">
        <f>'Budget Detail FY 2013-18'!R283</f>
        <v>2105005</v>
      </c>
      <c r="H211" s="171">
        <f>'Budget Detail FY 2013-18'!S283</f>
        <v>1968798</v>
      </c>
      <c r="I211" s="171">
        <f>'Budget Detail FY 2013-18'!T283</f>
        <v>1992873</v>
      </c>
      <c r="J211" s="171">
        <f>'Budget Detail FY 2013-18'!U283</f>
        <v>2013558</v>
      </c>
      <c r="K211" s="171">
        <f>'Budget Detail FY 2013-18'!V283</f>
        <v>2036641</v>
      </c>
    </row>
    <row r="212" spans="2:11" s="182" customFormat="1" ht="15" hidden="1" customHeight="1">
      <c r="B212" s="180"/>
      <c r="C212" s="181">
        <f>C210-C211</f>
        <v>0</v>
      </c>
      <c r="D212" s="181">
        <f t="shared" ref="D212:K212" si="13">D210-D211</f>
        <v>0</v>
      </c>
      <c r="E212" s="181">
        <f t="shared" si="13"/>
        <v>0</v>
      </c>
      <c r="F212" s="181">
        <f t="shared" si="13"/>
        <v>0</v>
      </c>
      <c r="G212" s="181">
        <f t="shared" si="13"/>
        <v>0</v>
      </c>
      <c r="H212" s="181">
        <f t="shared" si="13"/>
        <v>0</v>
      </c>
      <c r="I212" s="181">
        <f t="shared" si="13"/>
        <v>0</v>
      </c>
      <c r="J212" s="181">
        <f t="shared" si="13"/>
        <v>0</v>
      </c>
      <c r="K212" s="181">
        <f t="shared" si="13"/>
        <v>0</v>
      </c>
    </row>
    <row r="213" spans="2:11" ht="12.75" customHeight="1" thickTop="1">
      <c r="B213" s="30"/>
      <c r="C213" s="69"/>
      <c r="D213" s="69"/>
      <c r="E213" s="69"/>
      <c r="F213" s="67"/>
      <c r="G213" s="67"/>
      <c r="H213" s="67"/>
      <c r="I213" s="67"/>
      <c r="J213" s="67"/>
      <c r="K213" s="67"/>
    </row>
    <row r="214" spans="2:11" ht="12.75" customHeight="1">
      <c r="B214" s="30"/>
      <c r="C214" s="69"/>
      <c r="D214" s="69"/>
      <c r="E214" s="69"/>
      <c r="F214" s="67"/>
      <c r="G214" s="67"/>
      <c r="H214" s="67"/>
      <c r="I214" s="67"/>
      <c r="J214" s="67"/>
      <c r="K214" s="67"/>
    </row>
    <row r="215" spans="2:11" ht="17.25" customHeight="1">
      <c r="B215" s="25"/>
      <c r="C215" s="57"/>
      <c r="D215" s="57"/>
      <c r="E215" s="57"/>
      <c r="F215" s="67"/>
      <c r="G215" s="67"/>
      <c r="H215" s="67"/>
      <c r="I215" s="67"/>
      <c r="J215" s="67"/>
      <c r="K215" s="67"/>
    </row>
    <row r="216" spans="2:11" ht="15">
      <c r="B216" s="25"/>
      <c r="C216" s="57"/>
      <c r="D216" s="57"/>
      <c r="E216" s="57"/>
      <c r="F216" s="67"/>
      <c r="G216" s="67"/>
      <c r="H216" s="67"/>
      <c r="I216" s="67"/>
      <c r="J216" s="67"/>
      <c r="K216" s="67"/>
    </row>
    <row r="217" spans="2:11" ht="15">
      <c r="B217" s="25"/>
      <c r="C217" s="57"/>
      <c r="D217" s="57"/>
      <c r="E217" s="57"/>
      <c r="F217" s="67"/>
      <c r="G217" s="67"/>
      <c r="H217" s="67"/>
      <c r="I217" s="67"/>
      <c r="J217" s="67"/>
      <c r="K217" s="67"/>
    </row>
    <row r="218" spans="2:11" ht="15">
      <c r="B218" s="25"/>
      <c r="C218" s="57"/>
      <c r="D218" s="57"/>
      <c r="E218" s="57"/>
      <c r="F218" s="67"/>
      <c r="G218" s="67"/>
      <c r="H218" s="67"/>
      <c r="I218" s="67"/>
      <c r="J218" s="67"/>
      <c r="K218" s="67"/>
    </row>
    <row r="219" spans="2:11" ht="15">
      <c r="B219" s="25"/>
      <c r="C219" s="57"/>
      <c r="D219" s="57"/>
      <c r="E219" s="57"/>
      <c r="F219" s="67"/>
      <c r="G219" s="67"/>
      <c r="H219" s="67"/>
      <c r="I219" s="67"/>
      <c r="J219" s="67"/>
      <c r="K219" s="67"/>
    </row>
    <row r="220" spans="2:11" ht="15">
      <c r="B220" s="25"/>
      <c r="C220" s="57"/>
      <c r="D220" s="57"/>
      <c r="E220" s="57"/>
      <c r="F220" s="67"/>
      <c r="G220" s="67"/>
      <c r="H220" s="67"/>
      <c r="I220" s="67"/>
      <c r="J220" s="67"/>
      <c r="K220" s="67"/>
    </row>
    <row r="221" spans="2:11" ht="15">
      <c r="B221" s="25"/>
      <c r="C221" s="57"/>
      <c r="D221" s="57"/>
      <c r="E221" s="57"/>
      <c r="F221" s="67"/>
      <c r="G221" s="67"/>
      <c r="H221" s="67"/>
      <c r="I221" s="67"/>
      <c r="J221" s="67"/>
      <c r="K221" s="67"/>
    </row>
    <row r="222" spans="2:11" ht="15">
      <c r="B222" s="25"/>
      <c r="C222" s="57"/>
      <c r="D222" s="57"/>
      <c r="E222" s="57"/>
      <c r="F222" s="67"/>
      <c r="G222" s="67"/>
      <c r="H222" s="67"/>
      <c r="I222" s="67"/>
      <c r="J222" s="67"/>
      <c r="K222" s="67"/>
    </row>
    <row r="223" spans="2:11" ht="15">
      <c r="B223" s="25"/>
      <c r="C223" s="57"/>
      <c r="D223" s="57"/>
      <c r="E223" s="57"/>
      <c r="F223" s="67"/>
      <c r="G223" s="67"/>
      <c r="H223" s="67"/>
      <c r="I223" s="67"/>
      <c r="J223" s="67"/>
      <c r="K223" s="67"/>
    </row>
    <row r="224" spans="2:11" ht="15">
      <c r="B224" s="25"/>
      <c r="C224" s="57"/>
      <c r="D224" s="57"/>
      <c r="E224" s="57"/>
      <c r="F224" s="67"/>
      <c r="G224" s="67"/>
      <c r="H224" s="67"/>
      <c r="I224" s="67"/>
      <c r="J224" s="67"/>
      <c r="K224" s="67"/>
    </row>
    <row r="225" spans="2:11" ht="15">
      <c r="B225" s="25"/>
      <c r="C225" s="57"/>
      <c r="D225" s="57"/>
      <c r="E225" s="57"/>
      <c r="F225" s="67"/>
      <c r="G225" s="67"/>
      <c r="H225" s="67"/>
      <c r="I225" s="67"/>
      <c r="J225" s="67"/>
      <c r="K225" s="67"/>
    </row>
    <row r="226" spans="2:11" ht="15">
      <c r="B226" s="25"/>
      <c r="C226" s="57"/>
      <c r="D226" s="57"/>
      <c r="E226" s="57"/>
      <c r="F226" s="67"/>
      <c r="G226" s="67"/>
      <c r="H226" s="67"/>
      <c r="I226" s="67"/>
      <c r="J226" s="67"/>
      <c r="K226" s="67"/>
    </row>
    <row r="227" spans="2:11" ht="15">
      <c r="B227" s="25"/>
      <c r="C227" s="57"/>
      <c r="D227" s="57"/>
      <c r="E227" s="57"/>
      <c r="F227" s="67"/>
      <c r="G227" s="67"/>
      <c r="H227" s="67"/>
      <c r="I227" s="67"/>
      <c r="J227" s="67"/>
      <c r="K227" s="67"/>
    </row>
    <row r="228" spans="2:11" ht="15">
      <c r="B228" s="25"/>
      <c r="C228" s="57"/>
      <c r="D228" s="57"/>
      <c r="E228" s="57"/>
      <c r="F228" s="67"/>
      <c r="G228" s="67"/>
      <c r="H228" s="67"/>
      <c r="I228" s="67"/>
      <c r="J228" s="67"/>
      <c r="K228" s="67"/>
    </row>
    <row r="229" spans="2:11" ht="15">
      <c r="B229" s="25"/>
      <c r="C229" s="57"/>
      <c r="D229" s="57"/>
      <c r="E229" s="57"/>
      <c r="F229" s="67"/>
      <c r="G229" s="67"/>
      <c r="H229" s="67"/>
      <c r="I229" s="67"/>
      <c r="J229" s="67"/>
      <c r="K229" s="67"/>
    </row>
    <row r="230" spans="2:11" ht="18.75" customHeight="1">
      <c r="B230" s="522" t="s">
        <v>1112</v>
      </c>
      <c r="C230" s="522"/>
      <c r="D230" s="522"/>
      <c r="E230" s="522"/>
      <c r="F230" s="522"/>
      <c r="G230" s="522"/>
      <c r="H230" s="522"/>
      <c r="I230" s="522"/>
      <c r="J230" s="522"/>
      <c r="K230" s="522"/>
    </row>
    <row r="231" spans="2:11" ht="15">
      <c r="B231" s="62"/>
      <c r="C231" s="67"/>
      <c r="D231" s="67"/>
      <c r="E231" s="67"/>
      <c r="F231" s="67"/>
      <c r="G231" s="67"/>
      <c r="H231" s="67"/>
      <c r="I231" s="67"/>
      <c r="J231" s="67"/>
      <c r="K231" s="67"/>
    </row>
    <row r="232" spans="2:11" ht="12.75" customHeight="1">
      <c r="B232" s="529" t="s">
        <v>1516</v>
      </c>
      <c r="C232" s="529"/>
      <c r="D232" s="529"/>
      <c r="E232" s="529"/>
      <c r="F232" s="529"/>
      <c r="G232" s="529"/>
      <c r="H232" s="529"/>
      <c r="I232" s="529"/>
      <c r="J232" s="529"/>
      <c r="K232" s="529"/>
    </row>
    <row r="233" spans="2:11" ht="19.5" customHeight="1">
      <c r="B233" s="529"/>
      <c r="C233" s="529"/>
      <c r="D233" s="529"/>
      <c r="E233" s="529"/>
      <c r="F233" s="529"/>
      <c r="G233" s="529"/>
      <c r="H233" s="529"/>
      <c r="I233" s="529"/>
      <c r="J233" s="529"/>
      <c r="K233" s="529"/>
    </row>
    <row r="234" spans="2:11" ht="15">
      <c r="B234" s="63"/>
      <c r="C234" s="77"/>
      <c r="D234" s="77"/>
      <c r="E234" s="77"/>
      <c r="F234" s="67"/>
      <c r="G234" s="67"/>
      <c r="H234" s="67"/>
      <c r="I234" s="67"/>
      <c r="J234" s="67"/>
      <c r="K234" s="67"/>
    </row>
    <row r="235" spans="2:11" ht="15">
      <c r="B235" s="64"/>
      <c r="C235" s="80"/>
      <c r="D235" s="81"/>
      <c r="E235" s="80" t="s">
        <v>312</v>
      </c>
      <c r="F235" s="1"/>
      <c r="G235" s="1"/>
      <c r="H235" s="1"/>
      <c r="I235" s="1"/>
      <c r="J235" s="1"/>
      <c r="K235" s="1"/>
    </row>
    <row r="236" spans="2:11" ht="15">
      <c r="B236" s="14"/>
      <c r="C236" s="80" t="s">
        <v>23</v>
      </c>
      <c r="D236" s="62" t="s">
        <v>253</v>
      </c>
      <c r="E236" s="81" t="s">
        <v>1045</v>
      </c>
      <c r="F236" s="81" t="s">
        <v>312</v>
      </c>
      <c r="G236" s="81" t="s">
        <v>313</v>
      </c>
      <c r="H236" s="81" t="s">
        <v>329</v>
      </c>
      <c r="I236" s="81" t="s">
        <v>332</v>
      </c>
      <c r="J236" s="81" t="s">
        <v>333</v>
      </c>
      <c r="K236" s="81" t="s">
        <v>1224</v>
      </c>
    </row>
    <row r="237" spans="2:11" ht="15.75" thickBot="1">
      <c r="B237" s="52"/>
      <c r="C237" s="83" t="s">
        <v>1</v>
      </c>
      <c r="D237" s="83" t="s">
        <v>1</v>
      </c>
      <c r="E237" s="83" t="s">
        <v>987</v>
      </c>
      <c r="F237" s="83" t="s">
        <v>24</v>
      </c>
      <c r="G237" s="83" t="s">
        <v>1045</v>
      </c>
      <c r="H237" s="83" t="s">
        <v>24</v>
      </c>
      <c r="I237" s="83" t="s">
        <v>24</v>
      </c>
      <c r="J237" s="83" t="s">
        <v>24</v>
      </c>
      <c r="K237" s="83" t="s">
        <v>24</v>
      </c>
    </row>
    <row r="238" spans="2:11" ht="15">
      <c r="B238" s="11"/>
      <c r="C238" s="57"/>
      <c r="D238" s="57"/>
      <c r="E238" s="57"/>
      <c r="F238" s="67"/>
      <c r="G238" s="67"/>
      <c r="H238" s="67"/>
      <c r="I238" s="67"/>
      <c r="J238" s="67"/>
      <c r="K238" s="67"/>
    </row>
    <row r="239" spans="2:11" ht="15">
      <c r="B239" s="53" t="s">
        <v>761</v>
      </c>
      <c r="C239" s="57"/>
      <c r="D239" s="57"/>
      <c r="E239" s="57"/>
      <c r="F239" s="67"/>
      <c r="G239" s="67"/>
      <c r="H239" s="67"/>
      <c r="I239" s="67"/>
      <c r="J239" s="67"/>
      <c r="K239" s="67"/>
    </row>
    <row r="240" spans="2:11" ht="20.100000000000001" customHeight="1">
      <c r="B240" s="22" t="s">
        <v>1057</v>
      </c>
      <c r="C240" s="2">
        <f>'Budget Detail FY 2013-18'!N286</f>
        <v>4432</v>
      </c>
      <c r="D240" s="2">
        <f>'Budget Detail FY 2013-18'!O286</f>
        <v>350</v>
      </c>
      <c r="E240" s="2">
        <f>'Budget Detail FY 2013-18'!P286</f>
        <v>5000</v>
      </c>
      <c r="F240" s="2">
        <f>'Budget Detail FY 2013-18'!Q286</f>
        <v>100</v>
      </c>
      <c r="G240" s="2">
        <f>'Budget Detail FY 2013-18'!R286</f>
        <v>500</v>
      </c>
      <c r="H240" s="2">
        <f>'Budget Detail FY 2013-18'!S286</f>
        <v>500</v>
      </c>
      <c r="I240" s="2">
        <f>'Budget Detail FY 2013-18'!T286</f>
        <v>500</v>
      </c>
      <c r="J240" s="2">
        <f>'Budget Detail FY 2013-18'!U286</f>
        <v>500</v>
      </c>
      <c r="K240" s="2">
        <f>'Budget Detail FY 2013-18'!V286</f>
        <v>500</v>
      </c>
    </row>
    <row r="241" spans="2:11" ht="20.100000000000001" customHeight="1">
      <c r="B241" s="22" t="s">
        <v>1058</v>
      </c>
      <c r="C241" s="2">
        <f>SUM('Budget Detail FY 2013-18'!N287:N300)</f>
        <v>1659479</v>
      </c>
      <c r="D241" s="2">
        <f>SUM('Budget Detail FY 2013-18'!O287:O300)</f>
        <v>1709445</v>
      </c>
      <c r="E241" s="2">
        <f>SUM('Budget Detail FY 2013-18'!P287:P300)</f>
        <v>562389</v>
      </c>
      <c r="F241" s="2">
        <f>SUM('Budget Detail FY 2013-18'!Q287:Q300)</f>
        <v>393290</v>
      </c>
      <c r="G241" s="2">
        <f>SUM('Budget Detail FY 2013-18'!R287:R300)</f>
        <v>352518</v>
      </c>
      <c r="H241" s="2">
        <f>SUM('Budget Detail FY 2013-18'!S287:S300)</f>
        <v>372817</v>
      </c>
      <c r="I241" s="2">
        <f>SUM('Budget Detail FY 2013-18'!T287:T300)</f>
        <v>394521</v>
      </c>
      <c r="J241" s="2">
        <f>SUM('Budget Detail FY 2013-18'!U287:U300)</f>
        <v>394677</v>
      </c>
      <c r="K241" s="2">
        <f>SUM('Budget Detail FY 2013-18'!V287:V300)</f>
        <v>415592</v>
      </c>
    </row>
    <row r="242" spans="2:11" ht="20.100000000000001" customHeight="1">
      <c r="B242" s="22" t="s">
        <v>1059</v>
      </c>
      <c r="C242" s="2">
        <f>SUM('Budget Detail FY 2013-18'!N301:N317)</f>
        <v>1713034</v>
      </c>
      <c r="D242" s="2">
        <f>SUM('Budget Detail FY 2013-18'!O301:O317)</f>
        <v>2186393</v>
      </c>
      <c r="E242" s="2">
        <f>SUM('Budget Detail FY 2013-18'!P301:P317)</f>
        <v>1895500</v>
      </c>
      <c r="F242" s="2">
        <f>SUM('Budget Detail FY 2013-18'!Q301:Q317)</f>
        <v>1917296</v>
      </c>
      <c r="G242" s="2">
        <f>SUM('Budget Detail FY 2013-18'!R301:R317)</f>
        <v>1889740</v>
      </c>
      <c r="H242" s="2">
        <f>SUM('Budget Detail FY 2013-18'!S301:S317)</f>
        <v>2107062</v>
      </c>
      <c r="I242" s="2">
        <f>SUM('Budget Detail FY 2013-18'!T301:T317)</f>
        <v>2184374</v>
      </c>
      <c r="J242" s="2">
        <f>SUM('Budget Detail FY 2013-18'!U301:U317)</f>
        <v>2262546</v>
      </c>
      <c r="K242" s="2">
        <f>SUM('Budget Detail FY 2013-18'!V301:V317)</f>
        <v>2337859</v>
      </c>
    </row>
    <row r="243" spans="2:11" ht="20.100000000000001" customHeight="1">
      <c r="B243" s="22" t="s">
        <v>1060</v>
      </c>
      <c r="C243" s="2">
        <f>'Budget Detail FY 2013-18'!N318</f>
        <v>0</v>
      </c>
      <c r="D243" s="2">
        <f>'Budget Detail FY 2013-18'!O318</f>
        <v>2910</v>
      </c>
      <c r="E243" s="2">
        <f>'Budget Detail FY 2013-18'!P318</f>
        <v>5000</v>
      </c>
      <c r="F243" s="2">
        <f>'Budget Detail FY 2013-18'!Q318</f>
        <v>12588</v>
      </c>
      <c r="G243" s="2">
        <f>'Budget Detail FY 2013-18'!R318</f>
        <v>5000</v>
      </c>
      <c r="H243" s="2">
        <f>'Budget Detail FY 2013-18'!S318</f>
        <v>5000</v>
      </c>
      <c r="I243" s="2">
        <f>'Budget Detail FY 2013-18'!T318</f>
        <v>5000</v>
      </c>
      <c r="J243" s="2">
        <f>'Budget Detail FY 2013-18'!U318</f>
        <v>5000</v>
      </c>
      <c r="K243" s="2">
        <f>'Budget Detail FY 2013-18'!V318</f>
        <v>5000</v>
      </c>
    </row>
    <row r="244" spans="2:11" ht="20.100000000000001" customHeight="1">
      <c r="B244" s="22" t="s">
        <v>1062</v>
      </c>
      <c r="C244" s="2">
        <f>'Budget Detail FY 2013-18'!N319</f>
        <v>75000</v>
      </c>
      <c r="D244" s="2">
        <f>'Budget Detail FY 2013-18'!O319</f>
        <v>52075</v>
      </c>
      <c r="E244" s="2">
        <f>'Budget Detail FY 2013-18'!P319</f>
        <v>50000</v>
      </c>
      <c r="F244" s="2">
        <f>'Budget Detail FY 2013-18'!Q319</f>
        <v>50000</v>
      </c>
      <c r="G244" s="2">
        <f>'Budget Detail FY 2013-18'!R319</f>
        <v>50000</v>
      </c>
      <c r="H244" s="2">
        <f>'Budget Detail FY 2013-18'!S319</f>
        <v>50000</v>
      </c>
      <c r="I244" s="2">
        <f>'Budget Detail FY 2013-18'!T319</f>
        <v>50000</v>
      </c>
      <c r="J244" s="2">
        <f>'Budget Detail FY 2013-18'!U319</f>
        <v>50000</v>
      </c>
      <c r="K244" s="2">
        <f>'Budget Detail FY 2013-18'!V319</f>
        <v>50000</v>
      </c>
    </row>
    <row r="245" spans="2:11" ht="20.100000000000001" customHeight="1">
      <c r="B245" s="22" t="s">
        <v>1063</v>
      </c>
      <c r="C245" s="2">
        <f>SUM('Budget Detail FY 2013-18'!N320:N325)</f>
        <v>1516778</v>
      </c>
      <c r="D245" s="2">
        <f>SUM('Budget Detail FY 2013-18'!O320:O325)</f>
        <v>1297950</v>
      </c>
      <c r="E245" s="2">
        <f>SUM('Budget Detail FY 2013-18'!P320:P325)</f>
        <v>1516661</v>
      </c>
      <c r="F245" s="2">
        <f>SUM('Budget Detail FY 2013-18'!Q320:Q325)</f>
        <v>1504683</v>
      </c>
      <c r="G245" s="2">
        <f>SUM('Budget Detail FY 2013-18'!R320:R325)</f>
        <v>3798673</v>
      </c>
      <c r="H245" s="2">
        <f>SUM('Budget Detail FY 2013-18'!S320:S325)</f>
        <v>2276458</v>
      </c>
      <c r="I245" s="2">
        <f>SUM('Budget Detail FY 2013-18'!T320:T325)</f>
        <v>2387916</v>
      </c>
      <c r="J245" s="2">
        <f>SUM('Budget Detail FY 2013-18'!U320:U325)</f>
        <v>3630415</v>
      </c>
      <c r="K245" s="2">
        <f>SUM('Budget Detail FY 2013-18'!V320:V325)</f>
        <v>2911434</v>
      </c>
    </row>
    <row r="246" spans="2:11" s="136" customFormat="1" ht="20.100000000000001" customHeight="1" thickBot="1">
      <c r="B246" s="138" t="s">
        <v>1235</v>
      </c>
      <c r="C246" s="99">
        <f t="shared" ref="C246:J246" si="14">SUM(C240:C245)</f>
        <v>4968723</v>
      </c>
      <c r="D246" s="99">
        <f t="shared" si="14"/>
        <v>5249123</v>
      </c>
      <c r="E246" s="99">
        <f t="shared" si="14"/>
        <v>4034550</v>
      </c>
      <c r="F246" s="99">
        <f>SUM(F240:F245)</f>
        <v>3877957</v>
      </c>
      <c r="G246" s="99">
        <f t="shared" si="14"/>
        <v>6096431</v>
      </c>
      <c r="H246" s="99">
        <f t="shared" si="14"/>
        <v>4811837</v>
      </c>
      <c r="I246" s="99">
        <f t="shared" si="14"/>
        <v>5022311</v>
      </c>
      <c r="J246" s="99">
        <f t="shared" si="14"/>
        <v>6343138</v>
      </c>
      <c r="K246" s="99">
        <f>SUM(K240:K245)</f>
        <v>5720385</v>
      </c>
    </row>
    <row r="247" spans="2:11" s="176" customFormat="1" ht="15.75" hidden="1" thickTop="1">
      <c r="B247" s="149"/>
      <c r="C247" s="175">
        <f>'Budget Detail FY 2013-18'!N326</f>
        <v>4968723</v>
      </c>
      <c r="D247" s="175">
        <f>'Budget Detail FY 2013-18'!O326</f>
        <v>5249123</v>
      </c>
      <c r="E247" s="175">
        <f>'Budget Detail FY 2013-18'!P326</f>
        <v>4034550</v>
      </c>
      <c r="F247" s="175">
        <f>'Budget Detail FY 2013-18'!Q326</f>
        <v>3877957</v>
      </c>
      <c r="G247" s="175">
        <f>'Budget Detail FY 2013-18'!R326</f>
        <v>6096431</v>
      </c>
      <c r="H247" s="175">
        <f>'Budget Detail FY 2013-18'!S326</f>
        <v>4811837</v>
      </c>
      <c r="I247" s="175">
        <f>'Budget Detail FY 2013-18'!T326</f>
        <v>5022311</v>
      </c>
      <c r="J247" s="175">
        <f>'Budget Detail FY 2013-18'!U326</f>
        <v>6343138</v>
      </c>
      <c r="K247" s="175">
        <f>'Budget Detail FY 2013-18'!V326</f>
        <v>5720385</v>
      </c>
    </row>
    <row r="248" spans="2:11" s="182" customFormat="1" ht="15" hidden="1">
      <c r="B248" s="155"/>
      <c r="C248" s="183">
        <f>C246-C247</f>
        <v>0</v>
      </c>
      <c r="D248" s="183">
        <f t="shared" ref="D248:K248" si="15">D246-D247</f>
        <v>0</v>
      </c>
      <c r="E248" s="183">
        <f t="shared" si="15"/>
        <v>0</v>
      </c>
      <c r="F248" s="183">
        <f t="shared" si="15"/>
        <v>0</v>
      </c>
      <c r="G248" s="183">
        <f t="shared" si="15"/>
        <v>0</v>
      </c>
      <c r="H248" s="183">
        <f t="shared" si="15"/>
        <v>0</v>
      </c>
      <c r="I248" s="183">
        <f t="shared" si="15"/>
        <v>0</v>
      </c>
      <c r="J248" s="183">
        <f t="shared" si="15"/>
        <v>0</v>
      </c>
      <c r="K248" s="183">
        <f t="shared" si="15"/>
        <v>0</v>
      </c>
    </row>
    <row r="249" spans="2:11" ht="15.75" thickTop="1">
      <c r="B249" s="11"/>
      <c r="C249" s="57"/>
      <c r="D249" s="57"/>
      <c r="E249" s="57"/>
      <c r="F249" s="67"/>
      <c r="G249" s="67"/>
      <c r="H249" s="67"/>
      <c r="I249" s="67"/>
      <c r="J249" s="67"/>
      <c r="K249" s="67"/>
    </row>
    <row r="250" spans="2:11" ht="15">
      <c r="B250" s="11"/>
      <c r="C250" s="57"/>
      <c r="D250" s="57"/>
      <c r="E250" s="57"/>
      <c r="F250" s="67"/>
      <c r="G250" s="67"/>
      <c r="H250" s="67"/>
      <c r="I250" s="67"/>
      <c r="J250" s="67"/>
      <c r="K250" s="67"/>
    </row>
    <row r="251" spans="2:11" ht="15">
      <c r="B251" s="11"/>
      <c r="C251" s="57"/>
      <c r="D251" s="57"/>
      <c r="E251" s="57"/>
      <c r="F251" s="67"/>
      <c r="G251" s="67"/>
      <c r="H251" s="67"/>
      <c r="I251" s="67"/>
      <c r="J251" s="67"/>
      <c r="K251" s="67"/>
    </row>
    <row r="252" spans="2:11" ht="15">
      <c r="B252" s="11"/>
      <c r="C252" s="57"/>
      <c r="D252" s="57"/>
      <c r="E252" s="57"/>
      <c r="F252" s="67"/>
      <c r="G252" s="67"/>
      <c r="H252" s="67"/>
      <c r="I252" s="67"/>
      <c r="J252" s="67"/>
      <c r="K252" s="67"/>
    </row>
    <row r="253" spans="2:11" ht="15">
      <c r="B253" s="11"/>
      <c r="C253" s="57"/>
      <c r="D253" s="57"/>
      <c r="E253" s="57"/>
      <c r="F253" s="67"/>
      <c r="G253" s="67"/>
      <c r="H253" s="67"/>
      <c r="I253" s="67"/>
      <c r="J253" s="67"/>
      <c r="K253" s="67"/>
    </row>
    <row r="254" spans="2:11" ht="15">
      <c r="B254" s="11"/>
      <c r="C254" s="57"/>
      <c r="D254" s="57"/>
      <c r="E254" s="57"/>
      <c r="F254" s="67"/>
      <c r="G254" s="67"/>
      <c r="H254" s="67"/>
      <c r="I254" s="67"/>
      <c r="J254" s="67"/>
      <c r="K254" s="67"/>
    </row>
    <row r="255" spans="2:11" ht="15">
      <c r="B255" s="11"/>
      <c r="C255" s="57"/>
      <c r="D255" s="57"/>
      <c r="E255" s="57"/>
      <c r="F255" s="67"/>
      <c r="G255" s="67"/>
      <c r="H255" s="67"/>
      <c r="I255" s="67"/>
      <c r="J255" s="67"/>
      <c r="K255" s="67"/>
    </row>
    <row r="256" spans="2:11" ht="12.75" customHeight="1">
      <c r="B256" s="11"/>
      <c r="C256" s="57"/>
      <c r="D256" s="57"/>
      <c r="E256" s="57"/>
      <c r="F256" s="67"/>
      <c r="G256" s="67"/>
      <c r="H256" s="67"/>
      <c r="I256" s="67"/>
      <c r="J256" s="67"/>
      <c r="K256" s="67"/>
    </row>
    <row r="257" spans="2:11" ht="18" customHeight="1">
      <c r="B257" s="11"/>
      <c r="C257" s="57"/>
      <c r="D257" s="57"/>
      <c r="E257" s="57"/>
      <c r="F257" s="67"/>
      <c r="G257" s="67"/>
      <c r="H257" s="67"/>
      <c r="I257" s="67"/>
      <c r="J257" s="67"/>
      <c r="K257" s="67"/>
    </row>
    <row r="258" spans="2:11" ht="15">
      <c r="B258" s="11"/>
      <c r="C258" s="57"/>
      <c r="D258" s="57"/>
      <c r="E258" s="57"/>
      <c r="F258" s="67"/>
      <c r="G258" s="67"/>
      <c r="H258" s="67"/>
      <c r="I258" s="67"/>
      <c r="J258" s="67"/>
      <c r="K258" s="67"/>
    </row>
    <row r="259" spans="2:11" ht="15">
      <c r="B259" s="11"/>
      <c r="C259" s="57"/>
      <c r="D259" s="57"/>
      <c r="E259" s="57"/>
      <c r="F259" s="67"/>
      <c r="G259" s="67"/>
      <c r="H259" s="67"/>
      <c r="I259" s="67"/>
      <c r="J259" s="67"/>
      <c r="K259" s="67"/>
    </row>
    <row r="260" spans="2:11" ht="15">
      <c r="B260" s="11"/>
      <c r="C260" s="57"/>
      <c r="D260" s="57"/>
      <c r="E260" s="57"/>
      <c r="F260" s="67"/>
      <c r="G260" s="67"/>
      <c r="H260" s="67"/>
      <c r="I260" s="67"/>
      <c r="J260" s="67"/>
      <c r="K260" s="67"/>
    </row>
    <row r="261" spans="2:11" ht="15">
      <c r="B261" s="11"/>
      <c r="C261" s="57"/>
      <c r="D261" s="57"/>
      <c r="E261" s="57"/>
      <c r="F261" s="67"/>
      <c r="G261" s="67"/>
      <c r="H261" s="67"/>
      <c r="I261" s="67"/>
      <c r="J261" s="67"/>
      <c r="K261" s="67"/>
    </row>
    <row r="262" spans="2:11" ht="15">
      <c r="B262" s="11"/>
      <c r="C262" s="57"/>
      <c r="D262" s="57"/>
      <c r="E262" s="57"/>
      <c r="F262" s="67"/>
      <c r="G262" s="67"/>
      <c r="H262" s="67"/>
      <c r="I262" s="67"/>
      <c r="J262" s="67"/>
      <c r="K262" s="67"/>
    </row>
    <row r="263" spans="2:11" ht="15">
      <c r="B263" s="11"/>
      <c r="C263" s="57"/>
      <c r="D263" s="57"/>
      <c r="E263" s="57"/>
      <c r="F263" s="67"/>
      <c r="G263" s="67"/>
      <c r="H263" s="67"/>
      <c r="I263" s="67"/>
      <c r="J263" s="67"/>
      <c r="K263" s="67"/>
    </row>
    <row r="264" spans="2:11" ht="15">
      <c r="B264" s="11"/>
      <c r="C264" s="57"/>
      <c r="D264" s="57"/>
      <c r="E264" s="57"/>
      <c r="F264" s="67"/>
      <c r="G264" s="67"/>
      <c r="H264" s="67"/>
      <c r="I264" s="67"/>
      <c r="J264" s="67"/>
      <c r="K264" s="67"/>
    </row>
    <row r="265" spans="2:11" s="176" customFormat="1" ht="15" hidden="1">
      <c r="B265" s="184"/>
      <c r="C265" s="185"/>
      <c r="D265" s="185"/>
      <c r="E265" s="185"/>
      <c r="F265" s="185"/>
      <c r="G265" s="185"/>
      <c r="H265" s="185"/>
      <c r="I265" s="185"/>
      <c r="J265" s="185"/>
      <c r="K265" s="185"/>
    </row>
    <row r="266" spans="2:11" s="176" customFormat="1" ht="15" hidden="1">
      <c r="B266" s="184" t="s">
        <v>1502</v>
      </c>
      <c r="C266" s="185">
        <f>C16+C50+C81+C112+C143+C179+C210+C246</f>
        <v>11296930</v>
      </c>
      <c r="D266" s="185">
        <f t="shared" ref="D266:K266" si="16">D16+D50+D81+D112+D143+D179+D210+D246</f>
        <v>10969330</v>
      </c>
      <c r="E266" s="185">
        <f t="shared" si="16"/>
        <v>11379867</v>
      </c>
      <c r="F266" s="185">
        <f t="shared" si="16"/>
        <v>10875236</v>
      </c>
      <c r="G266" s="185">
        <f t="shared" si="16"/>
        <v>13891560</v>
      </c>
      <c r="H266" s="185">
        <f t="shared" si="16"/>
        <v>12648275</v>
      </c>
      <c r="I266" s="185">
        <f t="shared" si="16"/>
        <v>13037173</v>
      </c>
      <c r="J266" s="185">
        <f t="shared" si="16"/>
        <v>14476325</v>
      </c>
      <c r="K266" s="185">
        <f t="shared" si="16"/>
        <v>13982166</v>
      </c>
    </row>
    <row r="267" spans="2:11" s="176" customFormat="1" ht="15" hidden="1">
      <c r="B267" s="184" t="s">
        <v>1503</v>
      </c>
      <c r="C267" s="185">
        <f>'Fund Cover Sheets'!C31</f>
        <v>11296930</v>
      </c>
      <c r="D267" s="185">
        <f>'Fund Cover Sheets'!D31</f>
        <v>10969330</v>
      </c>
      <c r="E267" s="185">
        <f>'Fund Cover Sheets'!E31</f>
        <v>11379867</v>
      </c>
      <c r="F267" s="185">
        <f>'Fund Cover Sheets'!F31</f>
        <v>10875236</v>
      </c>
      <c r="G267" s="185">
        <f>'Fund Cover Sheets'!G31</f>
        <v>13891560</v>
      </c>
      <c r="H267" s="185">
        <f>'Fund Cover Sheets'!H31</f>
        <v>12648275</v>
      </c>
      <c r="I267" s="185">
        <f>'Fund Cover Sheets'!I31</f>
        <v>13037173</v>
      </c>
      <c r="J267" s="185">
        <f>'Fund Cover Sheets'!J31</f>
        <v>14476325</v>
      </c>
      <c r="K267" s="185">
        <f>'Fund Cover Sheets'!K31</f>
        <v>13982166</v>
      </c>
    </row>
    <row r="268" spans="2:11" s="182" customFormat="1" ht="15" hidden="1">
      <c r="B268" s="186" t="s">
        <v>1445</v>
      </c>
      <c r="C268" s="162">
        <f>C266-C267</f>
        <v>0</v>
      </c>
      <c r="D268" s="162">
        <f t="shared" ref="D268:K268" si="17">D266-D267</f>
        <v>0</v>
      </c>
      <c r="E268" s="162">
        <f t="shared" si="17"/>
        <v>0</v>
      </c>
      <c r="F268" s="162">
        <f t="shared" si="17"/>
        <v>0</v>
      </c>
      <c r="G268" s="162">
        <f t="shared" si="17"/>
        <v>0</v>
      </c>
      <c r="H268" s="162">
        <f t="shared" si="17"/>
        <v>0</v>
      </c>
      <c r="I268" s="162">
        <f t="shared" si="17"/>
        <v>0</v>
      </c>
      <c r="J268" s="162">
        <f t="shared" si="17"/>
        <v>0</v>
      </c>
      <c r="K268" s="162">
        <f t="shared" si="17"/>
        <v>0</v>
      </c>
    </row>
    <row r="269" spans="2:11" ht="15">
      <c r="B269" s="16"/>
      <c r="C269" s="29"/>
      <c r="D269" s="29"/>
      <c r="E269" s="29"/>
      <c r="F269" s="29"/>
      <c r="G269" s="29"/>
      <c r="H269" s="29"/>
      <c r="I269" s="29"/>
      <c r="J269" s="29"/>
      <c r="K269" s="29"/>
    </row>
    <row r="270" spans="2:11" ht="15">
      <c r="B270" s="44"/>
      <c r="C270" s="29"/>
      <c r="D270" s="29"/>
      <c r="E270" s="29"/>
      <c r="F270" s="29"/>
      <c r="G270" s="29"/>
      <c r="H270" s="29"/>
      <c r="I270" s="29"/>
      <c r="J270" s="29"/>
      <c r="K270" s="29"/>
    </row>
    <row r="271" spans="2:11" ht="15">
      <c r="B271" s="22"/>
      <c r="C271" s="29"/>
      <c r="D271" s="29"/>
      <c r="E271" s="29"/>
      <c r="F271" s="29"/>
      <c r="G271" s="29"/>
      <c r="H271" s="29"/>
      <c r="I271" s="29"/>
      <c r="J271" s="29"/>
      <c r="K271" s="29"/>
    </row>
    <row r="272" spans="2:11" ht="15">
      <c r="B272" s="22"/>
      <c r="C272" s="29"/>
      <c r="D272" s="29"/>
      <c r="E272" s="29"/>
      <c r="F272" s="29"/>
      <c r="G272" s="29"/>
      <c r="H272" s="29"/>
      <c r="I272" s="29"/>
      <c r="J272" s="29"/>
      <c r="K272" s="29"/>
    </row>
    <row r="273" spans="2:11" ht="15">
      <c r="B273" s="22"/>
      <c r="C273" s="29"/>
      <c r="D273" s="29"/>
      <c r="E273" s="29"/>
      <c r="F273" s="29"/>
      <c r="G273" s="29"/>
      <c r="H273" s="29"/>
      <c r="I273" s="29"/>
      <c r="J273" s="29"/>
      <c r="K273" s="29"/>
    </row>
    <row r="274" spans="2:11" ht="15">
      <c r="B274" s="22"/>
      <c r="C274" s="29"/>
      <c r="D274" s="29"/>
      <c r="E274" s="29"/>
      <c r="F274" s="29"/>
      <c r="G274" s="29"/>
      <c r="H274" s="29"/>
      <c r="I274" s="29"/>
      <c r="J274" s="29"/>
      <c r="K274" s="29"/>
    </row>
    <row r="275" spans="2:11" ht="15">
      <c r="B275" s="23"/>
      <c r="C275" s="29"/>
      <c r="D275" s="29"/>
      <c r="E275" s="29"/>
      <c r="F275" s="29"/>
      <c r="G275" s="29"/>
      <c r="H275" s="29"/>
      <c r="I275" s="29"/>
      <c r="J275" s="29"/>
      <c r="K275" s="29"/>
    </row>
    <row r="276" spans="2:11" ht="15">
      <c r="B276" s="23"/>
      <c r="C276" s="29"/>
      <c r="D276" s="29"/>
      <c r="E276" s="29"/>
      <c r="F276" s="29"/>
      <c r="G276" s="29"/>
      <c r="H276" s="29"/>
      <c r="I276" s="29"/>
      <c r="J276" s="29"/>
      <c r="K276" s="29"/>
    </row>
    <row r="277" spans="2:11" ht="15">
      <c r="B277" s="24"/>
      <c r="C277" s="29"/>
      <c r="D277" s="29"/>
      <c r="E277" s="29"/>
      <c r="F277" s="29"/>
      <c r="G277" s="29"/>
      <c r="H277" s="29"/>
      <c r="I277" s="29"/>
      <c r="J277" s="29"/>
      <c r="K277" s="29"/>
    </row>
    <row r="278" spans="2:11" ht="15">
      <c r="B278" s="24"/>
      <c r="C278" s="29"/>
      <c r="D278" s="29"/>
      <c r="E278" s="29"/>
      <c r="F278" s="29"/>
      <c r="G278" s="29"/>
      <c r="H278" s="29"/>
      <c r="I278" s="29"/>
      <c r="J278" s="29"/>
      <c r="K278" s="29"/>
    </row>
    <row r="279" spans="2:11" ht="15">
      <c r="B279" s="44"/>
      <c r="C279" s="29"/>
      <c r="D279" s="29"/>
      <c r="E279" s="29"/>
      <c r="F279" s="29"/>
      <c r="G279" s="29"/>
      <c r="H279" s="29"/>
      <c r="I279" s="29"/>
      <c r="J279" s="29"/>
      <c r="K279" s="29"/>
    </row>
    <row r="280" spans="2:11" ht="15">
      <c r="B280" s="25"/>
      <c r="C280" s="29"/>
      <c r="D280" s="29"/>
      <c r="E280" s="29"/>
      <c r="F280" s="29"/>
      <c r="G280" s="29"/>
      <c r="H280" s="29"/>
      <c r="I280" s="29"/>
      <c r="J280" s="29"/>
      <c r="K280" s="29"/>
    </row>
    <row r="281" spans="2:11" ht="15">
      <c r="B281" s="25"/>
      <c r="C281" s="29"/>
      <c r="D281" s="29"/>
      <c r="E281" s="29"/>
      <c r="F281" s="29"/>
      <c r="G281" s="29"/>
      <c r="H281" s="29"/>
      <c r="I281" s="29"/>
      <c r="J281" s="29"/>
      <c r="K281" s="29"/>
    </row>
    <row r="282" spans="2:11" ht="15">
      <c r="B282" s="16"/>
      <c r="C282" s="29"/>
      <c r="D282" s="29"/>
      <c r="E282" s="29"/>
      <c r="F282" s="29"/>
      <c r="G282" s="29"/>
      <c r="H282" s="29"/>
      <c r="I282" s="29"/>
      <c r="J282" s="29"/>
      <c r="K282" s="29"/>
    </row>
    <row r="283" spans="2:11" ht="15">
      <c r="B283" s="16"/>
      <c r="C283" s="29"/>
      <c r="D283" s="29"/>
      <c r="E283" s="29"/>
      <c r="F283" s="29"/>
      <c r="G283" s="29"/>
      <c r="H283" s="29"/>
      <c r="I283" s="29"/>
      <c r="J283" s="29"/>
      <c r="K283" s="29"/>
    </row>
    <row r="284" spans="2:11" ht="15">
      <c r="B284" s="16"/>
      <c r="C284" s="29"/>
      <c r="D284" s="29"/>
      <c r="E284" s="29"/>
      <c r="F284" s="29"/>
      <c r="G284" s="29"/>
      <c r="H284" s="29"/>
      <c r="I284" s="29"/>
      <c r="J284" s="29"/>
      <c r="K284" s="29"/>
    </row>
    <row r="285" spans="2:11" ht="15">
      <c r="B285" s="16"/>
      <c r="C285" s="29"/>
      <c r="D285" s="29"/>
      <c r="E285" s="29"/>
      <c r="F285" s="29"/>
      <c r="G285" s="29"/>
      <c r="H285" s="29"/>
      <c r="I285" s="29"/>
      <c r="J285" s="29"/>
      <c r="K285" s="29"/>
    </row>
    <row r="286" spans="2:11" ht="15">
      <c r="B286" s="16"/>
      <c r="C286" s="29"/>
      <c r="D286" s="29"/>
      <c r="E286" s="29"/>
      <c r="F286" s="29"/>
      <c r="G286" s="29"/>
      <c r="H286" s="29"/>
      <c r="I286" s="29"/>
      <c r="J286" s="29"/>
      <c r="K286" s="29"/>
    </row>
    <row r="287" spans="2:11" ht="15">
      <c r="B287" s="16"/>
      <c r="C287" s="29"/>
      <c r="D287" s="29"/>
      <c r="E287" s="29"/>
      <c r="F287" s="29"/>
      <c r="G287" s="29"/>
      <c r="H287" s="29"/>
      <c r="I287" s="29"/>
      <c r="J287" s="29"/>
      <c r="K287" s="29"/>
    </row>
    <row r="288" spans="2:11" ht="15">
      <c r="B288" s="16"/>
      <c r="C288" s="29"/>
      <c r="D288" s="29"/>
      <c r="E288" s="29"/>
      <c r="F288" s="29"/>
      <c r="G288" s="29"/>
      <c r="H288" s="29"/>
      <c r="I288" s="29"/>
      <c r="J288" s="29"/>
      <c r="K288" s="29"/>
    </row>
    <row r="289" spans="2:11" ht="15">
      <c r="B289" s="16"/>
      <c r="C289" s="29"/>
      <c r="D289" s="29"/>
      <c r="E289" s="29"/>
      <c r="F289" s="29"/>
      <c r="G289" s="29"/>
      <c r="H289" s="29"/>
      <c r="I289" s="29"/>
      <c r="J289" s="29"/>
      <c r="K289" s="29"/>
    </row>
    <row r="290" spans="2:11" ht="15">
      <c r="B290" s="16"/>
      <c r="C290" s="29"/>
      <c r="D290" s="29"/>
      <c r="E290" s="29"/>
      <c r="F290" s="29"/>
      <c r="G290" s="29"/>
      <c r="H290" s="29"/>
      <c r="I290" s="29"/>
      <c r="J290" s="29"/>
      <c r="K290" s="29"/>
    </row>
    <row r="291" spans="2:11" ht="15">
      <c r="B291" s="16"/>
      <c r="C291" s="29"/>
      <c r="D291" s="29"/>
      <c r="E291" s="29"/>
      <c r="F291" s="29"/>
      <c r="G291" s="29"/>
      <c r="H291" s="29"/>
      <c r="I291" s="29"/>
      <c r="J291" s="29"/>
      <c r="K291" s="29"/>
    </row>
    <row r="294" spans="2:11" ht="18.75">
      <c r="B294" s="527"/>
      <c r="C294" s="527"/>
      <c r="D294" s="527"/>
      <c r="E294" s="527"/>
      <c r="F294" s="527"/>
      <c r="G294" s="527"/>
      <c r="H294" s="527"/>
      <c r="I294" s="527"/>
      <c r="J294" s="527"/>
      <c r="K294" s="37"/>
    </row>
    <row r="295" spans="2:11" ht="15">
      <c r="B295" s="38"/>
      <c r="C295" s="29"/>
      <c r="D295" s="29"/>
      <c r="E295" s="29"/>
      <c r="F295" s="29"/>
      <c r="G295" s="29"/>
      <c r="H295" s="29"/>
      <c r="I295" s="29"/>
      <c r="J295" s="29"/>
      <c r="K295" s="29"/>
    </row>
    <row r="296" spans="2:11">
      <c r="B296" s="526"/>
      <c r="C296" s="526"/>
      <c r="D296" s="526"/>
      <c r="E296" s="526"/>
      <c r="F296" s="526"/>
      <c r="G296" s="526"/>
      <c r="H296" s="526"/>
      <c r="I296" s="526"/>
      <c r="J296" s="526"/>
      <c r="K296" s="37"/>
    </row>
    <row r="297" spans="2:11" ht="20.25" customHeight="1">
      <c r="B297" s="526"/>
      <c r="C297" s="526"/>
      <c r="D297" s="526"/>
      <c r="E297" s="526"/>
      <c r="F297" s="526"/>
      <c r="G297" s="526"/>
      <c r="H297" s="526"/>
      <c r="I297" s="526"/>
      <c r="J297" s="526"/>
      <c r="K297" s="37"/>
    </row>
    <row r="298" spans="2:11" ht="15">
      <c r="B298" s="39"/>
      <c r="C298" s="40"/>
      <c r="D298" s="40"/>
      <c r="E298" s="40"/>
      <c r="F298" s="40"/>
      <c r="G298" s="40"/>
      <c r="H298" s="29"/>
      <c r="I298" s="29"/>
      <c r="J298" s="29"/>
      <c r="K298" s="29"/>
    </row>
    <row r="299" spans="2:11" ht="15">
      <c r="B299" s="41"/>
      <c r="C299" s="29"/>
      <c r="D299" s="32"/>
      <c r="E299" s="32"/>
      <c r="F299" s="32"/>
      <c r="G299" s="29"/>
      <c r="H299" s="29"/>
      <c r="I299" s="29"/>
      <c r="J299" s="29"/>
      <c r="K299" s="29"/>
    </row>
    <row r="300" spans="2:11" ht="15">
      <c r="B300" s="30"/>
      <c r="C300" s="32"/>
      <c r="D300" s="32"/>
      <c r="E300" s="32"/>
      <c r="F300" s="32"/>
      <c r="G300" s="32"/>
      <c r="H300" s="32"/>
      <c r="I300" s="32"/>
      <c r="J300" s="32"/>
      <c r="K300" s="32"/>
    </row>
    <row r="301" spans="2:11" ht="15">
      <c r="B301" s="16"/>
      <c r="C301" s="32"/>
      <c r="D301" s="32"/>
      <c r="E301" s="43"/>
      <c r="F301" s="43"/>
      <c r="G301" s="43"/>
      <c r="H301" s="43"/>
      <c r="I301" s="43"/>
      <c r="J301" s="43"/>
      <c r="K301" s="43"/>
    </row>
    <row r="302" spans="2:11" ht="15">
      <c r="B302" s="16"/>
      <c r="C302" s="32"/>
      <c r="D302" s="29"/>
      <c r="E302" s="29"/>
      <c r="F302" s="29"/>
      <c r="G302" s="29"/>
      <c r="H302" s="29"/>
      <c r="I302" s="29"/>
      <c r="J302" s="29"/>
      <c r="K302" s="29"/>
    </row>
    <row r="303" spans="2:11" ht="15">
      <c r="B303" s="44"/>
      <c r="C303" s="29"/>
      <c r="D303" s="29"/>
      <c r="E303" s="29"/>
      <c r="F303" s="29"/>
      <c r="G303" s="29"/>
      <c r="H303" s="29"/>
      <c r="I303" s="29"/>
      <c r="J303" s="29"/>
      <c r="K303" s="29"/>
    </row>
    <row r="304" spans="2:11" ht="15">
      <c r="B304" s="46"/>
      <c r="C304" s="29"/>
      <c r="D304" s="29"/>
      <c r="E304" s="29"/>
      <c r="F304" s="29"/>
      <c r="G304" s="29"/>
      <c r="H304" s="29"/>
      <c r="I304" s="29"/>
      <c r="J304" s="29"/>
      <c r="K304" s="29"/>
    </row>
    <row r="305" spans="2:11" ht="15">
      <c r="B305" s="46"/>
      <c r="C305" s="29"/>
      <c r="D305" s="29"/>
      <c r="E305" s="29"/>
      <c r="F305" s="29"/>
      <c r="G305" s="29"/>
      <c r="H305" s="29"/>
      <c r="I305" s="29"/>
      <c r="J305" s="29"/>
      <c r="K305" s="29"/>
    </row>
    <row r="306" spans="2:11" ht="15">
      <c r="B306" s="46"/>
      <c r="C306" s="29"/>
      <c r="D306" s="29"/>
      <c r="E306" s="29"/>
      <c r="F306" s="29"/>
      <c r="G306" s="29"/>
      <c r="H306" s="29"/>
      <c r="I306" s="29"/>
      <c r="J306" s="29"/>
      <c r="K306" s="29"/>
    </row>
    <row r="307" spans="2:11" ht="15">
      <c r="B307" s="46"/>
      <c r="C307" s="29"/>
      <c r="D307" s="29"/>
      <c r="E307" s="29"/>
      <c r="F307" s="29"/>
      <c r="G307" s="29"/>
      <c r="H307" s="29"/>
      <c r="I307" s="29"/>
      <c r="J307" s="29"/>
      <c r="K307" s="29"/>
    </row>
    <row r="308" spans="2:11" ht="15">
      <c r="B308" s="23"/>
      <c r="C308" s="29"/>
      <c r="D308" s="29"/>
      <c r="E308" s="29"/>
      <c r="F308" s="29"/>
      <c r="G308" s="29"/>
      <c r="H308" s="29"/>
      <c r="I308" s="29"/>
      <c r="J308" s="29"/>
      <c r="K308" s="29"/>
    </row>
    <row r="309" spans="2:11" ht="15">
      <c r="B309" s="16"/>
      <c r="C309" s="29"/>
      <c r="D309" s="29"/>
      <c r="E309" s="29"/>
      <c r="F309" s="29"/>
      <c r="G309" s="29"/>
      <c r="H309" s="29"/>
      <c r="I309" s="29"/>
      <c r="J309" s="29"/>
      <c r="K309" s="29"/>
    </row>
    <row r="310" spans="2:11" ht="15">
      <c r="B310" s="44"/>
      <c r="C310" s="29"/>
      <c r="D310" s="29"/>
      <c r="E310" s="29"/>
      <c r="F310" s="29"/>
      <c r="G310" s="29"/>
      <c r="H310" s="29"/>
      <c r="I310" s="29"/>
      <c r="J310" s="29"/>
      <c r="K310" s="29"/>
    </row>
    <row r="311" spans="2:11" ht="15">
      <c r="B311" s="22"/>
      <c r="C311" s="29"/>
      <c r="D311" s="29"/>
      <c r="E311" s="29"/>
      <c r="F311" s="29"/>
      <c r="G311" s="29"/>
      <c r="H311" s="29"/>
      <c r="I311" s="29"/>
      <c r="J311" s="29"/>
      <c r="K311" s="29"/>
    </row>
    <row r="312" spans="2:11" ht="15">
      <c r="B312" s="22"/>
      <c r="C312" s="29"/>
      <c r="D312" s="29"/>
      <c r="E312" s="29"/>
      <c r="F312" s="29"/>
      <c r="G312" s="29"/>
      <c r="H312" s="29"/>
      <c r="I312" s="29"/>
      <c r="J312" s="29"/>
      <c r="K312" s="29"/>
    </row>
    <row r="313" spans="2:11" ht="15">
      <c r="B313" s="23"/>
      <c r="C313" s="29"/>
      <c r="D313" s="29"/>
      <c r="E313" s="29"/>
      <c r="F313" s="29"/>
      <c r="G313" s="29"/>
      <c r="H313" s="29"/>
      <c r="I313" s="29"/>
      <c r="J313" s="29"/>
      <c r="K313" s="29"/>
    </row>
    <row r="314" spans="2:11" ht="15">
      <c r="B314" s="23"/>
      <c r="C314" s="29"/>
      <c r="D314" s="29"/>
      <c r="E314" s="29"/>
      <c r="F314" s="29"/>
      <c r="G314" s="29"/>
      <c r="H314" s="29"/>
      <c r="I314" s="29"/>
      <c r="J314" s="29"/>
      <c r="K314" s="29"/>
    </row>
    <row r="315" spans="2:11" ht="15">
      <c r="B315" s="24"/>
      <c r="C315" s="29"/>
      <c r="D315" s="29"/>
      <c r="E315" s="29"/>
      <c r="F315" s="29"/>
      <c r="G315" s="29"/>
      <c r="H315" s="29"/>
      <c r="I315" s="29"/>
      <c r="J315" s="29"/>
      <c r="K315" s="29"/>
    </row>
    <row r="316" spans="2:11" ht="15">
      <c r="B316" s="24"/>
      <c r="C316" s="29"/>
      <c r="D316" s="29"/>
      <c r="E316" s="29"/>
      <c r="F316" s="29"/>
      <c r="G316" s="29"/>
      <c r="H316" s="29"/>
      <c r="I316" s="29"/>
      <c r="J316" s="29"/>
      <c r="K316" s="29"/>
    </row>
    <row r="317" spans="2:11" ht="15">
      <c r="B317" s="44"/>
      <c r="C317" s="29"/>
      <c r="D317" s="29"/>
      <c r="E317" s="29"/>
      <c r="F317" s="29"/>
      <c r="G317" s="29"/>
      <c r="H317" s="29"/>
      <c r="I317" s="29"/>
      <c r="J317" s="29"/>
      <c r="K317" s="29"/>
    </row>
    <row r="318" spans="2:11" ht="15">
      <c r="B318" s="25"/>
      <c r="C318" s="29"/>
      <c r="D318" s="29"/>
      <c r="E318" s="29"/>
      <c r="F318" s="29"/>
      <c r="G318" s="29"/>
      <c r="H318" s="29"/>
      <c r="I318" s="29"/>
      <c r="J318" s="29"/>
      <c r="K318" s="29"/>
    </row>
    <row r="319" spans="2:11" ht="15">
      <c r="B319" s="16"/>
      <c r="C319" s="29"/>
      <c r="D319" s="29"/>
      <c r="E319" s="29"/>
      <c r="F319" s="29"/>
      <c r="G319" s="29"/>
      <c r="H319" s="29"/>
      <c r="I319" s="29"/>
      <c r="J319" s="29"/>
      <c r="K319" s="29"/>
    </row>
    <row r="320" spans="2:11" ht="15">
      <c r="B320" s="16"/>
      <c r="C320" s="29"/>
      <c r="D320" s="29"/>
      <c r="E320" s="29"/>
      <c r="F320" s="29"/>
      <c r="G320" s="29"/>
      <c r="H320" s="29"/>
      <c r="I320" s="29"/>
      <c r="J320" s="29"/>
      <c r="K320" s="29"/>
    </row>
    <row r="321" spans="2:11" ht="15">
      <c r="B321" s="16"/>
      <c r="C321" s="29"/>
      <c r="D321" s="29"/>
      <c r="E321" s="29"/>
      <c r="F321" s="29"/>
      <c r="G321" s="29"/>
      <c r="H321" s="29"/>
      <c r="I321" s="29"/>
      <c r="J321" s="29"/>
      <c r="K321" s="29"/>
    </row>
    <row r="322" spans="2:11" ht="15">
      <c r="B322" s="16"/>
      <c r="C322" s="29"/>
      <c r="D322" s="29"/>
      <c r="E322" s="29"/>
      <c r="F322" s="29"/>
      <c r="G322" s="29"/>
      <c r="H322" s="29"/>
      <c r="I322" s="29"/>
      <c r="J322" s="29"/>
      <c r="K322" s="29"/>
    </row>
    <row r="323" spans="2:11" ht="15">
      <c r="B323" s="16"/>
      <c r="C323" s="29"/>
      <c r="D323" s="29"/>
      <c r="E323" s="29"/>
      <c r="F323" s="29"/>
      <c r="G323" s="29"/>
      <c r="H323" s="29"/>
      <c r="I323" s="29"/>
      <c r="J323" s="29"/>
      <c r="K323" s="29"/>
    </row>
    <row r="324" spans="2:11" ht="15">
      <c r="B324" s="16"/>
      <c r="C324" s="29"/>
      <c r="D324" s="29"/>
      <c r="E324" s="29"/>
      <c r="F324" s="29"/>
      <c r="G324" s="29"/>
      <c r="H324" s="29"/>
      <c r="I324" s="29"/>
      <c r="J324" s="29"/>
      <c r="K324" s="29"/>
    </row>
    <row r="325" spans="2:11" ht="15">
      <c r="B325" s="16"/>
      <c r="C325" s="29"/>
      <c r="D325" s="29"/>
      <c r="E325" s="29"/>
      <c r="F325" s="29"/>
      <c r="G325" s="29"/>
      <c r="H325" s="29"/>
      <c r="I325" s="29"/>
      <c r="J325" s="29"/>
      <c r="K325" s="29"/>
    </row>
    <row r="326" spans="2:11" ht="15">
      <c r="B326" s="16"/>
      <c r="C326" s="29"/>
      <c r="D326" s="29"/>
      <c r="E326" s="29"/>
      <c r="F326" s="29"/>
      <c r="G326" s="29"/>
      <c r="H326" s="29"/>
      <c r="I326" s="29"/>
      <c r="J326" s="29"/>
      <c r="K326" s="29"/>
    </row>
    <row r="327" spans="2:11" ht="15">
      <c r="B327" s="16"/>
      <c r="C327" s="29"/>
      <c r="D327" s="29"/>
      <c r="E327" s="29"/>
      <c r="F327" s="29"/>
      <c r="G327" s="29"/>
      <c r="H327" s="29"/>
      <c r="I327" s="29"/>
      <c r="J327" s="29"/>
      <c r="K327" s="29"/>
    </row>
    <row r="328" spans="2:11" ht="15">
      <c r="B328" s="16"/>
      <c r="C328" s="29"/>
      <c r="D328" s="29"/>
      <c r="E328" s="29"/>
      <c r="F328" s="29"/>
      <c r="G328" s="29"/>
      <c r="H328" s="29"/>
      <c r="I328" s="29"/>
      <c r="J328" s="29"/>
      <c r="K328" s="29"/>
    </row>
    <row r="329" spans="2:11" ht="15">
      <c r="B329" s="16"/>
      <c r="C329" s="29"/>
      <c r="D329" s="29"/>
      <c r="E329" s="29"/>
      <c r="F329" s="29"/>
      <c r="G329" s="29"/>
      <c r="H329" s="29"/>
      <c r="I329" s="29"/>
      <c r="J329" s="29"/>
      <c r="K329" s="29"/>
    </row>
    <row r="331" spans="2:11" ht="18.75">
      <c r="B331" s="527"/>
      <c r="C331" s="527"/>
      <c r="D331" s="527"/>
      <c r="E331" s="527"/>
      <c r="F331" s="527"/>
      <c r="G331" s="527"/>
      <c r="H331" s="527"/>
      <c r="I331" s="527"/>
      <c r="J331" s="527"/>
      <c r="K331" s="37"/>
    </row>
    <row r="332" spans="2:11" ht="15">
      <c r="B332" s="38"/>
      <c r="C332" s="29"/>
      <c r="D332" s="29"/>
      <c r="E332" s="29"/>
      <c r="F332" s="29"/>
      <c r="G332" s="29"/>
      <c r="H332" s="29"/>
      <c r="I332" s="29"/>
      <c r="J332" s="29"/>
      <c r="K332" s="29"/>
    </row>
    <row r="333" spans="2:11" ht="15">
      <c r="B333" s="526"/>
      <c r="C333" s="526"/>
      <c r="D333" s="526"/>
      <c r="E333" s="526"/>
      <c r="F333" s="526"/>
      <c r="G333" s="526"/>
      <c r="H333" s="526"/>
      <c r="I333" s="526"/>
      <c r="J333" s="526"/>
      <c r="K333" s="37"/>
    </row>
    <row r="334" spans="2:11" ht="15">
      <c r="B334" s="39"/>
      <c r="C334" s="40"/>
      <c r="D334" s="40"/>
      <c r="E334" s="40"/>
      <c r="F334" s="40"/>
      <c r="G334" s="40"/>
      <c r="H334" s="29"/>
      <c r="I334" s="29"/>
      <c r="J334" s="29"/>
      <c r="K334" s="29"/>
    </row>
    <row r="335" spans="2:11" ht="15">
      <c r="B335" s="41"/>
      <c r="C335" s="29"/>
      <c r="D335" s="32"/>
      <c r="E335" s="32"/>
      <c r="F335" s="32"/>
      <c r="G335" s="29"/>
      <c r="H335" s="29"/>
      <c r="I335" s="29"/>
      <c r="J335" s="29"/>
      <c r="K335" s="29"/>
    </row>
    <row r="336" spans="2:11" ht="15">
      <c r="B336" s="30"/>
      <c r="C336" s="32"/>
      <c r="D336" s="42"/>
      <c r="E336" s="32"/>
      <c r="F336" s="32"/>
      <c r="G336" s="32"/>
      <c r="H336" s="32"/>
      <c r="I336" s="32"/>
      <c r="J336" s="32"/>
      <c r="K336" s="32"/>
    </row>
    <row r="337" spans="2:11" ht="15">
      <c r="B337" s="16"/>
      <c r="C337" s="32"/>
      <c r="D337" s="32"/>
      <c r="E337" s="43"/>
      <c r="F337" s="43"/>
      <c r="G337" s="43"/>
      <c r="H337" s="43"/>
      <c r="I337" s="43"/>
      <c r="J337" s="43"/>
      <c r="K337" s="43"/>
    </row>
    <row r="338" spans="2:11" ht="15">
      <c r="B338" s="16"/>
      <c r="C338" s="32"/>
      <c r="D338" s="29"/>
      <c r="E338" s="29"/>
      <c r="F338" s="29"/>
      <c r="G338" s="29"/>
      <c r="H338" s="29"/>
      <c r="I338" s="29"/>
      <c r="J338" s="29"/>
      <c r="K338" s="29"/>
    </row>
    <row r="339" spans="2:11" ht="15">
      <c r="B339" s="44"/>
      <c r="C339" s="29"/>
      <c r="D339" s="29"/>
      <c r="E339" s="29"/>
      <c r="F339" s="29"/>
      <c r="G339" s="29"/>
      <c r="H339" s="29"/>
      <c r="I339" s="29"/>
      <c r="J339" s="29"/>
      <c r="K339" s="29"/>
    </row>
    <row r="340" spans="2:11" ht="15">
      <c r="B340" s="46"/>
      <c r="C340" s="29"/>
      <c r="D340" s="29"/>
      <c r="E340" s="29"/>
      <c r="F340" s="29"/>
      <c r="G340" s="29"/>
      <c r="H340" s="29"/>
      <c r="I340" s="29"/>
      <c r="J340" s="29"/>
      <c r="K340" s="29"/>
    </row>
    <row r="341" spans="2:11" ht="15">
      <c r="B341" s="46"/>
      <c r="C341" s="29"/>
      <c r="D341" s="29"/>
      <c r="E341" s="29"/>
      <c r="F341" s="29"/>
      <c r="G341" s="29"/>
      <c r="H341" s="29"/>
      <c r="I341" s="29"/>
      <c r="J341" s="29"/>
      <c r="K341" s="29"/>
    </row>
    <row r="342" spans="2:11" ht="15">
      <c r="B342" s="46"/>
      <c r="C342" s="29"/>
      <c r="D342" s="29"/>
      <c r="E342" s="29"/>
      <c r="F342" s="29"/>
      <c r="G342" s="29"/>
      <c r="H342" s="29"/>
      <c r="I342" s="29"/>
      <c r="J342" s="29"/>
      <c r="K342" s="29"/>
    </row>
    <row r="343" spans="2:11" ht="15">
      <c r="B343" s="46"/>
      <c r="C343" s="29"/>
      <c r="D343" s="29"/>
      <c r="E343" s="29"/>
      <c r="F343" s="29"/>
      <c r="G343" s="29"/>
      <c r="H343" s="29"/>
      <c r="I343" s="29"/>
      <c r="J343" s="29"/>
      <c r="K343" s="29"/>
    </row>
    <row r="344" spans="2:11" ht="15">
      <c r="B344" s="46"/>
      <c r="C344" s="29"/>
      <c r="D344" s="29"/>
      <c r="E344" s="29"/>
      <c r="F344" s="29"/>
      <c r="G344" s="29"/>
      <c r="H344" s="29"/>
      <c r="I344" s="29"/>
      <c r="J344" s="29"/>
      <c r="K344" s="29"/>
    </row>
    <row r="345" spans="2:11" ht="15">
      <c r="B345" s="46"/>
      <c r="C345" s="29"/>
      <c r="D345" s="29"/>
      <c r="E345" s="29"/>
      <c r="F345" s="29"/>
      <c r="G345" s="29"/>
      <c r="H345" s="29"/>
      <c r="I345" s="29"/>
      <c r="J345" s="29"/>
      <c r="K345" s="29"/>
    </row>
    <row r="346" spans="2:11" ht="15">
      <c r="B346" s="23"/>
      <c r="C346" s="29"/>
      <c r="D346" s="29"/>
      <c r="E346" s="29"/>
      <c r="F346" s="29"/>
      <c r="G346" s="29"/>
      <c r="H346" s="29"/>
      <c r="I346" s="29"/>
      <c r="J346" s="29"/>
      <c r="K346" s="29"/>
    </row>
    <row r="347" spans="2:11" ht="15">
      <c r="B347" s="16"/>
      <c r="C347" s="29"/>
      <c r="D347" s="29"/>
      <c r="E347" s="29"/>
      <c r="F347" s="29"/>
      <c r="G347" s="29"/>
      <c r="H347" s="29"/>
      <c r="I347" s="29"/>
      <c r="J347" s="29"/>
      <c r="K347" s="29"/>
    </row>
    <row r="348" spans="2:11" ht="15">
      <c r="B348" s="44"/>
      <c r="C348" s="29"/>
      <c r="D348" s="29"/>
      <c r="E348" s="29"/>
      <c r="F348" s="29"/>
      <c r="G348" s="29"/>
      <c r="H348" s="29"/>
      <c r="I348" s="29"/>
      <c r="J348" s="29"/>
      <c r="K348" s="29"/>
    </row>
    <row r="349" spans="2:11" ht="15">
      <c r="B349" s="22"/>
      <c r="C349" s="29"/>
      <c r="D349" s="29"/>
      <c r="E349" s="29"/>
      <c r="F349" s="29"/>
      <c r="G349" s="29"/>
      <c r="H349" s="29"/>
      <c r="I349" s="29"/>
      <c r="J349" s="29"/>
      <c r="K349" s="29"/>
    </row>
    <row r="350" spans="2:11" ht="15">
      <c r="B350" s="22"/>
      <c r="C350" s="29"/>
      <c r="D350" s="29"/>
      <c r="E350" s="29"/>
      <c r="F350" s="29"/>
      <c r="G350" s="29"/>
      <c r="H350" s="29"/>
      <c r="I350" s="29"/>
      <c r="J350" s="29"/>
      <c r="K350" s="29"/>
    </row>
    <row r="351" spans="2:11" ht="15">
      <c r="B351" s="22"/>
      <c r="C351" s="29"/>
      <c r="D351" s="29"/>
      <c r="E351" s="29"/>
      <c r="F351" s="29"/>
      <c r="G351" s="29"/>
      <c r="H351" s="29"/>
      <c r="I351" s="29"/>
      <c r="J351" s="29"/>
      <c r="K351" s="29"/>
    </row>
    <row r="352" spans="2:11" ht="15">
      <c r="B352" s="23"/>
      <c r="C352" s="29"/>
      <c r="D352" s="29"/>
      <c r="E352" s="29"/>
      <c r="F352" s="29"/>
      <c r="G352" s="29"/>
      <c r="H352" s="29"/>
      <c r="I352" s="29"/>
      <c r="J352" s="29"/>
      <c r="K352" s="29"/>
    </row>
    <row r="353" spans="2:11" ht="15">
      <c r="B353" s="23"/>
      <c r="C353" s="29"/>
      <c r="D353" s="29"/>
      <c r="E353" s="29"/>
      <c r="F353" s="29"/>
      <c r="G353" s="29"/>
      <c r="H353" s="29"/>
      <c r="I353" s="29"/>
      <c r="J353" s="29"/>
      <c r="K353" s="29"/>
    </row>
    <row r="354" spans="2:11" ht="15">
      <c r="B354" s="24"/>
      <c r="C354" s="29"/>
      <c r="D354" s="29"/>
      <c r="E354" s="29"/>
      <c r="F354" s="29"/>
      <c r="G354" s="29"/>
      <c r="H354" s="29"/>
      <c r="I354" s="29"/>
      <c r="J354" s="29"/>
      <c r="K354" s="29"/>
    </row>
    <row r="355" spans="2:11" ht="15">
      <c r="B355" s="24"/>
      <c r="C355" s="29"/>
      <c r="D355" s="29"/>
      <c r="E355" s="29"/>
      <c r="F355" s="29"/>
      <c r="G355" s="29"/>
      <c r="H355" s="29"/>
      <c r="I355" s="29"/>
      <c r="J355" s="29"/>
      <c r="K355" s="29"/>
    </row>
    <row r="356" spans="2:11" ht="15">
      <c r="B356" s="44"/>
      <c r="C356" s="29"/>
      <c r="D356" s="29"/>
      <c r="E356" s="29"/>
      <c r="F356" s="29"/>
      <c r="G356" s="29"/>
      <c r="H356" s="29"/>
      <c r="I356" s="29"/>
      <c r="J356" s="29"/>
      <c r="K356" s="29"/>
    </row>
    <row r="357" spans="2:11" ht="15">
      <c r="B357" s="25"/>
      <c r="C357" s="29"/>
      <c r="D357" s="29"/>
      <c r="E357" s="29"/>
      <c r="F357" s="29"/>
      <c r="G357" s="29"/>
      <c r="H357" s="29"/>
      <c r="I357" s="29"/>
      <c r="J357" s="29"/>
      <c r="K357" s="29"/>
    </row>
    <row r="358" spans="2:11" ht="15">
      <c r="B358" s="25"/>
      <c r="C358" s="29"/>
      <c r="D358" s="29"/>
      <c r="E358" s="29"/>
      <c r="F358" s="29"/>
      <c r="G358" s="29"/>
      <c r="H358" s="29"/>
      <c r="I358" s="29"/>
      <c r="J358" s="29"/>
      <c r="K358" s="29"/>
    </row>
    <row r="359" spans="2:11" ht="15">
      <c r="B359" s="16"/>
      <c r="C359" s="29"/>
      <c r="D359" s="29"/>
      <c r="E359" s="29"/>
      <c r="F359" s="29"/>
      <c r="G359" s="29"/>
      <c r="H359" s="29"/>
      <c r="I359" s="29"/>
      <c r="J359" s="29"/>
      <c r="K359" s="29"/>
    </row>
    <row r="360" spans="2:11" ht="15">
      <c r="B360" s="16"/>
      <c r="C360" s="29"/>
      <c r="D360" s="29"/>
      <c r="E360" s="29"/>
      <c r="F360" s="29"/>
      <c r="G360" s="29"/>
      <c r="H360" s="29"/>
      <c r="I360" s="29"/>
      <c r="J360" s="29"/>
      <c r="K360" s="29"/>
    </row>
    <row r="361" spans="2:11" ht="15">
      <c r="B361" s="16"/>
      <c r="C361" s="29"/>
      <c r="D361" s="29"/>
      <c r="E361" s="29"/>
      <c r="F361" s="29"/>
      <c r="G361" s="29"/>
      <c r="H361" s="29"/>
      <c r="I361" s="29"/>
      <c r="J361" s="29"/>
      <c r="K361" s="29"/>
    </row>
    <row r="362" spans="2:11" ht="15">
      <c r="B362" s="16"/>
      <c r="C362" s="29"/>
      <c r="D362" s="29"/>
      <c r="E362" s="29"/>
      <c r="F362" s="29"/>
      <c r="G362" s="29"/>
      <c r="H362" s="29"/>
      <c r="I362" s="29"/>
      <c r="J362" s="29"/>
      <c r="K362" s="29"/>
    </row>
    <row r="363" spans="2:11" ht="15">
      <c r="B363" s="16"/>
      <c r="C363" s="29"/>
      <c r="D363" s="29"/>
      <c r="E363" s="29"/>
      <c r="F363" s="29"/>
      <c r="G363" s="29"/>
      <c r="H363" s="29"/>
      <c r="I363" s="29"/>
      <c r="J363" s="29"/>
      <c r="K363" s="29"/>
    </row>
    <row r="364" spans="2:11" ht="15">
      <c r="B364" s="16"/>
      <c r="C364" s="29"/>
      <c r="D364" s="29"/>
      <c r="E364" s="29"/>
      <c r="F364" s="29"/>
      <c r="G364" s="29"/>
      <c r="H364" s="29"/>
      <c r="I364" s="29"/>
      <c r="J364" s="29"/>
      <c r="K364" s="29"/>
    </row>
    <row r="365" spans="2:11" ht="15">
      <c r="B365" s="16"/>
      <c r="C365" s="29"/>
      <c r="D365" s="29"/>
      <c r="E365" s="29"/>
      <c r="F365" s="29"/>
      <c r="G365" s="29"/>
      <c r="H365" s="29"/>
      <c r="I365" s="29"/>
      <c r="J365" s="29"/>
      <c r="K365" s="29"/>
    </row>
    <row r="366" spans="2:11" ht="15">
      <c r="B366" s="16"/>
      <c r="C366" s="29"/>
      <c r="D366" s="29"/>
      <c r="E366" s="29"/>
      <c r="F366" s="29"/>
      <c r="G366" s="29"/>
      <c r="H366" s="29"/>
      <c r="I366" s="29"/>
      <c r="J366" s="29"/>
      <c r="K366" s="29"/>
    </row>
    <row r="367" spans="2:11" ht="15">
      <c r="B367" s="16"/>
      <c r="C367" s="29"/>
      <c r="D367" s="29"/>
      <c r="E367" s="29"/>
      <c r="F367" s="29"/>
      <c r="G367" s="29"/>
      <c r="H367" s="29"/>
      <c r="I367" s="29"/>
      <c r="J367" s="29"/>
      <c r="K367" s="29"/>
    </row>
    <row r="368" spans="2:11" ht="15">
      <c r="B368" s="16"/>
      <c r="C368" s="29"/>
      <c r="D368" s="29"/>
      <c r="E368" s="29"/>
      <c r="F368" s="29"/>
      <c r="G368" s="29"/>
      <c r="H368" s="29"/>
      <c r="I368" s="29"/>
      <c r="J368" s="29"/>
      <c r="K368" s="29"/>
    </row>
    <row r="371" spans="2:11" ht="18.75">
      <c r="B371" s="527"/>
      <c r="C371" s="527"/>
      <c r="D371" s="527"/>
      <c r="E371" s="527"/>
      <c r="F371" s="527"/>
      <c r="G371" s="527"/>
      <c r="H371" s="527"/>
      <c r="I371" s="527"/>
      <c r="J371" s="527"/>
      <c r="K371" s="37"/>
    </row>
    <row r="372" spans="2:11" ht="15">
      <c r="B372" s="38"/>
      <c r="C372" s="29"/>
      <c r="D372" s="29"/>
      <c r="E372" s="29"/>
      <c r="F372" s="29"/>
      <c r="G372" s="29"/>
      <c r="H372" s="29"/>
      <c r="I372" s="29"/>
      <c r="J372" s="29"/>
      <c r="K372" s="29"/>
    </row>
    <row r="373" spans="2:11">
      <c r="B373" s="526"/>
      <c r="C373" s="526"/>
      <c r="D373" s="526"/>
      <c r="E373" s="526"/>
      <c r="F373" s="526"/>
      <c r="G373" s="526"/>
      <c r="H373" s="526"/>
      <c r="I373" s="526"/>
      <c r="J373" s="526"/>
      <c r="K373" s="37"/>
    </row>
    <row r="374" spans="2:11" ht="20.25" customHeight="1">
      <c r="B374" s="526"/>
      <c r="C374" s="526"/>
      <c r="D374" s="526"/>
      <c r="E374" s="526"/>
      <c r="F374" s="526"/>
      <c r="G374" s="526"/>
      <c r="H374" s="526"/>
      <c r="I374" s="526"/>
      <c r="J374" s="526"/>
      <c r="K374" s="37"/>
    </row>
    <row r="375" spans="2:11" ht="15">
      <c r="B375" s="39"/>
      <c r="C375" s="40"/>
      <c r="D375" s="40"/>
      <c r="E375" s="40"/>
      <c r="F375" s="40"/>
      <c r="G375" s="40"/>
      <c r="H375" s="40"/>
      <c r="I375" s="40"/>
      <c r="J375" s="40"/>
      <c r="K375" s="40"/>
    </row>
    <row r="376" spans="2:11" ht="15">
      <c r="B376" s="41"/>
      <c r="C376" s="29"/>
      <c r="D376" s="32"/>
      <c r="E376" s="29"/>
      <c r="F376" s="32"/>
      <c r="G376" s="29"/>
      <c r="H376" s="29"/>
      <c r="I376" s="29"/>
      <c r="J376" s="29"/>
      <c r="K376" s="29"/>
    </row>
    <row r="377" spans="2:11" ht="15">
      <c r="B377" s="30"/>
      <c r="C377" s="32"/>
      <c r="D377" s="32"/>
      <c r="E377" s="32"/>
      <c r="F377" s="32"/>
      <c r="G377" s="32"/>
      <c r="H377" s="32"/>
      <c r="I377" s="32"/>
      <c r="J377" s="32"/>
      <c r="K377" s="32"/>
    </row>
    <row r="378" spans="2:11" ht="15">
      <c r="B378" s="16"/>
      <c r="C378" s="32"/>
      <c r="D378" s="32"/>
      <c r="E378" s="43"/>
      <c r="F378" s="43"/>
      <c r="G378" s="43"/>
      <c r="H378" s="43"/>
      <c r="I378" s="43"/>
      <c r="J378" s="43"/>
      <c r="K378" s="43"/>
    </row>
    <row r="379" spans="2:11" ht="15">
      <c r="B379" s="16"/>
      <c r="C379" s="32"/>
      <c r="D379" s="29"/>
      <c r="E379" s="29"/>
      <c r="F379" s="29"/>
      <c r="G379" s="29"/>
      <c r="H379" s="29"/>
      <c r="I379" s="29"/>
      <c r="J379" s="29"/>
      <c r="K379" s="29"/>
    </row>
    <row r="380" spans="2:11" ht="15">
      <c r="B380" s="44"/>
      <c r="C380" s="29"/>
      <c r="D380" s="29"/>
      <c r="E380" s="29"/>
      <c r="F380" s="29"/>
      <c r="G380" s="29"/>
      <c r="H380" s="29"/>
      <c r="I380" s="29"/>
      <c r="J380" s="29"/>
      <c r="K380" s="29"/>
    </row>
    <row r="381" spans="2:11" ht="15">
      <c r="B381" s="45"/>
      <c r="C381" s="29"/>
      <c r="D381" s="29"/>
      <c r="E381" s="29"/>
      <c r="F381" s="29"/>
      <c r="G381" s="29"/>
      <c r="H381" s="29"/>
      <c r="I381" s="29"/>
      <c r="J381" s="29"/>
      <c r="K381" s="29"/>
    </row>
    <row r="382" spans="2:11" ht="15">
      <c r="B382" s="45"/>
      <c r="C382" s="29"/>
      <c r="D382" s="29"/>
      <c r="E382" s="29"/>
      <c r="F382" s="29"/>
      <c r="G382" s="29"/>
      <c r="H382" s="29"/>
      <c r="I382" s="29"/>
      <c r="J382" s="29"/>
      <c r="K382" s="29"/>
    </row>
    <row r="383" spans="2:11" ht="15">
      <c r="B383" s="46"/>
      <c r="C383" s="29"/>
      <c r="D383" s="29"/>
      <c r="E383" s="29"/>
      <c r="F383" s="29"/>
      <c r="G383" s="29"/>
      <c r="H383" s="29"/>
      <c r="I383" s="29"/>
      <c r="J383" s="29"/>
      <c r="K383" s="29"/>
    </row>
    <row r="384" spans="2:11" ht="15">
      <c r="B384" s="46"/>
      <c r="C384" s="29"/>
      <c r="D384" s="29"/>
      <c r="E384" s="29"/>
      <c r="F384" s="29"/>
      <c r="G384" s="29"/>
      <c r="H384" s="29"/>
      <c r="I384" s="29"/>
      <c r="J384" s="29"/>
      <c r="K384" s="29"/>
    </row>
    <row r="385" spans="2:11" ht="15">
      <c r="B385" s="23"/>
      <c r="C385" s="29"/>
      <c r="D385" s="29"/>
      <c r="E385" s="29"/>
      <c r="F385" s="29"/>
      <c r="G385" s="29"/>
      <c r="H385" s="29"/>
      <c r="I385" s="29"/>
      <c r="J385" s="29"/>
      <c r="K385" s="29"/>
    </row>
    <row r="386" spans="2:11" ht="15">
      <c r="B386" s="16"/>
      <c r="C386" s="29"/>
      <c r="D386" s="29"/>
      <c r="E386" s="29"/>
      <c r="F386" s="29"/>
      <c r="G386" s="29"/>
      <c r="H386" s="29"/>
      <c r="I386" s="29"/>
      <c r="J386" s="29"/>
      <c r="K386" s="29"/>
    </row>
    <row r="387" spans="2:11" ht="15">
      <c r="B387" s="44"/>
      <c r="C387" s="29"/>
      <c r="D387" s="29"/>
      <c r="E387" s="29"/>
      <c r="F387" s="29"/>
      <c r="G387" s="29"/>
      <c r="H387" s="29"/>
      <c r="I387" s="29"/>
      <c r="J387" s="29"/>
      <c r="K387" s="29"/>
    </row>
    <row r="388" spans="2:11" ht="15">
      <c r="B388" s="22"/>
      <c r="C388" s="29"/>
      <c r="D388" s="29"/>
      <c r="E388" s="29"/>
      <c r="F388" s="29"/>
      <c r="G388" s="29"/>
      <c r="H388" s="29"/>
      <c r="I388" s="29"/>
      <c r="J388" s="29"/>
      <c r="K388" s="29"/>
    </row>
    <row r="389" spans="2:11" ht="15">
      <c r="B389" s="22"/>
      <c r="C389" s="29"/>
      <c r="D389" s="29"/>
      <c r="E389" s="29"/>
      <c r="F389" s="29"/>
      <c r="G389" s="29"/>
      <c r="H389" s="29"/>
      <c r="I389" s="29"/>
      <c r="J389" s="29"/>
      <c r="K389" s="29"/>
    </row>
    <row r="390" spans="2:11" ht="15">
      <c r="B390" s="23"/>
      <c r="C390" s="29"/>
      <c r="D390" s="29"/>
      <c r="E390" s="29"/>
      <c r="F390" s="29"/>
      <c r="G390" s="29"/>
      <c r="H390" s="29"/>
      <c r="I390" s="29"/>
      <c r="J390" s="29"/>
      <c r="K390" s="29"/>
    </row>
    <row r="391" spans="2:11" ht="15">
      <c r="B391" s="23"/>
      <c r="C391" s="29"/>
      <c r="D391" s="29"/>
      <c r="E391" s="29"/>
      <c r="F391" s="29"/>
      <c r="G391" s="29"/>
      <c r="H391" s="29"/>
      <c r="I391" s="29"/>
      <c r="J391" s="29"/>
      <c r="K391" s="29"/>
    </row>
    <row r="392" spans="2:11" ht="15">
      <c r="B392" s="24"/>
      <c r="C392" s="29"/>
      <c r="D392" s="29"/>
      <c r="E392" s="29"/>
      <c r="F392" s="29"/>
      <c r="G392" s="29"/>
      <c r="H392" s="29"/>
      <c r="I392" s="29"/>
      <c r="J392" s="29"/>
      <c r="K392" s="29"/>
    </row>
    <row r="393" spans="2:11" ht="15">
      <c r="B393" s="24"/>
      <c r="C393" s="29"/>
      <c r="D393" s="29"/>
      <c r="E393" s="29"/>
      <c r="F393" s="29"/>
      <c r="G393" s="29"/>
      <c r="H393" s="29"/>
      <c r="I393" s="29"/>
      <c r="J393" s="29"/>
      <c r="K393" s="29"/>
    </row>
    <row r="394" spans="2:11" ht="15">
      <c r="B394" s="44"/>
      <c r="C394" s="29"/>
      <c r="D394" s="29"/>
      <c r="E394" s="29"/>
      <c r="F394" s="29"/>
      <c r="G394" s="29"/>
      <c r="H394" s="29"/>
      <c r="I394" s="29"/>
      <c r="J394" s="29"/>
      <c r="K394" s="29"/>
    </row>
    <row r="395" spans="2:11" ht="15">
      <c r="B395" s="25"/>
      <c r="C395" s="29"/>
      <c r="D395" s="29"/>
      <c r="E395" s="29"/>
      <c r="F395" s="29"/>
      <c r="G395" s="29"/>
      <c r="H395" s="29"/>
      <c r="I395" s="29"/>
      <c r="J395" s="29"/>
      <c r="K395" s="29"/>
    </row>
    <row r="396" spans="2:11" ht="15">
      <c r="B396" s="25"/>
      <c r="C396" s="29"/>
      <c r="D396" s="29"/>
      <c r="E396" s="29"/>
      <c r="F396" s="29"/>
      <c r="G396" s="29"/>
      <c r="H396" s="29"/>
      <c r="I396" s="29"/>
      <c r="J396" s="29"/>
      <c r="K396" s="29"/>
    </row>
    <row r="397" spans="2:11" ht="15">
      <c r="B397" s="16"/>
      <c r="C397" s="29"/>
      <c r="D397" s="29"/>
      <c r="E397" s="29"/>
      <c r="F397" s="29"/>
      <c r="G397" s="29"/>
      <c r="H397" s="29"/>
      <c r="I397" s="29"/>
      <c r="J397" s="29"/>
      <c r="K397" s="29"/>
    </row>
    <row r="398" spans="2:11" ht="15">
      <c r="B398" s="16"/>
      <c r="C398" s="29"/>
      <c r="D398" s="29"/>
      <c r="E398" s="29"/>
      <c r="F398" s="29"/>
      <c r="G398" s="29"/>
      <c r="H398" s="29"/>
      <c r="I398" s="29"/>
      <c r="J398" s="29"/>
      <c r="K398" s="29"/>
    </row>
    <row r="399" spans="2:11" ht="15">
      <c r="B399" s="16"/>
      <c r="C399" s="29"/>
      <c r="D399" s="29"/>
      <c r="E399" s="29"/>
      <c r="F399" s="29"/>
      <c r="G399" s="29"/>
      <c r="H399" s="29"/>
      <c r="I399" s="29"/>
      <c r="J399" s="29"/>
      <c r="K399" s="29"/>
    </row>
    <row r="400" spans="2:11" ht="15">
      <c r="B400" s="16"/>
      <c r="C400" s="29"/>
      <c r="D400" s="29"/>
      <c r="E400" s="29"/>
      <c r="F400" s="29"/>
      <c r="G400" s="29"/>
      <c r="H400" s="29"/>
      <c r="I400" s="29"/>
      <c r="J400" s="29"/>
      <c r="K400" s="29"/>
    </row>
    <row r="401" spans="2:11" ht="15">
      <c r="B401" s="16"/>
      <c r="C401" s="29"/>
      <c r="D401" s="29"/>
      <c r="E401" s="29"/>
      <c r="F401" s="29"/>
      <c r="G401" s="29"/>
      <c r="H401" s="29"/>
      <c r="I401" s="29"/>
      <c r="J401" s="29"/>
      <c r="K401" s="29"/>
    </row>
    <row r="402" spans="2:11" ht="15">
      <c r="B402" s="16"/>
      <c r="C402" s="29"/>
      <c r="D402" s="29"/>
      <c r="E402" s="29"/>
      <c r="F402" s="29"/>
      <c r="G402" s="29"/>
      <c r="H402" s="29"/>
      <c r="I402" s="29"/>
      <c r="J402" s="29"/>
      <c r="K402" s="29"/>
    </row>
    <row r="403" spans="2:11" ht="15">
      <c r="B403" s="16"/>
      <c r="C403" s="29"/>
      <c r="D403" s="29"/>
      <c r="E403" s="29"/>
      <c r="F403" s="29"/>
      <c r="G403" s="29"/>
      <c r="H403" s="29"/>
      <c r="I403" s="29"/>
      <c r="J403" s="29"/>
      <c r="K403" s="29"/>
    </row>
    <row r="404" spans="2:11" ht="15">
      <c r="B404" s="16"/>
      <c r="C404" s="29"/>
      <c r="D404" s="29"/>
      <c r="E404" s="29"/>
      <c r="F404" s="29"/>
      <c r="G404" s="29"/>
      <c r="H404" s="29"/>
      <c r="I404" s="29"/>
      <c r="J404" s="29"/>
      <c r="K404" s="29"/>
    </row>
    <row r="405" spans="2:11" ht="15">
      <c r="B405" s="16"/>
      <c r="C405" s="29"/>
      <c r="D405" s="29"/>
      <c r="E405" s="29"/>
      <c r="F405" s="29"/>
      <c r="G405" s="29"/>
      <c r="H405" s="29"/>
      <c r="I405" s="29"/>
      <c r="J405" s="29"/>
      <c r="K405" s="29"/>
    </row>
    <row r="406" spans="2:11" ht="15">
      <c r="B406" s="16"/>
      <c r="C406" s="29"/>
      <c r="D406" s="29"/>
      <c r="E406" s="29"/>
      <c r="F406" s="29"/>
      <c r="G406" s="29"/>
      <c r="H406" s="29"/>
      <c r="I406" s="29"/>
      <c r="J406" s="29"/>
      <c r="K406" s="29"/>
    </row>
    <row r="409" spans="2:11" ht="18.75">
      <c r="B409" s="527"/>
      <c r="C409" s="527"/>
      <c r="D409" s="527"/>
      <c r="E409" s="527"/>
      <c r="F409" s="527"/>
      <c r="G409" s="527"/>
      <c r="H409" s="527"/>
      <c r="I409" s="527"/>
      <c r="J409" s="527"/>
      <c r="K409" s="37"/>
    </row>
    <row r="410" spans="2:11" ht="15">
      <c r="B410" s="38"/>
      <c r="C410" s="29"/>
      <c r="D410" s="29"/>
      <c r="E410" s="29"/>
      <c r="F410" s="29"/>
      <c r="G410" s="29"/>
      <c r="H410" s="29"/>
      <c r="I410" s="29"/>
      <c r="J410" s="29"/>
      <c r="K410" s="29"/>
    </row>
    <row r="411" spans="2:11">
      <c r="B411" s="526"/>
      <c r="C411" s="526"/>
      <c r="D411" s="526"/>
      <c r="E411" s="526"/>
      <c r="F411" s="526"/>
      <c r="G411" s="526"/>
      <c r="H411" s="526"/>
      <c r="I411" s="526"/>
      <c r="J411" s="526"/>
      <c r="K411" s="37"/>
    </row>
    <row r="412" spans="2:11" ht="18" customHeight="1">
      <c r="B412" s="526"/>
      <c r="C412" s="526"/>
      <c r="D412" s="526"/>
      <c r="E412" s="526"/>
      <c r="F412" s="526"/>
      <c r="G412" s="526"/>
      <c r="H412" s="526"/>
      <c r="I412" s="526"/>
      <c r="J412" s="526"/>
      <c r="K412" s="37"/>
    </row>
    <row r="413" spans="2:11" ht="15">
      <c r="B413" s="39"/>
      <c r="C413" s="40"/>
      <c r="D413" s="40"/>
      <c r="E413" s="40"/>
      <c r="F413" s="29"/>
      <c r="G413" s="29"/>
      <c r="H413" s="29"/>
      <c r="I413" s="29"/>
      <c r="J413" s="29"/>
      <c r="K413" s="29"/>
    </row>
    <row r="414" spans="2:11" ht="15">
      <c r="B414" s="41"/>
      <c r="C414" s="29"/>
      <c r="D414" s="42"/>
      <c r="E414" s="29"/>
      <c r="F414" s="32"/>
      <c r="G414" s="29"/>
      <c r="H414" s="29"/>
      <c r="I414" s="29"/>
      <c r="J414" s="29"/>
      <c r="K414" s="29"/>
    </row>
    <row r="415" spans="2:11" ht="15">
      <c r="B415" s="30"/>
      <c r="C415" s="32"/>
      <c r="D415" s="32"/>
      <c r="E415" s="32"/>
      <c r="F415" s="32"/>
      <c r="G415" s="32"/>
      <c r="H415" s="32"/>
      <c r="I415" s="32"/>
      <c r="J415" s="32"/>
      <c r="K415" s="32"/>
    </row>
    <row r="416" spans="2:11" ht="15">
      <c r="B416" s="16"/>
      <c r="C416" s="32"/>
      <c r="D416" s="32"/>
      <c r="E416" s="43"/>
      <c r="F416" s="43"/>
      <c r="G416" s="43"/>
      <c r="H416" s="43"/>
      <c r="I416" s="43"/>
      <c r="J416" s="43"/>
      <c r="K416" s="43"/>
    </row>
    <row r="417" spans="2:11" ht="15">
      <c r="B417" s="16"/>
      <c r="C417" s="32"/>
      <c r="D417" s="29"/>
      <c r="E417" s="29"/>
      <c r="F417" s="29"/>
      <c r="G417" s="29"/>
      <c r="H417" s="29"/>
      <c r="I417" s="29"/>
      <c r="J417" s="29"/>
      <c r="K417" s="29"/>
    </row>
    <row r="418" spans="2:11" ht="15">
      <c r="B418" s="44"/>
      <c r="C418" s="29"/>
      <c r="D418" s="29"/>
      <c r="E418" s="29"/>
      <c r="F418" s="29"/>
      <c r="G418" s="29"/>
      <c r="H418" s="29"/>
      <c r="I418" s="29"/>
      <c r="J418" s="29"/>
      <c r="K418" s="29"/>
    </row>
    <row r="419" spans="2:11" ht="15">
      <c r="B419" s="46"/>
      <c r="C419" s="29"/>
      <c r="D419" s="29"/>
      <c r="E419" s="29"/>
      <c r="F419" s="29"/>
      <c r="G419" s="29"/>
      <c r="H419" s="29"/>
      <c r="I419" s="29"/>
      <c r="J419" s="29"/>
      <c r="K419" s="29"/>
    </row>
    <row r="420" spans="2:11" ht="15">
      <c r="B420" s="46"/>
      <c r="C420" s="29"/>
      <c r="D420" s="29"/>
      <c r="E420" s="29"/>
      <c r="F420" s="29"/>
      <c r="G420" s="29"/>
      <c r="H420" s="29"/>
      <c r="I420" s="29"/>
      <c r="J420" s="29"/>
      <c r="K420" s="29"/>
    </row>
    <row r="421" spans="2:11" ht="15">
      <c r="B421" s="46"/>
      <c r="C421" s="29"/>
      <c r="D421" s="29"/>
      <c r="E421" s="29"/>
      <c r="F421" s="29"/>
      <c r="G421" s="29"/>
      <c r="H421" s="29"/>
      <c r="I421" s="29"/>
      <c r="J421" s="29"/>
      <c r="K421" s="29"/>
    </row>
    <row r="422" spans="2:11" ht="15">
      <c r="B422" s="46"/>
      <c r="C422" s="29"/>
      <c r="D422" s="29"/>
      <c r="E422" s="29"/>
      <c r="F422" s="29"/>
      <c r="G422" s="29"/>
      <c r="H422" s="29"/>
      <c r="I422" s="29"/>
      <c r="J422" s="29"/>
      <c r="K422" s="29"/>
    </row>
    <row r="423" spans="2:11" ht="15">
      <c r="B423" s="46"/>
      <c r="C423" s="29"/>
      <c r="D423" s="29"/>
      <c r="E423" s="29"/>
      <c r="F423" s="29"/>
      <c r="G423" s="29"/>
      <c r="H423" s="29"/>
      <c r="I423" s="29"/>
      <c r="J423" s="29"/>
      <c r="K423" s="29"/>
    </row>
    <row r="424" spans="2:11" ht="15">
      <c r="B424" s="46"/>
      <c r="C424" s="29"/>
      <c r="D424" s="29"/>
      <c r="E424" s="29"/>
      <c r="F424" s="29"/>
      <c r="G424" s="29"/>
      <c r="H424" s="29"/>
      <c r="I424" s="29"/>
      <c r="J424" s="29"/>
      <c r="K424" s="29"/>
    </row>
    <row r="425" spans="2:11" ht="15">
      <c r="B425" s="23"/>
      <c r="C425" s="29"/>
      <c r="D425" s="29"/>
      <c r="E425" s="29"/>
      <c r="F425" s="29"/>
      <c r="G425" s="29"/>
      <c r="H425" s="29"/>
      <c r="I425" s="29"/>
      <c r="J425" s="29"/>
      <c r="K425" s="29"/>
    </row>
    <row r="426" spans="2:11" ht="15">
      <c r="B426" s="16"/>
      <c r="C426" s="29"/>
      <c r="D426" s="29"/>
      <c r="E426" s="29"/>
      <c r="F426" s="29"/>
      <c r="G426" s="29"/>
      <c r="H426" s="29"/>
      <c r="I426" s="29"/>
      <c r="J426" s="29"/>
      <c r="K426" s="29"/>
    </row>
    <row r="427" spans="2:11" ht="15">
      <c r="B427" s="44"/>
      <c r="C427" s="29"/>
      <c r="D427" s="29"/>
      <c r="E427" s="29"/>
      <c r="F427" s="29"/>
      <c r="G427" s="29"/>
      <c r="H427" s="29"/>
      <c r="I427" s="29"/>
      <c r="J427" s="29"/>
      <c r="K427" s="29"/>
    </row>
    <row r="428" spans="2:11" ht="15">
      <c r="B428" s="22"/>
      <c r="C428" s="29"/>
      <c r="D428" s="29"/>
      <c r="E428" s="29"/>
      <c r="F428" s="29"/>
      <c r="G428" s="29"/>
      <c r="H428" s="29"/>
      <c r="I428" s="29"/>
      <c r="J428" s="29"/>
      <c r="K428" s="29"/>
    </row>
    <row r="429" spans="2:11" ht="15">
      <c r="B429" s="22"/>
      <c r="C429" s="29"/>
      <c r="D429" s="29"/>
      <c r="E429" s="29"/>
      <c r="F429" s="29"/>
      <c r="G429" s="29"/>
      <c r="H429" s="29"/>
      <c r="I429" s="29"/>
      <c r="J429" s="29"/>
      <c r="K429" s="29"/>
    </row>
    <row r="430" spans="2:11" ht="15">
      <c r="B430" s="22"/>
      <c r="C430" s="29"/>
      <c r="D430" s="29"/>
      <c r="E430" s="29"/>
      <c r="F430" s="29"/>
      <c r="G430" s="29"/>
      <c r="H430" s="29"/>
      <c r="I430" s="29"/>
      <c r="J430" s="29"/>
      <c r="K430" s="29"/>
    </row>
    <row r="431" spans="2:11" ht="15">
      <c r="B431" s="22"/>
      <c r="C431" s="29"/>
      <c r="D431" s="29"/>
      <c r="E431" s="29"/>
      <c r="F431" s="29"/>
      <c r="G431" s="29"/>
      <c r="H431" s="29"/>
      <c r="I431" s="29"/>
      <c r="J431" s="29"/>
      <c r="K431" s="29"/>
    </row>
    <row r="432" spans="2:11" ht="15">
      <c r="B432" s="22"/>
      <c r="C432" s="29"/>
      <c r="D432" s="29"/>
      <c r="E432" s="29"/>
      <c r="F432" s="29"/>
      <c r="G432" s="29"/>
      <c r="H432" s="29"/>
      <c r="I432" s="29"/>
      <c r="J432" s="29"/>
      <c r="K432" s="29"/>
    </row>
    <row r="433" spans="2:11" ht="15">
      <c r="B433" s="22"/>
      <c r="C433" s="29"/>
      <c r="D433" s="29"/>
      <c r="E433" s="29"/>
      <c r="F433" s="29"/>
      <c r="G433" s="29"/>
      <c r="H433" s="29"/>
      <c r="I433" s="29"/>
      <c r="J433" s="29"/>
      <c r="K433" s="29"/>
    </row>
    <row r="434" spans="2:11" ht="15">
      <c r="B434" s="22"/>
      <c r="C434" s="29"/>
      <c r="D434" s="29"/>
      <c r="E434" s="29"/>
      <c r="F434" s="29"/>
      <c r="G434" s="29"/>
      <c r="H434" s="29"/>
      <c r="I434" s="29"/>
      <c r="J434" s="29"/>
      <c r="K434" s="29"/>
    </row>
    <row r="435" spans="2:11" ht="15">
      <c r="B435" s="22"/>
      <c r="C435" s="29"/>
      <c r="D435" s="29"/>
      <c r="E435" s="29"/>
      <c r="F435" s="29"/>
      <c r="G435" s="29"/>
      <c r="H435" s="29"/>
      <c r="I435" s="29"/>
      <c r="J435" s="29"/>
      <c r="K435" s="29"/>
    </row>
    <row r="436" spans="2:11" ht="15">
      <c r="B436" s="22"/>
      <c r="C436" s="29"/>
      <c r="D436" s="29"/>
      <c r="E436" s="29"/>
      <c r="F436" s="29"/>
      <c r="G436" s="29"/>
      <c r="H436" s="29"/>
      <c r="I436" s="29"/>
      <c r="J436" s="29"/>
      <c r="K436" s="29"/>
    </row>
    <row r="437" spans="2:11" ht="15">
      <c r="B437" s="23"/>
      <c r="C437" s="29"/>
      <c r="D437" s="29"/>
      <c r="E437" s="29"/>
      <c r="F437" s="29"/>
      <c r="G437" s="29"/>
      <c r="H437" s="29"/>
      <c r="I437" s="29"/>
      <c r="J437" s="29"/>
      <c r="K437" s="29"/>
    </row>
    <row r="438" spans="2:11" ht="15">
      <c r="B438" s="23"/>
      <c r="C438" s="29"/>
      <c r="D438" s="29"/>
      <c r="E438" s="29"/>
      <c r="F438" s="29"/>
      <c r="G438" s="29"/>
      <c r="H438" s="29"/>
      <c r="I438" s="29"/>
      <c r="J438" s="29"/>
      <c r="K438" s="29"/>
    </row>
    <row r="439" spans="2:11" ht="15">
      <c r="B439" s="24"/>
      <c r="C439" s="29"/>
      <c r="D439" s="29"/>
      <c r="E439" s="29"/>
      <c r="F439" s="29"/>
      <c r="G439" s="29"/>
      <c r="H439" s="29"/>
      <c r="I439" s="29"/>
      <c r="J439" s="29"/>
      <c r="K439" s="29"/>
    </row>
    <row r="440" spans="2:11" ht="15">
      <c r="B440" s="24"/>
      <c r="C440" s="29"/>
      <c r="D440" s="29"/>
      <c r="E440" s="29"/>
      <c r="F440" s="29"/>
      <c r="G440" s="29"/>
      <c r="H440" s="29"/>
      <c r="I440" s="29"/>
      <c r="J440" s="29"/>
      <c r="K440" s="29"/>
    </row>
    <row r="441" spans="2:11" ht="15">
      <c r="B441" s="44"/>
      <c r="C441" s="3"/>
      <c r="D441" s="3"/>
      <c r="E441" s="3"/>
      <c r="F441" s="3"/>
      <c r="G441" s="3"/>
      <c r="H441" s="3"/>
      <c r="I441" s="3"/>
      <c r="J441" s="3"/>
      <c r="K441" s="3"/>
    </row>
    <row r="442" spans="2:11" ht="15">
      <c r="B442" s="25"/>
      <c r="C442" s="29"/>
      <c r="D442" s="29"/>
      <c r="E442" s="29"/>
      <c r="F442" s="29"/>
      <c r="G442" s="29"/>
      <c r="H442" s="29"/>
      <c r="I442" s="29"/>
      <c r="J442" s="29"/>
      <c r="K442" s="29"/>
    </row>
    <row r="443" spans="2:11" ht="15">
      <c r="B443" s="25"/>
      <c r="C443" s="29"/>
      <c r="D443" s="29"/>
      <c r="E443" s="29"/>
      <c r="F443" s="29"/>
      <c r="G443" s="29"/>
      <c r="H443" s="29"/>
      <c r="I443" s="29"/>
      <c r="J443" s="29"/>
      <c r="K443" s="29"/>
    </row>
    <row r="444" spans="2:11" ht="15">
      <c r="B444" s="16"/>
      <c r="C444" s="29"/>
      <c r="D444" s="29"/>
      <c r="E444" s="29"/>
      <c r="F444" s="29"/>
      <c r="G444" s="29"/>
      <c r="H444" s="29"/>
      <c r="I444" s="29"/>
      <c r="J444" s="29"/>
      <c r="K444" s="29"/>
    </row>
    <row r="445" spans="2:11" ht="15">
      <c r="B445" s="16"/>
      <c r="C445" s="29"/>
      <c r="D445" s="29"/>
      <c r="E445" s="29"/>
      <c r="F445" s="29"/>
      <c r="G445" s="29"/>
      <c r="H445" s="29"/>
      <c r="I445" s="29"/>
      <c r="J445" s="29"/>
      <c r="K445" s="29"/>
    </row>
    <row r="446" spans="2:11" ht="15">
      <c r="B446" s="16"/>
      <c r="C446" s="29"/>
      <c r="D446" s="29"/>
      <c r="E446" s="29"/>
      <c r="F446" s="29"/>
      <c r="G446" s="29"/>
      <c r="H446" s="29"/>
      <c r="I446" s="29"/>
      <c r="J446" s="29"/>
      <c r="K446" s="29"/>
    </row>
    <row r="447" spans="2:11" ht="15">
      <c r="B447" s="16"/>
      <c r="C447" s="29"/>
      <c r="D447" s="29"/>
      <c r="E447" s="29"/>
      <c r="F447" s="29"/>
      <c r="G447" s="29"/>
      <c r="H447" s="29"/>
      <c r="I447" s="29"/>
      <c r="J447" s="29"/>
      <c r="K447" s="29"/>
    </row>
    <row r="448" spans="2:11" ht="15">
      <c r="B448" s="16"/>
      <c r="C448" s="29"/>
      <c r="D448" s="29"/>
      <c r="E448" s="29"/>
      <c r="F448" s="29"/>
      <c r="G448" s="29"/>
      <c r="H448" s="29"/>
      <c r="I448" s="29"/>
      <c r="J448" s="29"/>
      <c r="K448" s="29"/>
    </row>
    <row r="449" spans="2:11" ht="15">
      <c r="B449" s="16"/>
      <c r="C449" s="29"/>
      <c r="D449" s="29"/>
      <c r="E449" s="29"/>
      <c r="F449" s="29"/>
      <c r="G449" s="29"/>
      <c r="H449" s="29"/>
      <c r="I449" s="29"/>
      <c r="J449" s="29"/>
      <c r="K449" s="29"/>
    </row>
    <row r="450" spans="2:11" ht="15">
      <c r="B450" s="16"/>
      <c r="C450" s="29"/>
      <c r="D450" s="29"/>
      <c r="E450" s="29"/>
      <c r="F450" s="29"/>
      <c r="G450" s="29"/>
      <c r="H450" s="29"/>
      <c r="I450" s="29"/>
      <c r="J450" s="29"/>
      <c r="K450" s="29"/>
    </row>
    <row r="451" spans="2:11" ht="15">
      <c r="B451" s="16"/>
      <c r="C451" s="29"/>
      <c r="D451" s="29"/>
      <c r="E451" s="29"/>
      <c r="F451" s="29"/>
      <c r="G451" s="29"/>
      <c r="H451" s="29"/>
      <c r="I451" s="29"/>
      <c r="J451" s="29"/>
      <c r="K451" s="29"/>
    </row>
    <row r="452" spans="2:11" ht="15">
      <c r="B452" s="16"/>
      <c r="C452" s="29"/>
      <c r="D452" s="29"/>
      <c r="E452" s="29"/>
      <c r="F452" s="29"/>
      <c r="G452" s="29"/>
      <c r="H452" s="29"/>
      <c r="I452" s="29"/>
      <c r="J452" s="29"/>
      <c r="K452" s="29"/>
    </row>
    <row r="453" spans="2:11" ht="15">
      <c r="B453" s="16"/>
      <c r="C453" s="29"/>
      <c r="D453" s="29"/>
      <c r="E453" s="29"/>
      <c r="F453" s="29"/>
      <c r="G453" s="29"/>
      <c r="H453" s="29"/>
      <c r="I453" s="29"/>
      <c r="J453" s="29"/>
      <c r="K453" s="29"/>
    </row>
    <row r="454" spans="2:11" ht="15">
      <c r="B454" s="16"/>
      <c r="C454" s="29"/>
      <c r="D454" s="29"/>
      <c r="E454" s="29"/>
      <c r="F454" s="29"/>
      <c r="G454" s="29"/>
      <c r="H454" s="29"/>
      <c r="I454" s="29"/>
      <c r="J454" s="29"/>
      <c r="K454" s="29"/>
    </row>
    <row r="457" spans="2:11" ht="18.75">
      <c r="B457" s="527"/>
      <c r="C457" s="527"/>
      <c r="D457" s="527"/>
      <c r="E457" s="527"/>
      <c r="F457" s="527"/>
      <c r="G457" s="527"/>
      <c r="H457" s="527"/>
      <c r="I457" s="527"/>
      <c r="J457" s="527"/>
      <c r="K457" s="37"/>
    </row>
    <row r="458" spans="2:11" ht="15">
      <c r="B458" s="38"/>
      <c r="C458" s="29"/>
      <c r="D458" s="29"/>
      <c r="E458" s="29"/>
      <c r="F458" s="29"/>
      <c r="G458" s="29"/>
      <c r="H458" s="29"/>
      <c r="I458" s="29"/>
      <c r="J458" s="29"/>
      <c r="K458" s="29"/>
    </row>
    <row r="459" spans="2:11">
      <c r="B459" s="526"/>
      <c r="C459" s="526"/>
      <c r="D459" s="526"/>
      <c r="E459" s="526"/>
      <c r="F459" s="526"/>
      <c r="G459" s="526"/>
      <c r="H459" s="526"/>
      <c r="I459" s="526"/>
      <c r="J459" s="526"/>
      <c r="K459" s="37"/>
    </row>
    <row r="460" spans="2:11" ht="18" customHeight="1">
      <c r="B460" s="526"/>
      <c r="C460" s="526"/>
      <c r="D460" s="526"/>
      <c r="E460" s="526"/>
      <c r="F460" s="526"/>
      <c r="G460" s="526"/>
      <c r="H460" s="526"/>
      <c r="I460" s="526"/>
      <c r="J460" s="526"/>
      <c r="K460" s="37"/>
    </row>
    <row r="461" spans="2:11" ht="15">
      <c r="B461" s="39"/>
      <c r="C461" s="40"/>
      <c r="D461" s="40"/>
      <c r="E461" s="40"/>
      <c r="F461" s="29"/>
      <c r="G461" s="29"/>
      <c r="H461" s="29"/>
      <c r="I461" s="29"/>
      <c r="J461" s="29"/>
      <c r="K461" s="29"/>
    </row>
    <row r="462" spans="2:11" ht="15">
      <c r="B462" s="41"/>
      <c r="C462" s="29"/>
      <c r="D462" s="32"/>
      <c r="E462" s="32"/>
      <c r="F462" s="32"/>
      <c r="G462" s="29"/>
      <c r="H462" s="29"/>
      <c r="I462" s="29"/>
      <c r="J462" s="29"/>
      <c r="K462" s="29"/>
    </row>
    <row r="463" spans="2:11" ht="15">
      <c r="B463" s="30"/>
      <c r="C463" s="32"/>
      <c r="D463" s="32"/>
      <c r="E463" s="32"/>
      <c r="F463" s="32"/>
      <c r="G463" s="32"/>
      <c r="H463" s="32"/>
      <c r="I463" s="32"/>
      <c r="J463" s="32"/>
      <c r="K463" s="32"/>
    </row>
    <row r="464" spans="2:11" ht="15">
      <c r="B464" s="16"/>
      <c r="C464" s="32"/>
      <c r="D464" s="32"/>
      <c r="E464" s="43"/>
      <c r="F464" s="43"/>
      <c r="G464" s="43"/>
      <c r="H464" s="43"/>
      <c r="I464" s="43"/>
      <c r="J464" s="43"/>
      <c r="K464" s="43"/>
    </row>
    <row r="465" spans="2:11" ht="15">
      <c r="B465" s="16"/>
      <c r="C465" s="32"/>
      <c r="D465" s="29"/>
      <c r="E465" s="29"/>
      <c r="F465" s="29"/>
      <c r="G465" s="29"/>
      <c r="H465" s="29"/>
      <c r="I465" s="29"/>
      <c r="J465" s="29"/>
      <c r="K465" s="29"/>
    </row>
    <row r="466" spans="2:11" ht="15">
      <c r="B466" s="44"/>
      <c r="C466" s="29"/>
      <c r="D466" s="29"/>
      <c r="E466" s="29"/>
      <c r="F466" s="29"/>
      <c r="G466" s="29"/>
      <c r="H466" s="29"/>
      <c r="I466" s="29"/>
      <c r="J466" s="29"/>
      <c r="K466" s="29"/>
    </row>
    <row r="467" spans="2:11" ht="15">
      <c r="B467" s="46"/>
      <c r="C467" s="29"/>
      <c r="D467" s="29"/>
      <c r="E467" s="29"/>
      <c r="F467" s="29"/>
      <c r="G467" s="29"/>
      <c r="H467" s="29"/>
      <c r="I467" s="29"/>
      <c r="J467" s="29"/>
      <c r="K467" s="29"/>
    </row>
    <row r="468" spans="2:11" ht="15">
      <c r="B468" s="46"/>
      <c r="C468" s="29"/>
      <c r="D468" s="29"/>
      <c r="E468" s="29"/>
      <c r="F468" s="29"/>
      <c r="G468" s="29"/>
      <c r="H468" s="29"/>
      <c r="I468" s="29"/>
      <c r="J468" s="29"/>
      <c r="K468" s="29"/>
    </row>
    <row r="469" spans="2:11" ht="15">
      <c r="B469" s="46"/>
      <c r="C469" s="29"/>
      <c r="D469" s="29"/>
      <c r="E469" s="29"/>
      <c r="F469" s="29"/>
      <c r="G469" s="29"/>
      <c r="H469" s="29"/>
      <c r="I469" s="29"/>
      <c r="J469" s="29"/>
      <c r="K469" s="29"/>
    </row>
    <row r="470" spans="2:11" ht="15">
      <c r="B470" s="46"/>
      <c r="C470" s="29"/>
      <c r="D470" s="29"/>
      <c r="E470" s="29"/>
      <c r="F470" s="29"/>
      <c r="G470" s="29"/>
      <c r="H470" s="29"/>
      <c r="I470" s="29"/>
      <c r="J470" s="29"/>
      <c r="K470" s="29"/>
    </row>
    <row r="471" spans="2:11" ht="15">
      <c r="B471" s="46"/>
      <c r="C471" s="29"/>
      <c r="D471" s="29"/>
      <c r="E471" s="29"/>
      <c r="F471" s="29"/>
      <c r="G471" s="29"/>
      <c r="H471" s="29"/>
      <c r="I471" s="29"/>
      <c r="J471" s="29"/>
      <c r="K471" s="29"/>
    </row>
    <row r="472" spans="2:11" ht="15">
      <c r="B472" s="23"/>
      <c r="C472" s="29"/>
      <c r="D472" s="29"/>
      <c r="E472" s="29"/>
      <c r="F472" s="29"/>
      <c r="G472" s="29"/>
      <c r="H472" s="29"/>
      <c r="I472" s="29"/>
      <c r="J472" s="29"/>
      <c r="K472" s="29"/>
    </row>
    <row r="473" spans="2:11" ht="15">
      <c r="B473" s="16"/>
      <c r="C473" s="29"/>
      <c r="D473" s="29"/>
      <c r="E473" s="29"/>
      <c r="F473" s="29"/>
      <c r="G473" s="29"/>
      <c r="H473" s="29"/>
      <c r="I473" s="29"/>
      <c r="J473" s="29"/>
      <c r="K473" s="29"/>
    </row>
    <row r="474" spans="2:11" ht="15">
      <c r="B474" s="44"/>
      <c r="C474" s="29"/>
      <c r="D474" s="29"/>
      <c r="E474" s="29"/>
      <c r="F474" s="29"/>
      <c r="G474" s="29"/>
      <c r="H474" s="29"/>
      <c r="I474" s="29"/>
      <c r="J474" s="29"/>
      <c r="K474" s="29"/>
    </row>
    <row r="475" spans="2:11" ht="15">
      <c r="B475" s="22"/>
      <c r="C475" s="29"/>
      <c r="D475" s="29"/>
      <c r="E475" s="29"/>
      <c r="F475" s="29"/>
      <c r="G475" s="29"/>
      <c r="H475" s="29"/>
      <c r="I475" s="29"/>
      <c r="J475" s="29"/>
      <c r="K475" s="29"/>
    </row>
    <row r="476" spans="2:11" ht="15">
      <c r="B476" s="22"/>
      <c r="C476" s="29"/>
      <c r="D476" s="29"/>
      <c r="E476" s="29"/>
      <c r="F476" s="29"/>
      <c r="G476" s="29"/>
      <c r="H476" s="29"/>
      <c r="I476" s="29"/>
      <c r="J476" s="29"/>
      <c r="K476" s="29"/>
    </row>
    <row r="477" spans="2:11" ht="15">
      <c r="B477" s="22"/>
      <c r="C477" s="29"/>
      <c r="D477" s="29"/>
      <c r="E477" s="29"/>
      <c r="F477" s="29"/>
      <c r="G477" s="29"/>
      <c r="H477" s="29"/>
      <c r="I477" s="29"/>
      <c r="J477" s="29"/>
      <c r="K477" s="29"/>
    </row>
    <row r="478" spans="2:11" ht="15">
      <c r="B478" s="22"/>
      <c r="C478" s="29"/>
      <c r="D478" s="29"/>
      <c r="E478" s="29"/>
      <c r="F478" s="29"/>
      <c r="G478" s="29"/>
      <c r="H478" s="29"/>
      <c r="I478" s="29"/>
      <c r="J478" s="29"/>
      <c r="K478" s="29"/>
    </row>
    <row r="479" spans="2:11" ht="15">
      <c r="B479" s="22"/>
      <c r="C479" s="29"/>
      <c r="D479" s="29"/>
      <c r="E479" s="29"/>
      <c r="F479" s="29"/>
      <c r="G479" s="29"/>
      <c r="H479" s="29"/>
      <c r="I479" s="29"/>
      <c r="J479" s="29"/>
      <c r="K479" s="29"/>
    </row>
    <row r="480" spans="2:11" ht="15">
      <c r="B480" s="22"/>
      <c r="C480" s="29"/>
      <c r="D480" s="29"/>
      <c r="E480" s="29"/>
      <c r="F480" s="29"/>
      <c r="G480" s="29"/>
      <c r="H480" s="29"/>
      <c r="I480" s="29"/>
      <c r="J480" s="29"/>
      <c r="K480" s="29"/>
    </row>
    <row r="481" spans="2:11" ht="15">
      <c r="B481" s="22"/>
      <c r="C481" s="29"/>
      <c r="D481" s="29"/>
      <c r="E481" s="29"/>
      <c r="F481" s="29"/>
      <c r="G481" s="29"/>
      <c r="H481" s="29"/>
      <c r="I481" s="29"/>
      <c r="J481" s="29"/>
      <c r="K481" s="29"/>
    </row>
    <row r="482" spans="2:11" ht="15">
      <c r="B482" s="22"/>
      <c r="C482" s="29"/>
      <c r="D482" s="29"/>
      <c r="E482" s="29"/>
      <c r="F482" s="29"/>
      <c r="G482" s="29"/>
      <c r="H482" s="29"/>
      <c r="I482" s="29"/>
      <c r="J482" s="29"/>
      <c r="K482" s="29"/>
    </row>
    <row r="483" spans="2:11" ht="15">
      <c r="B483" s="22"/>
      <c r="C483" s="29"/>
      <c r="D483" s="29"/>
      <c r="E483" s="29"/>
      <c r="F483" s="29"/>
      <c r="G483" s="29"/>
      <c r="H483" s="29"/>
      <c r="I483" s="29"/>
      <c r="J483" s="29"/>
      <c r="K483" s="29"/>
    </row>
    <row r="484" spans="2:11" ht="15">
      <c r="B484" s="23"/>
      <c r="C484" s="29"/>
      <c r="D484" s="29"/>
      <c r="E484" s="29"/>
      <c r="F484" s="29"/>
      <c r="G484" s="29"/>
      <c r="H484" s="29"/>
      <c r="I484" s="29"/>
      <c r="J484" s="29"/>
      <c r="K484" s="29"/>
    </row>
    <row r="485" spans="2:11" ht="15">
      <c r="B485" s="23"/>
      <c r="C485" s="29"/>
      <c r="D485" s="29"/>
      <c r="E485" s="29"/>
      <c r="F485" s="29"/>
      <c r="G485" s="29"/>
      <c r="H485" s="29"/>
      <c r="I485" s="29"/>
      <c r="J485" s="29"/>
      <c r="K485" s="29"/>
    </row>
    <row r="486" spans="2:11" ht="15">
      <c r="B486" s="24"/>
      <c r="C486" s="29"/>
      <c r="D486" s="29"/>
      <c r="E486" s="29"/>
      <c r="F486" s="29"/>
      <c r="G486" s="29"/>
      <c r="H486" s="29"/>
      <c r="I486" s="29"/>
      <c r="J486" s="29"/>
      <c r="K486" s="29"/>
    </row>
    <row r="487" spans="2:11" ht="15">
      <c r="B487" s="24"/>
      <c r="C487" s="29"/>
      <c r="D487" s="29"/>
      <c r="E487" s="29"/>
      <c r="F487" s="29"/>
      <c r="G487" s="29"/>
      <c r="H487" s="29"/>
      <c r="I487" s="29"/>
      <c r="J487" s="29"/>
      <c r="K487" s="29"/>
    </row>
    <row r="488" spans="2:11" ht="15">
      <c r="B488" s="44"/>
      <c r="C488" s="29"/>
      <c r="D488" s="29"/>
      <c r="E488" s="29"/>
      <c r="F488" s="29"/>
      <c r="G488" s="29"/>
      <c r="H488" s="29"/>
      <c r="I488" s="29"/>
      <c r="J488" s="29"/>
      <c r="K488" s="29"/>
    </row>
    <row r="489" spans="2:11" ht="15">
      <c r="B489" s="25"/>
      <c r="C489" s="29"/>
      <c r="D489" s="29"/>
      <c r="E489" s="29"/>
      <c r="F489" s="29"/>
      <c r="G489" s="29"/>
      <c r="H489" s="29"/>
      <c r="I489" s="29"/>
      <c r="J489" s="29"/>
      <c r="K489" s="29"/>
    </row>
    <row r="490" spans="2:11" ht="15">
      <c r="B490" s="25"/>
      <c r="C490" s="29"/>
      <c r="D490" s="29"/>
      <c r="E490" s="29"/>
      <c r="F490" s="29"/>
      <c r="G490" s="29"/>
      <c r="H490" s="29"/>
      <c r="I490" s="29"/>
      <c r="J490" s="29"/>
      <c r="K490" s="29"/>
    </row>
    <row r="491" spans="2:11" ht="15">
      <c r="B491" s="16"/>
      <c r="C491" s="29"/>
      <c r="D491" s="29"/>
      <c r="E491" s="29"/>
      <c r="F491" s="29"/>
      <c r="G491" s="29"/>
      <c r="H491" s="29"/>
      <c r="I491" s="29"/>
      <c r="J491" s="29"/>
      <c r="K491" s="29"/>
    </row>
    <row r="492" spans="2:11" ht="15">
      <c r="B492" s="16"/>
      <c r="C492" s="29"/>
      <c r="D492" s="29"/>
      <c r="E492" s="29"/>
      <c r="F492" s="29"/>
      <c r="G492" s="29"/>
      <c r="H492" s="29"/>
      <c r="I492" s="29"/>
      <c r="J492" s="29"/>
      <c r="K492" s="29"/>
    </row>
    <row r="493" spans="2:11" ht="15">
      <c r="B493" s="16"/>
      <c r="C493" s="29"/>
      <c r="D493" s="29"/>
      <c r="E493" s="29"/>
      <c r="F493" s="29"/>
      <c r="G493" s="29"/>
      <c r="H493" s="29"/>
      <c r="I493" s="29"/>
      <c r="J493" s="29"/>
      <c r="K493" s="29"/>
    </row>
    <row r="494" spans="2:11" ht="15">
      <c r="B494" s="16"/>
      <c r="C494" s="29"/>
      <c r="D494" s="29"/>
      <c r="E494" s="29"/>
      <c r="F494" s="29"/>
      <c r="G494" s="29"/>
      <c r="H494" s="29"/>
      <c r="I494" s="29"/>
      <c r="J494" s="29"/>
      <c r="K494" s="29"/>
    </row>
    <row r="495" spans="2:11" ht="15">
      <c r="B495" s="16"/>
      <c r="C495" s="29"/>
      <c r="D495" s="29"/>
      <c r="E495" s="29"/>
      <c r="F495" s="29"/>
      <c r="G495" s="29"/>
      <c r="H495" s="29"/>
      <c r="I495" s="29"/>
      <c r="J495" s="29"/>
      <c r="K495" s="29"/>
    </row>
    <row r="496" spans="2:11" ht="15">
      <c r="B496" s="16"/>
      <c r="C496" s="29"/>
      <c r="D496" s="29"/>
      <c r="E496" s="29"/>
      <c r="F496" s="29"/>
      <c r="G496" s="29"/>
      <c r="H496" s="29"/>
      <c r="I496" s="29"/>
      <c r="J496" s="29"/>
      <c r="K496" s="29"/>
    </row>
    <row r="497" spans="2:11" ht="15">
      <c r="B497" s="16"/>
      <c r="C497" s="29"/>
      <c r="D497" s="29"/>
      <c r="E497" s="29"/>
      <c r="F497" s="29"/>
      <c r="G497" s="29"/>
      <c r="H497" s="29"/>
      <c r="I497" s="29"/>
      <c r="J497" s="29"/>
      <c r="K497" s="29"/>
    </row>
    <row r="498" spans="2:11" ht="15">
      <c r="B498" s="16"/>
      <c r="C498" s="29"/>
      <c r="D498" s="29"/>
      <c r="E498" s="29"/>
      <c r="F498" s="29"/>
      <c r="G498" s="29"/>
      <c r="H498" s="29"/>
      <c r="I498" s="29"/>
      <c r="J498" s="29"/>
      <c r="K498" s="29"/>
    </row>
    <row r="499" spans="2:11" ht="15">
      <c r="B499" s="16"/>
      <c r="C499" s="29"/>
      <c r="D499" s="29"/>
      <c r="E499" s="29"/>
      <c r="F499" s="29"/>
      <c r="G499" s="29"/>
      <c r="H499" s="29"/>
      <c r="I499" s="29"/>
      <c r="J499" s="29"/>
      <c r="K499" s="29"/>
    </row>
    <row r="500" spans="2:11" ht="15">
      <c r="B500" s="16"/>
      <c r="C500" s="29"/>
      <c r="D500" s="29"/>
      <c r="E500" s="29"/>
      <c r="F500" s="29"/>
      <c r="G500" s="29"/>
      <c r="H500" s="29"/>
      <c r="I500" s="29"/>
      <c r="J500" s="29"/>
      <c r="K500" s="29"/>
    </row>
    <row r="503" spans="2:11" ht="18.75">
      <c r="B503" s="527"/>
      <c r="C503" s="527"/>
      <c r="D503" s="527"/>
      <c r="E503" s="527"/>
      <c r="F503" s="527"/>
      <c r="G503" s="527"/>
      <c r="H503" s="527"/>
      <c r="I503" s="527"/>
      <c r="J503" s="527"/>
      <c r="K503" s="37"/>
    </row>
    <row r="504" spans="2:11" ht="15">
      <c r="B504" s="38"/>
      <c r="C504" s="29"/>
      <c r="D504" s="29"/>
      <c r="E504" s="29"/>
      <c r="F504" s="29"/>
      <c r="G504" s="29"/>
      <c r="H504" s="29"/>
      <c r="I504" s="29"/>
      <c r="J504" s="29"/>
      <c r="K504" s="29"/>
    </row>
    <row r="505" spans="2:11">
      <c r="B505" s="528"/>
      <c r="C505" s="528"/>
      <c r="D505" s="528"/>
      <c r="E505" s="528"/>
      <c r="F505" s="528"/>
      <c r="G505" s="528"/>
      <c r="H505" s="528"/>
      <c r="I505" s="528"/>
      <c r="J505" s="528"/>
      <c r="K505" s="37"/>
    </row>
    <row r="506" spans="2:11">
      <c r="B506" s="528"/>
      <c r="C506" s="528"/>
      <c r="D506" s="528"/>
      <c r="E506" s="528"/>
      <c r="F506" s="528"/>
      <c r="G506" s="528"/>
      <c r="H506" s="528"/>
      <c r="I506" s="528"/>
      <c r="J506" s="528"/>
      <c r="K506" s="37"/>
    </row>
    <row r="507" spans="2:11" ht="18.75" customHeight="1">
      <c r="B507" s="528"/>
      <c r="C507" s="528"/>
      <c r="D507" s="528"/>
      <c r="E507" s="528"/>
      <c r="F507" s="528"/>
      <c r="G507" s="528"/>
      <c r="H507" s="528"/>
      <c r="I507" s="528"/>
      <c r="J507" s="528"/>
      <c r="K507" s="37"/>
    </row>
    <row r="508" spans="2:11" ht="15">
      <c r="B508" s="41"/>
      <c r="C508" s="29"/>
      <c r="D508" s="32"/>
      <c r="E508" s="32"/>
      <c r="F508" s="32"/>
      <c r="G508" s="29"/>
      <c r="H508" s="29"/>
      <c r="I508" s="29"/>
      <c r="J508" s="29"/>
      <c r="K508" s="29"/>
    </row>
    <row r="509" spans="2:11" ht="15">
      <c r="B509" s="30"/>
      <c r="C509" s="32"/>
      <c r="D509" s="32"/>
      <c r="E509" s="32"/>
      <c r="F509" s="32"/>
      <c r="G509" s="32"/>
      <c r="H509" s="32"/>
      <c r="I509" s="32"/>
      <c r="J509" s="32"/>
      <c r="K509" s="32"/>
    </row>
    <row r="510" spans="2:11" ht="15">
      <c r="B510" s="16"/>
      <c r="C510" s="32"/>
      <c r="D510" s="32"/>
      <c r="E510" s="43"/>
      <c r="F510" s="43"/>
      <c r="G510" s="43"/>
      <c r="H510" s="43"/>
      <c r="I510" s="43"/>
      <c r="J510" s="43"/>
      <c r="K510" s="43"/>
    </row>
    <row r="511" spans="2:11" ht="15">
      <c r="B511" s="16"/>
      <c r="C511" s="32"/>
      <c r="D511" s="29"/>
      <c r="E511" s="29"/>
      <c r="F511" s="29"/>
      <c r="G511" s="29"/>
      <c r="H511" s="29"/>
      <c r="I511" s="29"/>
      <c r="J511" s="29"/>
      <c r="K511" s="29"/>
    </row>
    <row r="512" spans="2:11" ht="15">
      <c r="B512" s="44"/>
      <c r="C512" s="29"/>
      <c r="D512" s="29"/>
      <c r="E512" s="29"/>
      <c r="F512" s="29"/>
      <c r="G512" s="29"/>
      <c r="H512" s="29"/>
      <c r="I512" s="29"/>
      <c r="J512" s="29"/>
      <c r="K512" s="29"/>
    </row>
    <row r="513" spans="2:11" ht="15">
      <c r="B513" s="46"/>
      <c r="C513" s="29"/>
      <c r="D513" s="29"/>
      <c r="E513" s="29"/>
      <c r="F513" s="29"/>
      <c r="G513" s="29"/>
      <c r="H513" s="29"/>
      <c r="I513" s="29"/>
      <c r="J513" s="29"/>
      <c r="K513" s="29"/>
    </row>
    <row r="514" spans="2:11" ht="15">
      <c r="B514" s="46"/>
      <c r="C514" s="29"/>
      <c r="D514" s="29"/>
      <c r="E514" s="29"/>
      <c r="F514" s="29"/>
      <c r="G514" s="29"/>
      <c r="H514" s="29"/>
      <c r="I514" s="29"/>
      <c r="J514" s="29"/>
      <c r="K514" s="29"/>
    </row>
    <row r="515" spans="2:11" ht="15">
      <c r="B515" s="23"/>
      <c r="C515" s="29"/>
      <c r="D515" s="29"/>
      <c r="E515" s="29"/>
      <c r="F515" s="29"/>
      <c r="G515" s="29"/>
      <c r="H515" s="29"/>
      <c r="I515" s="29"/>
      <c r="J515" s="29"/>
      <c r="K515" s="29"/>
    </row>
    <row r="516" spans="2:11" ht="15">
      <c r="B516" s="16"/>
      <c r="C516" s="29"/>
      <c r="D516" s="29"/>
      <c r="E516" s="29"/>
      <c r="F516" s="29"/>
      <c r="G516" s="29"/>
      <c r="H516" s="29"/>
      <c r="I516" s="29"/>
      <c r="J516" s="29"/>
      <c r="K516" s="29"/>
    </row>
    <row r="517" spans="2:11" ht="15">
      <c r="B517" s="44"/>
      <c r="C517" s="29"/>
      <c r="D517" s="29"/>
      <c r="E517" s="29"/>
      <c r="F517" s="29"/>
      <c r="G517" s="29"/>
      <c r="H517" s="29"/>
      <c r="I517" s="29"/>
      <c r="J517" s="29"/>
      <c r="K517" s="29"/>
    </row>
    <row r="518" spans="2:11" ht="15">
      <c r="B518" s="22"/>
      <c r="C518" s="29"/>
      <c r="D518" s="29"/>
      <c r="E518" s="29"/>
      <c r="F518" s="29"/>
      <c r="G518" s="29"/>
      <c r="H518" s="29"/>
      <c r="I518" s="29"/>
      <c r="J518" s="29"/>
      <c r="K518" s="29"/>
    </row>
    <row r="519" spans="2:11" ht="15">
      <c r="B519" s="22"/>
      <c r="C519" s="29"/>
      <c r="D519" s="29"/>
      <c r="E519" s="29"/>
      <c r="F519" s="29"/>
      <c r="G519" s="29"/>
      <c r="H519" s="29"/>
      <c r="I519" s="29"/>
      <c r="J519" s="29"/>
      <c r="K519" s="29"/>
    </row>
    <row r="520" spans="2:11" ht="15">
      <c r="B520" s="23"/>
      <c r="C520" s="29"/>
      <c r="D520" s="29"/>
      <c r="E520" s="29"/>
      <c r="F520" s="29"/>
      <c r="G520" s="29"/>
      <c r="H520" s="29"/>
      <c r="I520" s="29"/>
      <c r="J520" s="29"/>
      <c r="K520" s="29"/>
    </row>
    <row r="521" spans="2:11" ht="15">
      <c r="B521" s="23"/>
      <c r="C521" s="29"/>
      <c r="D521" s="29"/>
      <c r="E521" s="29"/>
      <c r="F521" s="29"/>
      <c r="G521" s="29"/>
      <c r="H521" s="29"/>
      <c r="I521" s="29"/>
      <c r="J521" s="29"/>
      <c r="K521" s="29"/>
    </row>
    <row r="522" spans="2:11" ht="15">
      <c r="B522" s="24"/>
      <c r="C522" s="29"/>
      <c r="D522" s="29"/>
      <c r="E522" s="29"/>
      <c r="F522" s="29"/>
      <c r="G522" s="29"/>
      <c r="H522" s="29"/>
      <c r="I522" s="29"/>
      <c r="J522" s="29"/>
      <c r="K522" s="29"/>
    </row>
    <row r="523" spans="2:11" ht="15">
      <c r="B523" s="24"/>
      <c r="C523" s="29"/>
      <c r="D523" s="29"/>
      <c r="E523" s="29"/>
      <c r="F523" s="29"/>
      <c r="G523" s="29"/>
      <c r="H523" s="29"/>
      <c r="I523" s="29"/>
      <c r="J523" s="29"/>
      <c r="K523" s="29"/>
    </row>
    <row r="524" spans="2:11" ht="15">
      <c r="B524" s="44"/>
      <c r="C524" s="29"/>
      <c r="D524" s="29"/>
      <c r="E524" s="29"/>
      <c r="F524" s="29"/>
      <c r="G524" s="29"/>
      <c r="H524" s="29"/>
      <c r="I524" s="29"/>
      <c r="J524" s="29"/>
      <c r="K524" s="29"/>
    </row>
    <row r="525" spans="2:11" ht="15">
      <c r="B525" s="25"/>
      <c r="C525" s="29"/>
      <c r="D525" s="29"/>
      <c r="E525" s="29"/>
      <c r="F525" s="29"/>
      <c r="G525" s="29"/>
      <c r="H525" s="29"/>
      <c r="I525" s="29"/>
      <c r="J525" s="29"/>
      <c r="K525" s="29"/>
    </row>
    <row r="526" spans="2:11" ht="15">
      <c r="B526" s="25"/>
      <c r="C526" s="29"/>
      <c r="D526" s="29"/>
      <c r="E526" s="29"/>
      <c r="F526" s="29"/>
      <c r="G526" s="29"/>
      <c r="H526" s="29"/>
      <c r="I526" s="29"/>
      <c r="J526" s="29"/>
      <c r="K526" s="29"/>
    </row>
    <row r="527" spans="2:11" ht="15">
      <c r="B527" s="16"/>
      <c r="C527" s="29"/>
      <c r="D527" s="29"/>
      <c r="E527" s="29"/>
      <c r="F527" s="29"/>
      <c r="G527" s="29"/>
      <c r="H527" s="29"/>
      <c r="I527" s="29"/>
      <c r="J527" s="29"/>
      <c r="K527" s="29"/>
    </row>
    <row r="528" spans="2:11" ht="15">
      <c r="B528" s="16"/>
      <c r="C528" s="29"/>
      <c r="D528" s="29"/>
      <c r="E528" s="29"/>
      <c r="F528" s="29"/>
      <c r="G528" s="29"/>
      <c r="H528" s="29"/>
      <c r="I528" s="29"/>
      <c r="J528" s="29"/>
      <c r="K528" s="29"/>
    </row>
    <row r="529" spans="2:11" ht="15">
      <c r="B529" s="16"/>
      <c r="C529" s="29"/>
      <c r="D529" s="29"/>
      <c r="E529" s="29"/>
      <c r="F529" s="29"/>
      <c r="G529" s="29"/>
      <c r="H529" s="29"/>
      <c r="I529" s="29"/>
      <c r="J529" s="29"/>
      <c r="K529" s="29"/>
    </row>
    <row r="530" spans="2:11" ht="15">
      <c r="B530" s="16"/>
      <c r="C530" s="29"/>
      <c r="D530" s="29"/>
      <c r="E530" s="29"/>
      <c r="F530" s="29"/>
      <c r="G530" s="29"/>
      <c r="H530" s="29"/>
      <c r="I530" s="29"/>
      <c r="J530" s="29"/>
      <c r="K530" s="29"/>
    </row>
    <row r="531" spans="2:11" ht="15">
      <c r="B531" s="16"/>
      <c r="C531" s="29"/>
      <c r="D531" s="29"/>
      <c r="E531" s="29"/>
      <c r="F531" s="29"/>
      <c r="G531" s="29"/>
      <c r="H531" s="29"/>
      <c r="I531" s="29"/>
      <c r="J531" s="29"/>
      <c r="K531" s="29"/>
    </row>
    <row r="532" spans="2:11" ht="15">
      <c r="B532" s="16"/>
      <c r="C532" s="29"/>
      <c r="D532" s="29"/>
      <c r="E532" s="29"/>
      <c r="F532" s="29"/>
      <c r="G532" s="29"/>
      <c r="H532" s="29"/>
      <c r="I532" s="29"/>
      <c r="J532" s="29"/>
      <c r="K532" s="29"/>
    </row>
    <row r="533" spans="2:11" ht="15">
      <c r="B533" s="16"/>
      <c r="C533" s="29"/>
      <c r="D533" s="29"/>
      <c r="E533" s="29"/>
      <c r="F533" s="29"/>
      <c r="G533" s="29"/>
      <c r="H533" s="29"/>
      <c r="I533" s="29"/>
      <c r="J533" s="29"/>
      <c r="K533" s="29"/>
    </row>
    <row r="534" spans="2:11" ht="15">
      <c r="B534" s="16"/>
      <c r="C534" s="29"/>
      <c r="D534" s="29"/>
      <c r="E534" s="29"/>
      <c r="F534" s="29"/>
      <c r="G534" s="29"/>
      <c r="H534" s="29"/>
      <c r="I534" s="29"/>
      <c r="J534" s="29"/>
      <c r="K534" s="29"/>
    </row>
    <row r="535" spans="2:11" ht="15">
      <c r="B535" s="16"/>
      <c r="C535" s="29"/>
      <c r="D535" s="29"/>
      <c r="E535" s="29"/>
      <c r="F535" s="29"/>
      <c r="G535" s="29"/>
      <c r="H535" s="29"/>
      <c r="I535" s="29"/>
      <c r="J535" s="29"/>
      <c r="K535" s="29"/>
    </row>
    <row r="536" spans="2:11" ht="15">
      <c r="B536" s="16"/>
      <c r="C536" s="29"/>
      <c r="D536" s="29"/>
      <c r="E536" s="29"/>
      <c r="F536" s="29"/>
      <c r="G536" s="29"/>
      <c r="H536" s="29"/>
      <c r="I536" s="29"/>
      <c r="J536" s="29"/>
      <c r="K536" s="29"/>
    </row>
    <row r="539" spans="2:11" ht="18.75">
      <c r="B539" s="527"/>
      <c r="C539" s="527"/>
      <c r="D539" s="527"/>
      <c r="E539" s="527"/>
      <c r="F539" s="527"/>
      <c r="G539" s="527"/>
      <c r="H539" s="527"/>
      <c r="I539" s="527"/>
      <c r="J539" s="527"/>
      <c r="K539" s="37"/>
    </row>
    <row r="540" spans="2:11" ht="15">
      <c r="B540" s="38"/>
      <c r="C540" s="29"/>
      <c r="D540" s="29"/>
      <c r="E540" s="29"/>
      <c r="F540" s="29"/>
      <c r="G540" s="29"/>
      <c r="H540" s="29"/>
      <c r="I540" s="29"/>
      <c r="J540" s="29"/>
      <c r="K540" s="29"/>
    </row>
    <row r="541" spans="2:11">
      <c r="B541" s="526"/>
      <c r="C541" s="526"/>
      <c r="D541" s="526"/>
      <c r="E541" s="526"/>
      <c r="F541" s="526"/>
      <c r="G541" s="526"/>
      <c r="H541" s="526"/>
      <c r="I541" s="526"/>
      <c r="J541" s="526"/>
      <c r="K541" s="37"/>
    </row>
    <row r="542" spans="2:11">
      <c r="B542" s="526"/>
      <c r="C542" s="526"/>
      <c r="D542" s="526"/>
      <c r="E542" s="526"/>
      <c r="F542" s="526"/>
      <c r="G542" s="526"/>
      <c r="H542" s="526"/>
      <c r="I542" s="526"/>
      <c r="J542" s="526"/>
      <c r="K542" s="37"/>
    </row>
    <row r="543" spans="2:11">
      <c r="B543" s="526"/>
      <c r="C543" s="526"/>
      <c r="D543" s="526"/>
      <c r="E543" s="526"/>
      <c r="F543" s="526"/>
      <c r="G543" s="526"/>
      <c r="H543" s="526"/>
      <c r="I543" s="526"/>
      <c r="J543" s="526"/>
      <c r="K543" s="37"/>
    </row>
    <row r="544" spans="2:11" ht="23.25" customHeight="1">
      <c r="B544" s="526"/>
      <c r="C544" s="526"/>
      <c r="D544" s="526"/>
      <c r="E544" s="526"/>
      <c r="F544" s="526"/>
      <c r="G544" s="526"/>
      <c r="H544" s="526"/>
      <c r="I544" s="526"/>
      <c r="J544" s="526"/>
      <c r="K544" s="37"/>
    </row>
    <row r="545" spans="2:11" ht="15">
      <c r="B545" s="41"/>
      <c r="C545" s="29"/>
      <c r="D545" s="32"/>
      <c r="E545" s="32"/>
      <c r="F545" s="32"/>
      <c r="G545" s="29"/>
      <c r="H545" s="29"/>
      <c r="I545" s="29"/>
      <c r="J545" s="29"/>
      <c r="K545" s="29"/>
    </row>
    <row r="546" spans="2:11" ht="15">
      <c r="B546" s="30"/>
      <c r="C546" s="32"/>
      <c r="D546" s="32"/>
      <c r="E546" s="32"/>
      <c r="F546" s="32"/>
      <c r="G546" s="32"/>
      <c r="H546" s="32"/>
      <c r="I546" s="32"/>
      <c r="J546" s="32"/>
      <c r="K546" s="32"/>
    </row>
    <row r="547" spans="2:11" ht="15">
      <c r="B547" s="16"/>
      <c r="C547" s="32"/>
      <c r="D547" s="32"/>
      <c r="E547" s="43"/>
      <c r="F547" s="43"/>
      <c r="G547" s="43"/>
      <c r="H547" s="43"/>
      <c r="I547" s="43"/>
      <c r="J547" s="43"/>
      <c r="K547" s="43"/>
    </row>
    <row r="548" spans="2:11" ht="15">
      <c r="B548" s="16"/>
      <c r="C548" s="32"/>
      <c r="D548" s="29"/>
      <c r="E548" s="29"/>
      <c r="F548" s="29"/>
      <c r="G548" s="29"/>
      <c r="H548" s="29"/>
      <c r="I548" s="29"/>
      <c r="J548" s="29"/>
      <c r="K548" s="29"/>
    </row>
    <row r="549" spans="2:11" ht="15">
      <c r="B549" s="44"/>
      <c r="C549" s="29"/>
      <c r="D549" s="29"/>
      <c r="E549" s="29"/>
      <c r="F549" s="29"/>
      <c r="G549" s="29"/>
      <c r="H549" s="29"/>
      <c r="I549" s="29"/>
      <c r="J549" s="29"/>
      <c r="K549" s="29"/>
    </row>
    <row r="550" spans="2:11" ht="15">
      <c r="B550" s="45"/>
      <c r="C550" s="29"/>
      <c r="D550" s="29"/>
      <c r="E550" s="29"/>
      <c r="F550" s="29"/>
      <c r="G550" s="29"/>
      <c r="H550" s="29"/>
      <c r="I550" s="29"/>
      <c r="J550" s="29"/>
      <c r="K550" s="29"/>
    </row>
    <row r="551" spans="2:11" ht="15">
      <c r="B551" s="46"/>
      <c r="C551" s="29"/>
      <c r="D551" s="29"/>
      <c r="E551" s="29"/>
      <c r="F551" s="29"/>
      <c r="G551" s="29"/>
      <c r="H551" s="29"/>
      <c r="I551" s="29"/>
      <c r="J551" s="29"/>
      <c r="K551" s="29"/>
    </row>
    <row r="552" spans="2:11" ht="15">
      <c r="B552" s="46"/>
      <c r="C552" s="29"/>
      <c r="D552" s="29"/>
      <c r="E552" s="29"/>
      <c r="F552" s="29"/>
      <c r="G552" s="29"/>
      <c r="H552" s="29"/>
      <c r="I552" s="29"/>
      <c r="J552" s="29"/>
      <c r="K552" s="29"/>
    </row>
    <row r="553" spans="2:11" ht="15">
      <c r="B553" s="46"/>
      <c r="C553" s="29"/>
      <c r="D553" s="29"/>
      <c r="E553" s="29"/>
      <c r="F553" s="29"/>
      <c r="G553" s="29"/>
      <c r="H553" s="29"/>
      <c r="I553" s="29"/>
      <c r="J553" s="29"/>
      <c r="K553" s="29"/>
    </row>
    <row r="554" spans="2:11" ht="15">
      <c r="B554" s="46"/>
      <c r="C554" s="29"/>
      <c r="D554" s="29"/>
      <c r="E554" s="29"/>
      <c r="F554" s="29"/>
      <c r="G554" s="29"/>
      <c r="H554" s="29"/>
      <c r="I554" s="29"/>
      <c r="J554" s="29"/>
      <c r="K554" s="29"/>
    </row>
    <row r="555" spans="2:11" ht="15">
      <c r="B555" s="46"/>
      <c r="C555" s="29"/>
      <c r="D555" s="29"/>
      <c r="E555" s="29"/>
      <c r="F555" s="29"/>
      <c r="G555" s="29"/>
      <c r="H555" s="29"/>
      <c r="I555" s="29"/>
      <c r="J555" s="29"/>
      <c r="K555" s="29"/>
    </row>
    <row r="556" spans="2:11" ht="15">
      <c r="B556" s="23"/>
      <c r="C556" s="29"/>
      <c r="D556" s="29"/>
      <c r="E556" s="29"/>
      <c r="F556" s="29"/>
      <c r="G556" s="29"/>
      <c r="H556" s="29"/>
      <c r="I556" s="29"/>
      <c r="J556" s="29"/>
      <c r="K556" s="29"/>
    </row>
    <row r="557" spans="2:11" ht="15">
      <c r="B557" s="16"/>
      <c r="C557" s="29"/>
      <c r="D557" s="29"/>
      <c r="E557" s="29"/>
      <c r="F557" s="29"/>
      <c r="G557" s="29"/>
      <c r="H557" s="29"/>
      <c r="I557" s="29"/>
      <c r="J557" s="29"/>
      <c r="K557" s="29"/>
    </row>
    <row r="558" spans="2:11" ht="15">
      <c r="B558" s="44"/>
      <c r="C558" s="29"/>
      <c r="D558" s="29"/>
      <c r="E558" s="29"/>
      <c r="F558" s="29"/>
      <c r="G558" s="29"/>
      <c r="H558" s="29"/>
      <c r="I558" s="29"/>
      <c r="J558" s="29"/>
      <c r="K558" s="29"/>
    </row>
    <row r="559" spans="2:11" ht="15">
      <c r="B559" s="22"/>
      <c r="C559" s="29"/>
      <c r="D559" s="29"/>
      <c r="E559" s="29"/>
      <c r="F559" s="29"/>
      <c r="G559" s="29"/>
      <c r="H559" s="29"/>
      <c r="I559" s="29"/>
      <c r="J559" s="29"/>
      <c r="K559" s="29"/>
    </row>
    <row r="560" spans="2:11" ht="15">
      <c r="B560" s="22"/>
      <c r="C560" s="29"/>
      <c r="D560" s="29"/>
      <c r="E560" s="29"/>
      <c r="F560" s="29"/>
      <c r="G560" s="29"/>
      <c r="H560" s="29"/>
      <c r="I560" s="29"/>
      <c r="J560" s="29"/>
      <c r="K560" s="29"/>
    </row>
    <row r="561" spans="2:11" ht="15">
      <c r="B561" s="22"/>
      <c r="C561" s="29"/>
      <c r="D561" s="29"/>
      <c r="E561" s="29"/>
      <c r="F561" s="29"/>
      <c r="G561" s="29"/>
      <c r="H561" s="29"/>
      <c r="I561" s="29"/>
      <c r="J561" s="29"/>
      <c r="K561" s="29"/>
    </row>
    <row r="562" spans="2:11" ht="15">
      <c r="B562" s="22"/>
      <c r="C562" s="29"/>
      <c r="D562" s="29"/>
      <c r="E562" s="29"/>
      <c r="F562" s="29"/>
      <c r="G562" s="29"/>
      <c r="H562" s="29"/>
      <c r="I562" s="29"/>
      <c r="J562" s="29"/>
      <c r="K562" s="29"/>
    </row>
    <row r="563" spans="2:11" ht="15">
      <c r="B563" s="22"/>
      <c r="C563" s="29"/>
      <c r="D563" s="29"/>
      <c r="E563" s="29"/>
      <c r="F563" s="29"/>
      <c r="G563" s="29"/>
      <c r="H563" s="29"/>
      <c r="I563" s="29"/>
      <c r="J563" s="29"/>
      <c r="K563" s="29"/>
    </row>
    <row r="564" spans="2:11" ht="15">
      <c r="B564" s="23"/>
      <c r="C564" s="29"/>
      <c r="D564" s="29"/>
      <c r="E564" s="29"/>
      <c r="F564" s="29"/>
      <c r="G564" s="29"/>
      <c r="H564" s="29"/>
      <c r="I564" s="29"/>
      <c r="J564" s="29"/>
      <c r="K564" s="29"/>
    </row>
    <row r="565" spans="2:11" ht="15">
      <c r="B565" s="23"/>
      <c r="C565" s="29"/>
      <c r="D565" s="29"/>
      <c r="E565" s="29"/>
      <c r="F565" s="29"/>
      <c r="G565" s="29"/>
      <c r="H565" s="29"/>
      <c r="I565" s="29"/>
      <c r="J565" s="29"/>
      <c r="K565" s="29"/>
    </row>
    <row r="566" spans="2:11" ht="15">
      <c r="B566" s="24"/>
      <c r="C566" s="29"/>
      <c r="D566" s="29"/>
      <c r="E566" s="29"/>
      <c r="F566" s="29"/>
      <c r="G566" s="29"/>
      <c r="H566" s="29"/>
      <c r="I566" s="29"/>
      <c r="J566" s="29"/>
      <c r="K566" s="29"/>
    </row>
    <row r="567" spans="2:11" ht="15">
      <c r="B567" s="24"/>
      <c r="C567" s="29"/>
      <c r="D567" s="29"/>
      <c r="E567" s="29"/>
      <c r="F567" s="29"/>
      <c r="G567" s="29"/>
      <c r="H567" s="29"/>
      <c r="I567" s="29"/>
      <c r="J567" s="29"/>
      <c r="K567" s="29"/>
    </row>
    <row r="568" spans="2:11" ht="15">
      <c r="B568" s="44"/>
      <c r="C568" s="29"/>
      <c r="D568" s="29"/>
      <c r="E568" s="29"/>
      <c r="F568" s="29"/>
      <c r="G568" s="29"/>
      <c r="H568" s="29"/>
      <c r="I568" s="29"/>
      <c r="J568" s="29"/>
      <c r="K568" s="29"/>
    </row>
    <row r="569" spans="2:11" ht="15">
      <c r="B569" s="25"/>
      <c r="C569" s="29"/>
      <c r="D569" s="29"/>
      <c r="E569" s="29"/>
      <c r="F569" s="29"/>
      <c r="G569" s="29"/>
      <c r="H569" s="29"/>
      <c r="I569" s="29"/>
      <c r="J569" s="29"/>
      <c r="K569" s="29"/>
    </row>
    <row r="570" spans="2:11" ht="15">
      <c r="B570" s="25"/>
      <c r="C570" s="29"/>
      <c r="D570" s="29"/>
      <c r="E570" s="29"/>
      <c r="F570" s="29"/>
      <c r="G570" s="29"/>
      <c r="H570" s="29"/>
      <c r="I570" s="29"/>
      <c r="J570" s="29"/>
      <c r="K570" s="29"/>
    </row>
    <row r="571" spans="2:11" ht="15">
      <c r="B571" s="16"/>
      <c r="C571" s="29"/>
      <c r="D571" s="29"/>
      <c r="E571" s="29"/>
      <c r="F571" s="29"/>
      <c r="G571" s="29"/>
      <c r="H571" s="29"/>
      <c r="I571" s="29"/>
      <c r="J571" s="29"/>
      <c r="K571" s="29"/>
    </row>
    <row r="572" spans="2:11" ht="15">
      <c r="B572" s="16"/>
      <c r="C572" s="29"/>
      <c r="D572" s="29"/>
      <c r="E572" s="29"/>
      <c r="F572" s="29"/>
      <c r="G572" s="29"/>
      <c r="H572" s="29"/>
      <c r="I572" s="29"/>
      <c r="J572" s="29"/>
      <c r="K572" s="29"/>
    </row>
    <row r="573" spans="2:11" ht="15">
      <c r="B573" s="16"/>
      <c r="C573" s="29"/>
      <c r="D573" s="29"/>
      <c r="E573" s="29"/>
      <c r="F573" s="29"/>
      <c r="G573" s="29"/>
      <c r="H573" s="29"/>
      <c r="I573" s="29"/>
      <c r="J573" s="29"/>
      <c r="K573" s="29"/>
    </row>
    <row r="574" spans="2:11" ht="15">
      <c r="B574" s="16"/>
      <c r="C574" s="29"/>
      <c r="D574" s="29"/>
      <c r="E574" s="29"/>
      <c r="F574" s="29"/>
      <c r="G574" s="29"/>
      <c r="H574" s="29"/>
      <c r="I574" s="29"/>
      <c r="J574" s="29"/>
      <c r="K574" s="29"/>
    </row>
    <row r="575" spans="2:11" ht="15">
      <c r="B575" s="16"/>
      <c r="C575" s="29"/>
      <c r="D575" s="29"/>
      <c r="E575" s="29"/>
      <c r="F575" s="29"/>
      <c r="G575" s="29"/>
      <c r="H575" s="29"/>
      <c r="I575" s="29"/>
      <c r="J575" s="29"/>
      <c r="K575" s="29"/>
    </row>
    <row r="576" spans="2:11" ht="15">
      <c r="B576" s="16"/>
      <c r="C576" s="29"/>
      <c r="D576" s="29"/>
      <c r="E576" s="29"/>
      <c r="F576" s="29"/>
      <c r="G576" s="29"/>
      <c r="H576" s="29"/>
      <c r="I576" s="29"/>
      <c r="J576" s="29"/>
      <c r="K576" s="29"/>
    </row>
    <row r="577" spans="2:11" ht="15">
      <c r="B577" s="16"/>
      <c r="C577" s="29"/>
      <c r="D577" s="29"/>
      <c r="E577" s="29"/>
      <c r="F577" s="29"/>
      <c r="G577" s="29"/>
      <c r="H577" s="29"/>
      <c r="I577" s="29"/>
      <c r="J577" s="29"/>
      <c r="K577" s="29"/>
    </row>
    <row r="578" spans="2:11" ht="15">
      <c r="B578" s="16"/>
      <c r="C578" s="29"/>
      <c r="D578" s="29"/>
      <c r="E578" s="29"/>
      <c r="F578" s="29"/>
      <c r="G578" s="29"/>
      <c r="H578" s="29"/>
      <c r="I578" s="29"/>
      <c r="J578" s="29"/>
      <c r="K578" s="29"/>
    </row>
    <row r="579" spans="2:11" ht="15">
      <c r="B579" s="16"/>
      <c r="C579" s="29"/>
      <c r="D579" s="29"/>
      <c r="E579" s="29"/>
      <c r="F579" s="29"/>
      <c r="G579" s="29"/>
      <c r="H579" s="29"/>
      <c r="I579" s="29"/>
      <c r="J579" s="29"/>
      <c r="K579" s="29"/>
    </row>
    <row r="580" spans="2:11" ht="15">
      <c r="B580" s="16"/>
      <c r="C580" s="29"/>
      <c r="D580" s="29"/>
      <c r="E580" s="29"/>
      <c r="F580" s="29"/>
      <c r="G580" s="29"/>
      <c r="H580" s="29"/>
      <c r="I580" s="29"/>
      <c r="J580" s="29"/>
      <c r="K580" s="29"/>
    </row>
    <row r="581" spans="2:11" ht="15">
      <c r="B581" s="16"/>
      <c r="C581" s="29"/>
      <c r="D581" s="29"/>
      <c r="E581" s="29"/>
      <c r="F581" s="29"/>
      <c r="G581" s="29"/>
      <c r="H581" s="29"/>
      <c r="I581" s="29"/>
      <c r="J581" s="29"/>
      <c r="K581" s="29"/>
    </row>
    <row r="584" spans="2:11" ht="18.75">
      <c r="B584" s="527"/>
      <c r="C584" s="527"/>
      <c r="D584" s="527"/>
      <c r="E584" s="527"/>
      <c r="F584" s="527"/>
      <c r="G584" s="527"/>
      <c r="H584" s="527"/>
      <c r="I584" s="527"/>
      <c r="J584" s="527"/>
      <c r="K584" s="37"/>
    </row>
    <row r="585" spans="2:11" ht="15">
      <c r="B585" s="38"/>
      <c r="C585" s="29"/>
      <c r="D585" s="29"/>
      <c r="E585" s="29"/>
      <c r="F585" s="29"/>
      <c r="G585" s="29"/>
      <c r="H585" s="29"/>
      <c r="I585" s="29"/>
      <c r="J585" s="29"/>
      <c r="K585" s="29"/>
    </row>
    <row r="586" spans="2:11">
      <c r="B586" s="526"/>
      <c r="C586" s="526"/>
      <c r="D586" s="526"/>
      <c r="E586" s="526"/>
      <c r="F586" s="526"/>
      <c r="G586" s="526"/>
      <c r="H586" s="526"/>
      <c r="I586" s="526"/>
      <c r="J586" s="526"/>
      <c r="K586" s="37"/>
    </row>
    <row r="587" spans="2:11">
      <c r="B587" s="526"/>
      <c r="C587" s="526"/>
      <c r="D587" s="526"/>
      <c r="E587" s="526"/>
      <c r="F587" s="526"/>
      <c r="G587" s="526"/>
      <c r="H587" s="526"/>
      <c r="I587" s="526"/>
      <c r="J587" s="526"/>
      <c r="K587" s="37"/>
    </row>
    <row r="588" spans="2:11">
      <c r="B588" s="526"/>
      <c r="C588" s="526"/>
      <c r="D588" s="526"/>
      <c r="E588" s="526"/>
      <c r="F588" s="526"/>
      <c r="G588" s="526"/>
      <c r="H588" s="526"/>
      <c r="I588" s="526"/>
      <c r="J588" s="526"/>
      <c r="K588" s="37"/>
    </row>
    <row r="589" spans="2:11">
      <c r="B589" s="526"/>
      <c r="C589" s="526"/>
      <c r="D589" s="526"/>
      <c r="E589" s="526"/>
      <c r="F589" s="526"/>
      <c r="G589" s="526"/>
      <c r="H589" s="526"/>
      <c r="I589" s="526"/>
      <c r="J589" s="526"/>
      <c r="K589" s="37"/>
    </row>
    <row r="590" spans="2:11" ht="15">
      <c r="B590" s="39"/>
      <c r="C590" s="40"/>
      <c r="D590" s="40"/>
      <c r="E590" s="40"/>
      <c r="F590" s="40"/>
      <c r="G590" s="40"/>
      <c r="H590" s="29"/>
      <c r="I590" s="29"/>
      <c r="J590" s="29"/>
      <c r="K590" s="29"/>
    </row>
    <row r="591" spans="2:11" ht="15">
      <c r="B591" s="41"/>
      <c r="C591" s="29"/>
      <c r="D591" s="32"/>
      <c r="E591" s="32"/>
      <c r="F591" s="32"/>
      <c r="G591" s="29"/>
      <c r="H591" s="29"/>
      <c r="I591" s="29"/>
      <c r="J591" s="29"/>
      <c r="K591" s="29"/>
    </row>
    <row r="592" spans="2:11" ht="15">
      <c r="B592" s="30"/>
      <c r="C592" s="32"/>
      <c r="D592" s="32"/>
      <c r="E592" s="32"/>
      <c r="F592" s="32"/>
      <c r="G592" s="32"/>
      <c r="H592" s="32"/>
      <c r="I592" s="32"/>
      <c r="J592" s="32"/>
      <c r="K592" s="32"/>
    </row>
    <row r="593" spans="2:11" ht="15">
      <c r="B593" s="16"/>
      <c r="C593" s="32"/>
      <c r="D593" s="32"/>
      <c r="E593" s="43"/>
      <c r="F593" s="43"/>
      <c r="G593" s="43"/>
      <c r="H593" s="43"/>
      <c r="I593" s="43"/>
      <c r="J593" s="43"/>
      <c r="K593" s="43"/>
    </row>
    <row r="594" spans="2:11" ht="15">
      <c r="B594" s="16"/>
      <c r="C594" s="32"/>
      <c r="D594" s="29"/>
      <c r="E594" s="29"/>
      <c r="F594" s="29"/>
      <c r="G594" s="29"/>
      <c r="H594" s="29"/>
      <c r="I594" s="29"/>
      <c r="J594" s="29"/>
      <c r="K594" s="29"/>
    </row>
    <row r="595" spans="2:11" ht="15">
      <c r="B595" s="44"/>
      <c r="C595" s="29"/>
      <c r="D595" s="29"/>
      <c r="E595" s="29"/>
      <c r="F595" s="29"/>
      <c r="G595" s="29"/>
      <c r="H595" s="29"/>
      <c r="I595" s="29"/>
      <c r="J595" s="29"/>
      <c r="K595" s="29"/>
    </row>
    <row r="596" spans="2:11" ht="15">
      <c r="B596" s="46"/>
      <c r="C596" s="29"/>
      <c r="D596" s="29"/>
      <c r="E596" s="29"/>
      <c r="F596" s="29"/>
      <c r="G596" s="29"/>
      <c r="H596" s="29"/>
      <c r="I596" s="29"/>
      <c r="J596" s="29"/>
      <c r="K596" s="29"/>
    </row>
    <row r="597" spans="2:11" ht="15">
      <c r="B597" s="46"/>
      <c r="C597" s="29"/>
      <c r="D597" s="29"/>
      <c r="E597" s="29"/>
      <c r="F597" s="29"/>
      <c r="G597" s="29"/>
      <c r="H597" s="29"/>
      <c r="I597" s="29"/>
      <c r="J597" s="29"/>
      <c r="K597" s="29"/>
    </row>
    <row r="598" spans="2:11" ht="15">
      <c r="B598" s="23"/>
      <c r="C598" s="29"/>
      <c r="D598" s="29"/>
      <c r="E598" s="29"/>
      <c r="F598" s="29"/>
      <c r="G598" s="29"/>
      <c r="H598" s="29"/>
      <c r="I598" s="29"/>
      <c r="J598" s="29"/>
      <c r="K598" s="29"/>
    </row>
    <row r="599" spans="2:11" ht="15">
      <c r="B599" s="16"/>
      <c r="C599" s="29"/>
      <c r="D599" s="29"/>
      <c r="E599" s="29"/>
      <c r="F599" s="29"/>
      <c r="G599" s="29"/>
      <c r="H599" s="29"/>
      <c r="I599" s="29"/>
      <c r="J599" s="29"/>
      <c r="K599" s="29"/>
    </row>
    <row r="600" spans="2:11" ht="15">
      <c r="B600" s="44"/>
      <c r="C600" s="29"/>
      <c r="D600" s="29"/>
      <c r="E600" s="29"/>
      <c r="F600" s="29"/>
      <c r="G600" s="29"/>
      <c r="H600" s="29"/>
      <c r="I600" s="29"/>
      <c r="J600" s="29"/>
      <c r="K600" s="29"/>
    </row>
    <row r="601" spans="2:11" ht="15">
      <c r="B601" s="22"/>
      <c r="C601" s="29"/>
      <c r="D601" s="29"/>
      <c r="E601" s="29"/>
      <c r="F601" s="29"/>
      <c r="G601" s="29"/>
      <c r="H601" s="29"/>
      <c r="I601" s="29"/>
      <c r="J601" s="29"/>
      <c r="K601" s="29"/>
    </row>
    <row r="602" spans="2:11" ht="15">
      <c r="B602" s="22"/>
      <c r="C602" s="29"/>
      <c r="D602" s="29"/>
      <c r="E602" s="29"/>
      <c r="F602" s="29"/>
      <c r="G602" s="29"/>
      <c r="H602" s="29"/>
      <c r="I602" s="29"/>
      <c r="J602" s="29"/>
      <c r="K602" s="29"/>
    </row>
    <row r="603" spans="2:11" ht="15">
      <c r="B603" s="22"/>
      <c r="C603" s="29"/>
      <c r="D603" s="29"/>
      <c r="E603" s="29"/>
      <c r="F603" s="29"/>
      <c r="G603" s="29"/>
      <c r="H603" s="29"/>
      <c r="I603" s="29"/>
      <c r="J603" s="29"/>
      <c r="K603" s="29"/>
    </row>
    <row r="604" spans="2:11" ht="15">
      <c r="B604" s="22"/>
      <c r="C604" s="29"/>
      <c r="D604" s="29"/>
      <c r="E604" s="29"/>
      <c r="F604" s="29"/>
      <c r="G604" s="29"/>
      <c r="H604" s="29"/>
      <c r="I604" s="29"/>
      <c r="J604" s="29"/>
      <c r="K604" s="29"/>
    </row>
    <row r="605" spans="2:11" ht="15">
      <c r="B605" s="23"/>
      <c r="C605" s="29"/>
      <c r="D605" s="29"/>
      <c r="E605" s="29"/>
      <c r="F605" s="29"/>
      <c r="G605" s="29"/>
      <c r="H605" s="29"/>
      <c r="I605" s="29"/>
      <c r="J605" s="29"/>
      <c r="K605" s="29"/>
    </row>
    <row r="606" spans="2:11" ht="15">
      <c r="B606" s="23"/>
      <c r="C606" s="29"/>
      <c r="D606" s="29"/>
      <c r="E606" s="29"/>
      <c r="F606" s="29"/>
      <c r="G606" s="29"/>
      <c r="H606" s="29"/>
      <c r="I606" s="29"/>
      <c r="J606" s="29"/>
      <c r="K606" s="29"/>
    </row>
    <row r="607" spans="2:11" ht="15">
      <c r="B607" s="24"/>
      <c r="C607" s="29"/>
      <c r="D607" s="29"/>
      <c r="E607" s="29"/>
      <c r="F607" s="29"/>
      <c r="G607" s="29"/>
      <c r="H607" s="29"/>
      <c r="I607" s="29"/>
      <c r="J607" s="29"/>
      <c r="K607" s="29"/>
    </row>
    <row r="608" spans="2:11" ht="15">
      <c r="B608" s="24"/>
      <c r="C608" s="29"/>
      <c r="D608" s="29"/>
      <c r="E608" s="29"/>
      <c r="F608" s="29"/>
      <c r="G608" s="29"/>
      <c r="H608" s="29"/>
      <c r="I608" s="29"/>
      <c r="J608" s="29"/>
      <c r="K608" s="29"/>
    </row>
    <row r="609" spans="2:11" ht="15">
      <c r="B609" s="44"/>
      <c r="C609" s="29"/>
      <c r="D609" s="29"/>
      <c r="E609" s="29"/>
      <c r="F609" s="29"/>
      <c r="G609" s="29"/>
      <c r="H609" s="29"/>
      <c r="I609" s="29"/>
      <c r="J609" s="29"/>
      <c r="K609" s="29"/>
    </row>
    <row r="610" spans="2:11" ht="15">
      <c r="B610" s="25"/>
      <c r="C610" s="29"/>
      <c r="D610" s="29"/>
      <c r="E610" s="29"/>
      <c r="F610" s="29"/>
      <c r="G610" s="29"/>
      <c r="H610" s="29"/>
      <c r="I610" s="29"/>
      <c r="J610" s="29"/>
      <c r="K610" s="29"/>
    </row>
    <row r="611" spans="2:11" ht="15">
      <c r="B611" s="25"/>
      <c r="C611" s="29"/>
      <c r="D611" s="29"/>
      <c r="E611" s="29"/>
      <c r="F611" s="29"/>
      <c r="G611" s="29"/>
      <c r="H611" s="29"/>
      <c r="I611" s="29"/>
      <c r="J611" s="29"/>
      <c r="K611" s="29"/>
    </row>
    <row r="612" spans="2:11" ht="15">
      <c r="B612" s="16"/>
      <c r="C612" s="29"/>
      <c r="D612" s="29"/>
      <c r="E612" s="29"/>
      <c r="F612" s="29"/>
      <c r="G612" s="29"/>
      <c r="H612" s="29"/>
      <c r="I612" s="29"/>
      <c r="J612" s="29"/>
      <c r="K612" s="29"/>
    </row>
    <row r="613" spans="2:11" ht="15">
      <c r="B613" s="16"/>
      <c r="C613" s="29"/>
      <c r="D613" s="29"/>
      <c r="E613" s="29"/>
      <c r="F613" s="29"/>
      <c r="G613" s="29"/>
      <c r="H613" s="29"/>
      <c r="I613" s="29"/>
      <c r="J613" s="29"/>
      <c r="K613" s="29"/>
    </row>
    <row r="614" spans="2:11" ht="15">
      <c r="B614" s="16"/>
      <c r="C614" s="29"/>
      <c r="D614" s="29"/>
      <c r="E614" s="29"/>
      <c r="F614" s="29"/>
      <c r="G614" s="29"/>
      <c r="H614" s="29"/>
      <c r="I614" s="29"/>
      <c r="J614" s="29"/>
      <c r="K614" s="29"/>
    </row>
    <row r="615" spans="2:11" ht="15">
      <c r="B615" s="16"/>
      <c r="C615" s="29"/>
      <c r="D615" s="29"/>
      <c r="E615" s="29"/>
      <c r="F615" s="29"/>
      <c r="G615" s="29"/>
      <c r="H615" s="29"/>
      <c r="I615" s="29"/>
      <c r="J615" s="29"/>
      <c r="K615" s="29"/>
    </row>
    <row r="616" spans="2:11" ht="15">
      <c r="B616" s="16"/>
      <c r="C616" s="29"/>
      <c r="D616" s="29"/>
      <c r="E616" s="29"/>
      <c r="F616" s="29"/>
      <c r="G616" s="29"/>
      <c r="H616" s="29"/>
      <c r="I616" s="29"/>
      <c r="J616" s="29"/>
      <c r="K616" s="29"/>
    </row>
    <row r="617" spans="2:11" ht="15">
      <c r="B617" s="16"/>
      <c r="C617" s="29"/>
      <c r="D617" s="29"/>
      <c r="E617" s="29"/>
      <c r="F617" s="29"/>
      <c r="G617" s="29"/>
      <c r="H617" s="29"/>
      <c r="I617" s="29"/>
      <c r="J617" s="29"/>
      <c r="K617" s="29"/>
    </row>
    <row r="618" spans="2:11" ht="15">
      <c r="B618" s="16"/>
      <c r="C618" s="29"/>
      <c r="D618" s="29"/>
      <c r="E618" s="29"/>
      <c r="F618" s="29"/>
      <c r="G618" s="29"/>
      <c r="H618" s="29"/>
      <c r="I618" s="29"/>
      <c r="J618" s="29"/>
      <c r="K618" s="29"/>
    </row>
    <row r="619" spans="2:11" ht="15">
      <c r="B619" s="16"/>
      <c r="C619" s="29"/>
      <c r="D619" s="29"/>
      <c r="E619" s="29"/>
      <c r="F619" s="29"/>
      <c r="G619" s="29"/>
      <c r="H619" s="29"/>
      <c r="I619" s="29"/>
      <c r="J619" s="29"/>
      <c r="K619" s="29"/>
    </row>
    <row r="620" spans="2:11" ht="15">
      <c r="B620" s="16"/>
      <c r="C620" s="29"/>
      <c r="D620" s="29"/>
      <c r="E620" s="29"/>
      <c r="F620" s="29"/>
      <c r="G620" s="29"/>
      <c r="H620" s="29"/>
      <c r="I620" s="29"/>
      <c r="J620" s="29"/>
      <c r="K620" s="29"/>
    </row>
    <row r="621" spans="2:11" ht="15">
      <c r="B621" s="16"/>
      <c r="C621" s="29"/>
      <c r="D621" s="29"/>
      <c r="E621" s="29"/>
      <c r="F621" s="29"/>
      <c r="G621" s="29"/>
      <c r="H621" s="29"/>
      <c r="I621" s="29"/>
      <c r="J621" s="29"/>
      <c r="K621" s="29"/>
    </row>
    <row r="624" spans="2:11" ht="18.75">
      <c r="B624" s="527"/>
      <c r="C624" s="527"/>
      <c r="D624" s="527"/>
      <c r="E624" s="527"/>
      <c r="F624" s="527"/>
      <c r="G624" s="527"/>
      <c r="H624" s="527"/>
      <c r="I624" s="527"/>
      <c r="J624" s="527"/>
      <c r="K624" s="37"/>
    </row>
    <row r="625" spans="2:11" ht="15">
      <c r="B625" s="38"/>
      <c r="C625" s="29"/>
      <c r="D625" s="29"/>
      <c r="E625" s="29"/>
      <c r="F625" s="29"/>
      <c r="G625" s="29"/>
      <c r="H625" s="29"/>
      <c r="I625" s="29"/>
      <c r="J625" s="29"/>
      <c r="K625" s="29"/>
    </row>
    <row r="626" spans="2:11">
      <c r="B626" s="526"/>
      <c r="C626" s="526"/>
      <c r="D626" s="526"/>
      <c r="E626" s="526"/>
      <c r="F626" s="526"/>
      <c r="G626" s="526"/>
      <c r="H626" s="526"/>
      <c r="I626" s="526"/>
      <c r="J626" s="526"/>
      <c r="K626" s="37"/>
    </row>
    <row r="627" spans="2:11">
      <c r="B627" s="526"/>
      <c r="C627" s="526"/>
      <c r="D627" s="526"/>
      <c r="E627" s="526"/>
      <c r="F627" s="526"/>
      <c r="G627" s="526"/>
      <c r="H627" s="526"/>
      <c r="I627" s="526"/>
      <c r="J627" s="526"/>
      <c r="K627" s="37"/>
    </row>
    <row r="628" spans="2:11">
      <c r="B628" s="526"/>
      <c r="C628" s="526"/>
      <c r="D628" s="526"/>
      <c r="E628" s="526"/>
      <c r="F628" s="526"/>
      <c r="G628" s="526"/>
      <c r="H628" s="526"/>
      <c r="I628" s="526"/>
      <c r="J628" s="526"/>
      <c r="K628" s="37"/>
    </row>
    <row r="629" spans="2:11" ht="15">
      <c r="B629" s="41"/>
      <c r="C629" s="29"/>
      <c r="D629" s="32"/>
      <c r="E629" s="29"/>
      <c r="F629" s="32"/>
      <c r="G629" s="29"/>
      <c r="H629" s="29"/>
      <c r="I629" s="29"/>
      <c r="J629" s="29"/>
      <c r="K629" s="29"/>
    </row>
    <row r="630" spans="2:11" ht="15">
      <c r="B630" s="30"/>
      <c r="C630" s="32"/>
      <c r="D630" s="32"/>
      <c r="E630" s="32"/>
      <c r="F630" s="32"/>
      <c r="G630" s="32"/>
      <c r="H630" s="32"/>
      <c r="I630" s="32"/>
      <c r="J630" s="32"/>
      <c r="K630" s="32"/>
    </row>
    <row r="631" spans="2:11" ht="15">
      <c r="B631" s="16"/>
      <c r="C631" s="32"/>
      <c r="D631" s="32"/>
      <c r="E631" s="43"/>
      <c r="F631" s="43"/>
      <c r="G631" s="43"/>
      <c r="H631" s="43"/>
      <c r="I631" s="43"/>
      <c r="J631" s="43"/>
      <c r="K631" s="43"/>
    </row>
    <row r="632" spans="2:11" ht="15">
      <c r="B632" s="16"/>
      <c r="C632" s="32"/>
      <c r="D632" s="29"/>
      <c r="E632" s="29"/>
      <c r="F632" s="29"/>
      <c r="G632" s="29"/>
      <c r="H632" s="29"/>
      <c r="I632" s="29"/>
      <c r="J632" s="29"/>
      <c r="K632" s="29"/>
    </row>
    <row r="633" spans="2:11" ht="15">
      <c r="B633" s="44"/>
      <c r="C633" s="29"/>
      <c r="D633" s="29"/>
      <c r="E633" s="29"/>
      <c r="F633" s="29"/>
      <c r="G633" s="29"/>
      <c r="H633" s="29"/>
      <c r="I633" s="29"/>
      <c r="J633" s="29"/>
      <c r="K633" s="29"/>
    </row>
    <row r="634" spans="2:11" ht="15">
      <c r="B634" s="45"/>
      <c r="C634" s="29"/>
      <c r="D634" s="29"/>
      <c r="E634" s="29"/>
      <c r="F634" s="29"/>
      <c r="G634" s="29"/>
      <c r="H634" s="29"/>
      <c r="I634" s="29"/>
      <c r="J634" s="29"/>
      <c r="K634" s="29"/>
    </row>
    <row r="635" spans="2:11" ht="15">
      <c r="B635" s="45"/>
      <c r="C635" s="29"/>
      <c r="D635" s="29"/>
      <c r="E635" s="29"/>
      <c r="F635" s="29"/>
      <c r="G635" s="29"/>
      <c r="H635" s="29"/>
      <c r="I635" s="29"/>
      <c r="J635" s="29"/>
      <c r="K635" s="29"/>
    </row>
    <row r="636" spans="2:11" ht="15">
      <c r="B636" s="46"/>
      <c r="C636" s="29"/>
      <c r="D636" s="29"/>
      <c r="E636" s="29"/>
      <c r="F636" s="29"/>
      <c r="G636" s="29"/>
      <c r="H636" s="29"/>
      <c r="I636" s="29"/>
      <c r="J636" s="29"/>
      <c r="K636" s="29"/>
    </row>
    <row r="637" spans="2:11" ht="15">
      <c r="B637" s="46"/>
      <c r="C637" s="29"/>
      <c r="D637" s="29"/>
      <c r="E637" s="29"/>
      <c r="F637" s="29"/>
      <c r="G637" s="29"/>
      <c r="H637" s="29"/>
      <c r="I637" s="29"/>
      <c r="J637" s="29"/>
      <c r="K637" s="29"/>
    </row>
    <row r="638" spans="2:11" ht="15">
      <c r="B638" s="46"/>
      <c r="C638" s="29"/>
      <c r="D638" s="29"/>
      <c r="E638" s="29"/>
      <c r="F638" s="29"/>
      <c r="G638" s="29"/>
      <c r="H638" s="29"/>
      <c r="I638" s="29"/>
      <c r="J638" s="29"/>
      <c r="K638" s="29"/>
    </row>
    <row r="639" spans="2:11" ht="15">
      <c r="B639" s="46"/>
      <c r="C639" s="29"/>
      <c r="D639" s="29"/>
      <c r="E639" s="29"/>
      <c r="F639" s="29"/>
      <c r="G639" s="29"/>
      <c r="H639" s="29"/>
      <c r="I639" s="29"/>
      <c r="J639" s="29"/>
      <c r="K639" s="29"/>
    </row>
    <row r="640" spans="2:11" ht="15">
      <c r="B640" s="46"/>
      <c r="C640" s="29"/>
      <c r="D640" s="29"/>
      <c r="E640" s="29"/>
      <c r="F640" s="29"/>
      <c r="G640" s="29"/>
      <c r="H640" s="29"/>
      <c r="I640" s="29"/>
      <c r="J640" s="29"/>
      <c r="K640" s="29"/>
    </row>
    <row r="641" spans="2:11" ht="15">
      <c r="B641" s="46"/>
      <c r="C641" s="29"/>
      <c r="D641" s="29"/>
      <c r="E641" s="29"/>
      <c r="F641" s="29"/>
      <c r="G641" s="29"/>
      <c r="H641" s="29"/>
      <c r="I641" s="29"/>
      <c r="J641" s="29"/>
      <c r="K641" s="29"/>
    </row>
    <row r="642" spans="2:11" ht="15">
      <c r="B642" s="22"/>
      <c r="C642" s="29"/>
      <c r="D642" s="29"/>
      <c r="E642" s="29"/>
      <c r="F642" s="29"/>
      <c r="G642" s="29"/>
      <c r="H642" s="29"/>
      <c r="I642" s="29"/>
      <c r="J642" s="29"/>
      <c r="K642" s="29"/>
    </row>
    <row r="643" spans="2:11" ht="15">
      <c r="B643" s="23"/>
      <c r="C643" s="29"/>
      <c r="D643" s="29"/>
      <c r="E643" s="29"/>
      <c r="F643" s="29"/>
      <c r="G643" s="29"/>
      <c r="H643" s="29"/>
      <c r="I643" s="29"/>
      <c r="J643" s="29"/>
      <c r="K643" s="29"/>
    </row>
    <row r="644" spans="2:11" ht="15">
      <c r="B644" s="16"/>
      <c r="C644" s="29"/>
      <c r="D644" s="29"/>
      <c r="E644" s="29"/>
      <c r="F644" s="29"/>
      <c r="G644" s="29"/>
      <c r="H644" s="29"/>
      <c r="I644" s="29"/>
      <c r="J644" s="29"/>
      <c r="K644" s="29"/>
    </row>
    <row r="645" spans="2:11" ht="15">
      <c r="B645" s="44"/>
      <c r="C645" s="29"/>
      <c r="D645" s="29"/>
      <c r="E645" s="29"/>
      <c r="F645" s="29"/>
      <c r="G645" s="29"/>
      <c r="H645" s="29"/>
      <c r="I645" s="29"/>
      <c r="J645" s="29"/>
      <c r="K645" s="29"/>
    </row>
    <row r="646" spans="2:11" ht="15">
      <c r="B646" s="22"/>
      <c r="C646" s="29"/>
      <c r="D646" s="29"/>
      <c r="E646" s="29"/>
      <c r="F646" s="29"/>
      <c r="G646" s="29"/>
      <c r="H646" s="29"/>
      <c r="I646" s="29"/>
      <c r="J646" s="29"/>
      <c r="K646" s="29"/>
    </row>
    <row r="647" spans="2:11" ht="15">
      <c r="B647" s="22"/>
      <c r="C647" s="29"/>
      <c r="D647" s="29"/>
      <c r="E647" s="29"/>
      <c r="F647" s="29"/>
      <c r="G647" s="29"/>
      <c r="H647" s="29"/>
      <c r="I647" s="29"/>
      <c r="J647" s="29"/>
      <c r="K647" s="29"/>
    </row>
    <row r="648" spans="2:11" ht="15">
      <c r="B648" s="22"/>
      <c r="C648" s="29"/>
      <c r="D648" s="29"/>
      <c r="E648" s="29"/>
      <c r="F648" s="29"/>
      <c r="G648" s="29"/>
      <c r="H648" s="29"/>
      <c r="I648" s="29"/>
      <c r="J648" s="29"/>
      <c r="K648" s="29"/>
    </row>
    <row r="649" spans="2:11" ht="15">
      <c r="B649" s="22"/>
      <c r="C649" s="29"/>
      <c r="D649" s="29"/>
      <c r="E649" s="29"/>
      <c r="F649" s="29"/>
      <c r="G649" s="29"/>
      <c r="H649" s="29"/>
      <c r="I649" s="29"/>
      <c r="J649" s="29"/>
      <c r="K649" s="29"/>
    </row>
    <row r="650" spans="2:11" ht="15">
      <c r="B650" s="22"/>
      <c r="C650" s="29"/>
      <c r="D650" s="29"/>
      <c r="E650" s="29"/>
      <c r="F650" s="29"/>
      <c r="G650" s="29"/>
      <c r="H650" s="29"/>
      <c r="I650" s="29"/>
      <c r="J650" s="29"/>
      <c r="K650" s="29"/>
    </row>
    <row r="651" spans="2:11" ht="15">
      <c r="B651" s="22"/>
      <c r="C651" s="29"/>
      <c r="D651" s="29"/>
      <c r="E651" s="29"/>
      <c r="F651" s="29"/>
      <c r="G651" s="29"/>
      <c r="H651" s="29"/>
      <c r="I651" s="29"/>
      <c r="J651" s="29"/>
      <c r="K651" s="29"/>
    </row>
    <row r="652" spans="2:11" ht="15">
      <c r="B652" s="22"/>
      <c r="C652" s="29"/>
      <c r="D652" s="29"/>
      <c r="E652" s="29"/>
      <c r="F652" s="29"/>
      <c r="G652" s="29"/>
      <c r="H652" s="29"/>
      <c r="I652" s="29"/>
      <c r="J652" s="29"/>
      <c r="K652" s="29"/>
    </row>
    <row r="653" spans="2:11" ht="15">
      <c r="B653" s="23"/>
      <c r="C653" s="29"/>
      <c r="D653" s="29"/>
      <c r="E653" s="29"/>
      <c r="F653" s="29"/>
      <c r="G653" s="29"/>
      <c r="H653" s="29"/>
      <c r="I653" s="29"/>
      <c r="J653" s="29"/>
      <c r="K653" s="29"/>
    </row>
    <row r="654" spans="2:11" ht="15">
      <c r="B654" s="23"/>
      <c r="C654" s="29"/>
      <c r="D654" s="29"/>
      <c r="E654" s="29"/>
      <c r="F654" s="29"/>
      <c r="G654" s="29"/>
      <c r="H654" s="29"/>
      <c r="I654" s="29"/>
      <c r="J654" s="29"/>
      <c r="K654" s="29"/>
    </row>
    <row r="655" spans="2:11" ht="15">
      <c r="B655" s="24"/>
      <c r="C655" s="29"/>
      <c r="D655" s="29"/>
      <c r="E655" s="29"/>
      <c r="F655" s="29"/>
      <c r="G655" s="29"/>
      <c r="H655" s="29"/>
      <c r="I655" s="29"/>
      <c r="J655" s="29"/>
      <c r="K655" s="29"/>
    </row>
    <row r="656" spans="2:11" ht="15">
      <c r="B656" s="24"/>
      <c r="C656" s="29"/>
      <c r="D656" s="29"/>
      <c r="E656" s="29"/>
      <c r="F656" s="29"/>
      <c r="G656" s="29"/>
      <c r="H656" s="29"/>
      <c r="I656" s="29"/>
      <c r="J656" s="29"/>
      <c r="K656" s="29"/>
    </row>
    <row r="657" spans="2:11" ht="15">
      <c r="B657" s="44"/>
      <c r="C657" s="29"/>
      <c r="D657" s="29"/>
      <c r="E657" s="29"/>
      <c r="F657" s="29"/>
      <c r="G657" s="29"/>
      <c r="H657" s="29"/>
      <c r="I657" s="29"/>
      <c r="J657" s="29"/>
      <c r="K657" s="29"/>
    </row>
    <row r="658" spans="2:11" ht="15">
      <c r="B658" s="25"/>
      <c r="C658" s="29"/>
      <c r="D658" s="29"/>
      <c r="E658" s="29"/>
      <c r="F658" s="29"/>
      <c r="G658" s="29"/>
      <c r="H658" s="29"/>
      <c r="I658" s="29"/>
      <c r="J658" s="29"/>
      <c r="K658" s="29"/>
    </row>
    <row r="659" spans="2:11" ht="15">
      <c r="B659" s="25"/>
      <c r="C659" s="29"/>
      <c r="D659" s="29"/>
      <c r="E659" s="29"/>
      <c r="F659" s="29"/>
      <c r="G659" s="29"/>
      <c r="H659" s="29"/>
      <c r="I659" s="29"/>
      <c r="J659" s="29"/>
      <c r="K659" s="29"/>
    </row>
    <row r="660" spans="2:11" ht="15">
      <c r="B660" s="16"/>
      <c r="C660" s="29"/>
      <c r="D660" s="29"/>
      <c r="E660" s="29"/>
      <c r="F660" s="29"/>
      <c r="G660" s="29"/>
      <c r="H660" s="29"/>
      <c r="I660" s="29"/>
      <c r="J660" s="29"/>
      <c r="K660" s="29"/>
    </row>
    <row r="661" spans="2:11" ht="15">
      <c r="B661" s="16"/>
      <c r="C661" s="29"/>
      <c r="D661" s="29"/>
      <c r="E661" s="29"/>
      <c r="F661" s="29"/>
      <c r="G661" s="29"/>
      <c r="H661" s="29"/>
      <c r="I661" s="29"/>
      <c r="J661" s="29"/>
      <c r="K661" s="29"/>
    </row>
    <row r="662" spans="2:11" ht="15">
      <c r="B662" s="16"/>
      <c r="C662" s="29"/>
      <c r="D662" s="29"/>
      <c r="E662" s="29"/>
      <c r="F662" s="29"/>
      <c r="G662" s="29"/>
      <c r="H662" s="29"/>
      <c r="I662" s="29"/>
      <c r="J662" s="29"/>
      <c r="K662" s="29"/>
    </row>
    <row r="663" spans="2:11" ht="15">
      <c r="B663" s="16"/>
      <c r="C663" s="29"/>
      <c r="D663" s="29"/>
      <c r="E663" s="29"/>
      <c r="F663" s="29"/>
      <c r="G663" s="29"/>
      <c r="H663" s="29"/>
      <c r="I663" s="29"/>
      <c r="J663" s="29"/>
      <c r="K663" s="29"/>
    </row>
    <row r="664" spans="2:11" ht="15">
      <c r="B664" s="16"/>
      <c r="C664" s="29"/>
      <c r="D664" s="29"/>
      <c r="E664" s="29"/>
      <c r="F664" s="29"/>
      <c r="G664" s="29"/>
      <c r="H664" s="29"/>
      <c r="I664" s="29"/>
      <c r="J664" s="29"/>
      <c r="K664" s="29"/>
    </row>
    <row r="665" spans="2:11" ht="15">
      <c r="B665" s="16"/>
      <c r="C665" s="29"/>
      <c r="D665" s="29"/>
      <c r="E665" s="29"/>
      <c r="F665" s="29"/>
      <c r="G665" s="29"/>
      <c r="H665" s="29"/>
      <c r="I665" s="29"/>
      <c r="J665" s="29"/>
      <c r="K665" s="29"/>
    </row>
    <row r="666" spans="2:11" ht="15">
      <c r="B666" s="16"/>
      <c r="C666" s="29"/>
      <c r="D666" s="29"/>
      <c r="E666" s="29"/>
      <c r="F666" s="29"/>
      <c r="G666" s="29"/>
      <c r="H666" s="29"/>
      <c r="I666" s="29"/>
      <c r="J666" s="29"/>
      <c r="K666" s="29"/>
    </row>
    <row r="667" spans="2:11" ht="15">
      <c r="B667" s="16"/>
      <c r="C667" s="29"/>
      <c r="D667" s="29"/>
      <c r="E667" s="29"/>
      <c r="F667" s="29"/>
      <c r="G667" s="29"/>
      <c r="H667" s="29"/>
      <c r="I667" s="29"/>
      <c r="J667" s="29"/>
      <c r="K667" s="29"/>
    </row>
    <row r="668" spans="2:11" ht="15">
      <c r="B668" s="16"/>
      <c r="C668" s="29"/>
      <c r="D668" s="29"/>
      <c r="E668" s="29"/>
      <c r="F668" s="29"/>
      <c r="G668" s="29"/>
      <c r="H668" s="29"/>
      <c r="I668" s="29"/>
      <c r="J668" s="29"/>
      <c r="K668" s="29"/>
    </row>
    <row r="669" spans="2:11" ht="15">
      <c r="B669" s="16"/>
      <c r="C669" s="29"/>
      <c r="D669" s="29"/>
      <c r="E669" s="29"/>
      <c r="F669" s="29"/>
      <c r="G669" s="29"/>
      <c r="H669" s="29"/>
      <c r="I669" s="29"/>
      <c r="J669" s="29"/>
      <c r="K669" s="29"/>
    </row>
    <row r="670" spans="2:11" ht="15">
      <c r="B670" s="16"/>
      <c r="C670" s="29"/>
      <c r="D670" s="29"/>
      <c r="E670" s="29"/>
      <c r="F670" s="29"/>
      <c r="G670" s="29"/>
      <c r="H670" s="29"/>
      <c r="I670" s="29"/>
      <c r="J670" s="29"/>
      <c r="K670" s="29"/>
    </row>
    <row r="671" spans="2:11" ht="15">
      <c r="B671" s="16"/>
      <c r="C671" s="29"/>
      <c r="D671" s="29"/>
      <c r="E671" s="29"/>
      <c r="F671" s="29"/>
      <c r="G671" s="29"/>
      <c r="H671" s="29"/>
      <c r="I671" s="29"/>
      <c r="J671" s="29"/>
      <c r="K671" s="29"/>
    </row>
    <row r="673" spans="2:11" ht="18.75">
      <c r="B673" s="527"/>
      <c r="C673" s="527"/>
      <c r="D673" s="527"/>
      <c r="E673" s="527"/>
      <c r="F673" s="527"/>
      <c r="G673" s="527"/>
      <c r="H673" s="527"/>
      <c r="I673" s="527"/>
      <c r="J673" s="527"/>
      <c r="K673" s="37"/>
    </row>
    <row r="674" spans="2:11" ht="15">
      <c r="B674" s="38"/>
      <c r="C674" s="29"/>
      <c r="D674" s="29"/>
      <c r="E674" s="29"/>
      <c r="F674" s="29"/>
      <c r="G674" s="29"/>
      <c r="H674" s="29"/>
      <c r="I674" s="29"/>
      <c r="J674" s="29"/>
      <c r="K674" s="29"/>
    </row>
    <row r="675" spans="2:11">
      <c r="B675" s="526"/>
      <c r="C675" s="526"/>
      <c r="D675" s="526"/>
      <c r="E675" s="526"/>
      <c r="F675" s="526"/>
      <c r="G675" s="526"/>
      <c r="H675" s="526"/>
      <c r="I675" s="526"/>
      <c r="J675" s="526"/>
      <c r="K675" s="37"/>
    </row>
    <row r="676" spans="2:11">
      <c r="B676" s="526"/>
      <c r="C676" s="526"/>
      <c r="D676" s="526"/>
      <c r="E676" s="526"/>
      <c r="F676" s="526"/>
      <c r="G676" s="526"/>
      <c r="H676" s="526"/>
      <c r="I676" s="526"/>
      <c r="J676" s="526"/>
      <c r="K676" s="37"/>
    </row>
    <row r="677" spans="2:11" ht="15">
      <c r="B677" s="39"/>
      <c r="C677" s="40"/>
      <c r="D677" s="40"/>
      <c r="E677" s="40"/>
      <c r="F677" s="40"/>
      <c r="G677" s="40"/>
      <c r="H677" s="29"/>
      <c r="I677" s="29"/>
      <c r="J677" s="29"/>
      <c r="K677" s="29"/>
    </row>
    <row r="678" spans="2:11" ht="15">
      <c r="B678" s="41"/>
      <c r="C678" s="29"/>
      <c r="D678" s="32"/>
      <c r="E678" s="29"/>
      <c r="F678" s="32"/>
      <c r="G678" s="29"/>
      <c r="H678" s="29"/>
      <c r="I678" s="29"/>
      <c r="J678" s="29"/>
      <c r="K678" s="29"/>
    </row>
    <row r="679" spans="2:11" ht="15">
      <c r="B679" s="30"/>
      <c r="C679" s="32"/>
      <c r="D679" s="42"/>
      <c r="E679" s="32"/>
      <c r="F679" s="32"/>
      <c r="G679" s="32"/>
      <c r="H679" s="32"/>
      <c r="I679" s="32"/>
      <c r="J679" s="32"/>
      <c r="K679" s="32"/>
    </row>
    <row r="680" spans="2:11" ht="15">
      <c r="B680" s="16"/>
      <c r="C680" s="32"/>
      <c r="D680" s="32"/>
      <c r="E680" s="43"/>
      <c r="F680" s="43"/>
      <c r="G680" s="43"/>
      <c r="H680" s="43"/>
      <c r="I680" s="43"/>
      <c r="J680" s="43"/>
      <c r="K680" s="43"/>
    </row>
    <row r="681" spans="2:11" ht="15">
      <c r="B681" s="16"/>
      <c r="C681" s="32"/>
      <c r="D681" s="29"/>
      <c r="E681" s="29"/>
      <c r="F681" s="29"/>
      <c r="G681" s="29"/>
      <c r="H681" s="29"/>
      <c r="I681" s="29"/>
      <c r="J681" s="29"/>
      <c r="K681" s="29"/>
    </row>
    <row r="682" spans="2:11" ht="15">
      <c r="B682" s="44"/>
      <c r="C682" s="29"/>
      <c r="D682" s="29"/>
      <c r="E682" s="29"/>
      <c r="F682" s="29"/>
      <c r="G682" s="29"/>
      <c r="H682" s="29"/>
      <c r="I682" s="29"/>
      <c r="J682" s="29"/>
      <c r="K682" s="29"/>
    </row>
    <row r="683" spans="2:11" ht="15">
      <c r="B683" s="45"/>
      <c r="C683" s="29"/>
      <c r="D683" s="29"/>
      <c r="E683" s="29"/>
      <c r="F683" s="29"/>
      <c r="G683" s="29"/>
      <c r="H683" s="29"/>
      <c r="I683" s="29"/>
      <c r="J683" s="29"/>
      <c r="K683" s="29"/>
    </row>
    <row r="684" spans="2:11" ht="15">
      <c r="B684" s="46"/>
      <c r="C684" s="29"/>
      <c r="D684" s="29"/>
      <c r="E684" s="29"/>
      <c r="F684" s="29"/>
      <c r="G684" s="29"/>
      <c r="H684" s="29"/>
      <c r="I684" s="29"/>
      <c r="J684" s="29"/>
      <c r="K684" s="29"/>
    </row>
    <row r="685" spans="2:11" ht="15">
      <c r="B685" s="22"/>
      <c r="C685" s="29"/>
      <c r="D685" s="29"/>
      <c r="E685" s="29"/>
      <c r="F685" s="29"/>
      <c r="G685" s="29"/>
      <c r="H685" s="29"/>
      <c r="I685" s="29"/>
      <c r="J685" s="29"/>
      <c r="K685" s="29"/>
    </row>
    <row r="686" spans="2:11" ht="15">
      <c r="B686" s="23"/>
      <c r="C686" s="29"/>
      <c r="D686" s="29"/>
      <c r="E686" s="29"/>
      <c r="F686" s="29"/>
      <c r="G686" s="29"/>
      <c r="H686" s="29"/>
      <c r="I686" s="29"/>
      <c r="J686" s="29"/>
      <c r="K686" s="29"/>
    </row>
    <row r="687" spans="2:11" ht="15">
      <c r="B687" s="16"/>
      <c r="C687" s="29"/>
      <c r="D687" s="29"/>
      <c r="E687" s="29"/>
      <c r="F687" s="29"/>
      <c r="G687" s="29"/>
      <c r="H687" s="29"/>
      <c r="I687" s="29"/>
      <c r="J687" s="29"/>
      <c r="K687" s="29"/>
    </row>
    <row r="688" spans="2:11" ht="15">
      <c r="B688" s="44"/>
      <c r="C688" s="29"/>
      <c r="D688" s="29"/>
      <c r="E688" s="29"/>
      <c r="F688" s="29"/>
      <c r="G688" s="29"/>
      <c r="H688" s="29"/>
      <c r="I688" s="29"/>
      <c r="J688" s="29"/>
      <c r="K688" s="29"/>
    </row>
    <row r="689" spans="2:11" ht="15">
      <c r="B689" s="22"/>
      <c r="C689" s="29"/>
      <c r="D689" s="29"/>
      <c r="E689" s="29"/>
      <c r="F689" s="29"/>
      <c r="G689" s="29"/>
      <c r="H689" s="29"/>
      <c r="I689" s="29"/>
      <c r="J689" s="29"/>
      <c r="K689" s="29"/>
    </row>
    <row r="690" spans="2:11" ht="15">
      <c r="B690" s="23"/>
      <c r="C690" s="29"/>
      <c r="D690" s="29"/>
      <c r="E690" s="29"/>
      <c r="F690" s="29"/>
      <c r="G690" s="29"/>
      <c r="H690" s="29"/>
      <c r="I690" s="29"/>
      <c r="J690" s="29"/>
      <c r="K690" s="29"/>
    </row>
    <row r="691" spans="2:11" ht="15">
      <c r="B691" s="23"/>
      <c r="C691" s="29"/>
      <c r="D691" s="29"/>
      <c r="E691" s="29"/>
      <c r="F691" s="29"/>
      <c r="G691" s="29"/>
      <c r="H691" s="29"/>
      <c r="I691" s="29"/>
      <c r="J691" s="29"/>
      <c r="K691" s="29"/>
    </row>
    <row r="692" spans="2:11" ht="15">
      <c r="B692" s="24"/>
      <c r="C692" s="29"/>
      <c r="D692" s="29"/>
      <c r="E692" s="29"/>
      <c r="F692" s="29"/>
      <c r="G692" s="29"/>
      <c r="H692" s="29"/>
      <c r="I692" s="29"/>
      <c r="J692" s="29"/>
      <c r="K692" s="29"/>
    </row>
    <row r="693" spans="2:11" ht="15">
      <c r="B693" s="24"/>
      <c r="C693" s="29"/>
      <c r="D693" s="29"/>
      <c r="E693" s="29"/>
      <c r="F693" s="29"/>
      <c r="G693" s="29"/>
      <c r="H693" s="29"/>
      <c r="I693" s="29"/>
      <c r="J693" s="29"/>
      <c r="K693" s="29"/>
    </row>
    <row r="694" spans="2:11" ht="15">
      <c r="B694" s="44"/>
      <c r="C694" s="29"/>
      <c r="D694" s="29"/>
      <c r="E694" s="29"/>
      <c r="F694" s="29"/>
      <c r="G694" s="29"/>
      <c r="H694" s="29"/>
      <c r="I694" s="29"/>
      <c r="J694" s="29"/>
      <c r="K694" s="29"/>
    </row>
    <row r="695" spans="2:11" ht="15">
      <c r="B695" s="25"/>
      <c r="C695" s="29"/>
      <c r="D695" s="29"/>
      <c r="E695" s="29"/>
      <c r="F695" s="29"/>
      <c r="G695" s="29"/>
      <c r="H695" s="29"/>
      <c r="I695" s="29"/>
      <c r="J695" s="29"/>
      <c r="K695" s="29"/>
    </row>
    <row r="696" spans="2:11" ht="15">
      <c r="B696" s="25"/>
      <c r="C696" s="29"/>
      <c r="D696" s="29"/>
      <c r="E696" s="29"/>
      <c r="F696" s="29"/>
      <c r="G696" s="29"/>
      <c r="H696" s="29"/>
      <c r="I696" s="29"/>
      <c r="J696" s="29"/>
      <c r="K696" s="29"/>
    </row>
    <row r="697" spans="2:11" ht="15">
      <c r="B697" s="16"/>
      <c r="C697" s="29"/>
      <c r="D697" s="29"/>
      <c r="E697" s="29"/>
      <c r="F697" s="29"/>
      <c r="G697" s="29"/>
      <c r="H697" s="29"/>
      <c r="I697" s="29"/>
      <c r="J697" s="29"/>
      <c r="K697" s="29"/>
    </row>
    <row r="698" spans="2:11" ht="15">
      <c r="B698" s="16"/>
      <c r="C698" s="29"/>
      <c r="D698" s="29"/>
      <c r="E698" s="29"/>
      <c r="F698" s="29"/>
      <c r="G698" s="29"/>
      <c r="H698" s="29"/>
      <c r="I698" s="29"/>
      <c r="J698" s="29"/>
      <c r="K698" s="29"/>
    </row>
    <row r="699" spans="2:11" ht="15">
      <c r="B699" s="16"/>
      <c r="C699" s="29"/>
      <c r="D699" s="29"/>
      <c r="E699" s="29"/>
      <c r="F699" s="29"/>
      <c r="G699" s="29"/>
      <c r="H699" s="29"/>
      <c r="I699" s="29"/>
      <c r="J699" s="29"/>
      <c r="K699" s="29"/>
    </row>
    <row r="700" spans="2:11" ht="15">
      <c r="B700" s="16"/>
      <c r="C700" s="29"/>
      <c r="D700" s="29"/>
      <c r="E700" s="29"/>
      <c r="F700" s="29"/>
      <c r="G700" s="29"/>
      <c r="H700" s="29"/>
      <c r="I700" s="29"/>
      <c r="J700" s="29"/>
      <c r="K700" s="29"/>
    </row>
    <row r="701" spans="2:11" ht="15">
      <c r="B701" s="16"/>
      <c r="C701" s="29"/>
      <c r="D701" s="29"/>
      <c r="E701" s="29"/>
      <c r="F701" s="29"/>
      <c r="G701" s="29"/>
      <c r="H701" s="29"/>
      <c r="I701" s="29"/>
      <c r="J701" s="29"/>
      <c r="K701" s="29"/>
    </row>
    <row r="702" spans="2:11" ht="15">
      <c r="B702" s="16"/>
      <c r="C702" s="29"/>
      <c r="D702" s="29"/>
      <c r="E702" s="29"/>
      <c r="F702" s="29"/>
      <c r="G702" s="29"/>
      <c r="H702" s="29"/>
      <c r="I702" s="29"/>
      <c r="J702" s="29"/>
      <c r="K702" s="29"/>
    </row>
    <row r="703" spans="2:11" ht="15">
      <c r="B703" s="16"/>
      <c r="C703" s="29"/>
      <c r="D703" s="29"/>
      <c r="E703" s="29"/>
      <c r="F703" s="29"/>
      <c r="G703" s="29"/>
      <c r="H703" s="29"/>
      <c r="I703" s="29"/>
      <c r="J703" s="29"/>
      <c r="K703" s="29"/>
    </row>
    <row r="704" spans="2:11" ht="15">
      <c r="B704" s="16"/>
      <c r="C704" s="29"/>
      <c r="D704" s="29"/>
      <c r="E704" s="29"/>
      <c r="F704" s="29"/>
      <c r="G704" s="29"/>
      <c r="H704" s="29"/>
      <c r="I704" s="29"/>
      <c r="J704" s="29"/>
      <c r="K704" s="29"/>
    </row>
    <row r="705" spans="2:11" ht="15">
      <c r="B705" s="16"/>
      <c r="C705" s="29"/>
      <c r="D705" s="29"/>
      <c r="E705" s="29"/>
      <c r="F705" s="29"/>
      <c r="G705" s="29"/>
      <c r="H705" s="29"/>
      <c r="I705" s="29"/>
      <c r="J705" s="29"/>
      <c r="K705" s="29"/>
    </row>
    <row r="706" spans="2:11" ht="15">
      <c r="B706" s="16"/>
      <c r="C706" s="29"/>
      <c r="D706" s="29"/>
      <c r="E706" s="29"/>
      <c r="F706" s="29"/>
      <c r="G706" s="29"/>
      <c r="H706" s="29"/>
      <c r="I706" s="29"/>
      <c r="J706" s="29"/>
      <c r="K706" s="29"/>
    </row>
    <row r="707" spans="2:11" ht="15">
      <c r="B707" s="16"/>
      <c r="C707" s="29"/>
      <c r="D707" s="29"/>
      <c r="E707" s="29"/>
      <c r="F707" s="29"/>
      <c r="G707" s="29"/>
      <c r="H707" s="29"/>
      <c r="I707" s="29"/>
      <c r="J707" s="29"/>
      <c r="K707" s="29"/>
    </row>
    <row r="710" spans="2:11" ht="18.75">
      <c r="B710" s="527"/>
      <c r="C710" s="527"/>
      <c r="D710" s="527"/>
      <c r="E710" s="527"/>
      <c r="F710" s="527"/>
      <c r="G710" s="527"/>
      <c r="H710" s="527"/>
      <c r="I710" s="527"/>
      <c r="J710" s="527"/>
      <c r="K710" s="37"/>
    </row>
    <row r="711" spans="2:11" ht="15">
      <c r="B711" s="38"/>
      <c r="C711" s="29"/>
      <c r="D711" s="29"/>
      <c r="E711" s="29"/>
      <c r="F711" s="29"/>
      <c r="G711" s="29"/>
      <c r="H711" s="29"/>
      <c r="I711" s="29"/>
      <c r="J711" s="29"/>
      <c r="K711" s="29"/>
    </row>
    <row r="712" spans="2:11">
      <c r="B712" s="526"/>
      <c r="C712" s="526"/>
      <c r="D712" s="526"/>
      <c r="E712" s="526"/>
      <c r="F712" s="526"/>
      <c r="G712" s="526"/>
      <c r="H712" s="526"/>
      <c r="I712" s="526"/>
      <c r="J712" s="526"/>
      <c r="K712" s="37"/>
    </row>
    <row r="713" spans="2:11">
      <c r="B713" s="526"/>
      <c r="C713" s="526"/>
      <c r="D713" s="526"/>
      <c r="E713" s="526"/>
      <c r="F713" s="526"/>
      <c r="G713" s="526"/>
      <c r="H713" s="526"/>
      <c r="I713" s="526"/>
      <c r="J713" s="526"/>
      <c r="K713" s="37"/>
    </row>
    <row r="714" spans="2:11" ht="15">
      <c r="B714" s="39"/>
      <c r="C714" s="40"/>
      <c r="D714" s="40"/>
      <c r="E714" s="40"/>
      <c r="F714" s="40"/>
      <c r="G714" s="40"/>
      <c r="H714" s="29"/>
      <c r="I714" s="29"/>
      <c r="J714" s="29"/>
      <c r="K714" s="29"/>
    </row>
    <row r="715" spans="2:11" ht="15">
      <c r="B715" s="41"/>
      <c r="C715" s="29"/>
      <c r="D715" s="32"/>
      <c r="E715" s="29"/>
      <c r="F715" s="32"/>
      <c r="G715" s="29"/>
      <c r="H715" s="29"/>
      <c r="I715" s="29"/>
      <c r="J715" s="29"/>
      <c r="K715" s="29"/>
    </row>
    <row r="716" spans="2:11" ht="15">
      <c r="B716" s="30"/>
      <c r="C716" s="32"/>
      <c r="D716" s="32"/>
      <c r="E716" s="32"/>
      <c r="F716" s="32"/>
      <c r="G716" s="32"/>
      <c r="H716" s="32"/>
      <c r="I716" s="32"/>
      <c r="J716" s="32"/>
      <c r="K716" s="32"/>
    </row>
    <row r="717" spans="2:11" ht="15">
      <c r="B717" s="16"/>
      <c r="C717" s="32"/>
      <c r="D717" s="32"/>
      <c r="E717" s="43"/>
      <c r="F717" s="43"/>
      <c r="G717" s="43"/>
      <c r="H717" s="43"/>
      <c r="I717" s="43"/>
      <c r="J717" s="43"/>
      <c r="K717" s="43"/>
    </row>
    <row r="718" spans="2:11" ht="15">
      <c r="B718" s="16"/>
      <c r="C718" s="32"/>
      <c r="D718" s="29"/>
      <c r="E718" s="29"/>
      <c r="F718" s="29"/>
      <c r="G718" s="29"/>
      <c r="H718" s="29"/>
      <c r="I718" s="29"/>
      <c r="J718" s="29"/>
      <c r="K718" s="29"/>
    </row>
    <row r="719" spans="2:11" ht="15">
      <c r="B719" s="44"/>
      <c r="C719" s="29"/>
      <c r="D719" s="29"/>
      <c r="E719" s="29"/>
      <c r="F719" s="29"/>
      <c r="G719" s="29"/>
      <c r="H719" s="29"/>
      <c r="I719" s="29"/>
      <c r="J719" s="29"/>
      <c r="K719" s="29"/>
    </row>
    <row r="720" spans="2:11" ht="15">
      <c r="B720" s="46"/>
      <c r="C720" s="29"/>
      <c r="D720" s="29"/>
      <c r="E720" s="29"/>
      <c r="F720" s="29"/>
      <c r="G720" s="29"/>
      <c r="H720" s="29"/>
      <c r="I720" s="29"/>
      <c r="J720" s="29"/>
      <c r="K720" s="29"/>
    </row>
    <row r="721" spans="2:11" ht="15">
      <c r="B721" s="46"/>
      <c r="C721" s="29"/>
      <c r="D721" s="29"/>
      <c r="E721" s="29"/>
      <c r="F721" s="29"/>
      <c r="G721" s="29"/>
      <c r="H721" s="29"/>
      <c r="I721" s="29"/>
      <c r="J721" s="29"/>
      <c r="K721" s="29"/>
    </row>
    <row r="722" spans="2:11" ht="15">
      <c r="B722" s="46"/>
      <c r="C722" s="29"/>
      <c r="D722" s="29"/>
      <c r="E722" s="29"/>
      <c r="F722" s="29"/>
      <c r="G722" s="29"/>
      <c r="H722" s="29"/>
      <c r="I722" s="29"/>
      <c r="J722" s="29"/>
      <c r="K722" s="29"/>
    </row>
    <row r="723" spans="2:11" ht="15">
      <c r="B723" s="23"/>
      <c r="C723" s="29"/>
      <c r="D723" s="29"/>
      <c r="E723" s="29"/>
      <c r="F723" s="29"/>
      <c r="G723" s="29"/>
      <c r="H723" s="29"/>
      <c r="I723" s="29"/>
      <c r="J723" s="29"/>
      <c r="K723" s="29"/>
    </row>
    <row r="724" spans="2:11" ht="15">
      <c r="B724" s="16"/>
      <c r="C724" s="29"/>
      <c r="D724" s="29"/>
      <c r="E724" s="29"/>
      <c r="F724" s="29"/>
      <c r="G724" s="29"/>
      <c r="H724" s="29"/>
      <c r="I724" s="29"/>
      <c r="J724" s="29"/>
      <c r="K724" s="29"/>
    </row>
    <row r="725" spans="2:11" ht="15">
      <c r="B725" s="44"/>
      <c r="C725" s="29"/>
      <c r="D725" s="29"/>
      <c r="E725" s="29"/>
      <c r="F725" s="29"/>
      <c r="G725" s="29"/>
      <c r="H725" s="29"/>
      <c r="I725" s="29"/>
      <c r="J725" s="29"/>
      <c r="K725" s="29"/>
    </row>
    <row r="726" spans="2:11" ht="15">
      <c r="B726" s="22"/>
      <c r="C726" s="29"/>
      <c r="D726" s="29"/>
      <c r="E726" s="29"/>
      <c r="F726" s="29"/>
      <c r="G726" s="29"/>
      <c r="H726" s="29"/>
      <c r="I726" s="29"/>
      <c r="J726" s="29"/>
      <c r="K726" s="29"/>
    </row>
    <row r="727" spans="2:11" ht="15">
      <c r="B727" s="46"/>
      <c r="C727" s="29"/>
      <c r="D727" s="29"/>
      <c r="E727" s="29"/>
      <c r="F727" s="29"/>
      <c r="G727" s="29"/>
      <c r="H727" s="29"/>
      <c r="I727" s="29"/>
      <c r="J727" s="29"/>
      <c r="K727" s="29"/>
    </row>
    <row r="728" spans="2:11" ht="15">
      <c r="B728" s="23"/>
      <c r="C728" s="29"/>
      <c r="D728" s="29"/>
      <c r="E728" s="29"/>
      <c r="F728" s="29"/>
      <c r="G728" s="29"/>
      <c r="H728" s="29"/>
      <c r="I728" s="29"/>
      <c r="J728" s="29"/>
      <c r="K728" s="29"/>
    </row>
    <row r="729" spans="2:11" ht="15">
      <c r="B729" s="23"/>
      <c r="C729" s="29"/>
      <c r="D729" s="29"/>
      <c r="E729" s="29"/>
      <c r="F729" s="29"/>
      <c r="G729" s="29"/>
      <c r="H729" s="29"/>
      <c r="I729" s="29"/>
      <c r="J729" s="29"/>
      <c r="K729" s="29"/>
    </row>
    <row r="730" spans="2:11" ht="15">
      <c r="B730" s="24"/>
      <c r="C730" s="29"/>
      <c r="D730" s="29"/>
      <c r="E730" s="29"/>
      <c r="F730" s="29"/>
      <c r="G730" s="29"/>
      <c r="H730" s="29"/>
      <c r="I730" s="29"/>
      <c r="J730" s="29"/>
      <c r="K730" s="29"/>
    </row>
    <row r="731" spans="2:11" ht="15">
      <c r="B731" s="24"/>
      <c r="C731" s="29"/>
      <c r="D731" s="29"/>
      <c r="E731" s="29"/>
      <c r="F731" s="29"/>
      <c r="G731" s="29"/>
      <c r="H731" s="29"/>
      <c r="I731" s="29"/>
      <c r="J731" s="29"/>
      <c r="K731" s="29"/>
    </row>
    <row r="732" spans="2:11" ht="15">
      <c r="B732" s="44"/>
      <c r="C732" s="29"/>
      <c r="D732" s="29"/>
      <c r="E732" s="29"/>
      <c r="F732" s="29"/>
      <c r="G732" s="29"/>
      <c r="H732" s="29"/>
      <c r="I732" s="29"/>
      <c r="J732" s="29"/>
      <c r="K732" s="29"/>
    </row>
    <row r="733" spans="2:11" ht="15">
      <c r="B733" s="25"/>
      <c r="C733" s="29"/>
      <c r="D733" s="29"/>
      <c r="E733" s="29"/>
      <c r="F733" s="29"/>
      <c r="G733" s="29"/>
      <c r="H733" s="29"/>
      <c r="I733" s="29"/>
      <c r="J733" s="29"/>
      <c r="K733" s="29"/>
    </row>
    <row r="734" spans="2:11" ht="15">
      <c r="B734" s="25"/>
      <c r="C734" s="29"/>
      <c r="D734" s="29"/>
      <c r="E734" s="29"/>
      <c r="F734" s="29"/>
      <c r="G734" s="29"/>
      <c r="H734" s="29"/>
      <c r="I734" s="29"/>
      <c r="J734" s="29"/>
      <c r="K734" s="29"/>
    </row>
    <row r="735" spans="2:11" ht="15">
      <c r="B735" s="16"/>
      <c r="C735" s="29"/>
      <c r="D735" s="29"/>
      <c r="E735" s="29"/>
      <c r="F735" s="29"/>
      <c r="G735" s="29"/>
      <c r="H735" s="29"/>
      <c r="I735" s="29"/>
      <c r="J735" s="29"/>
      <c r="K735" s="29"/>
    </row>
    <row r="736" spans="2:11" ht="15">
      <c r="B736" s="16"/>
      <c r="C736" s="29"/>
      <c r="D736" s="29"/>
      <c r="E736" s="29"/>
      <c r="F736" s="29"/>
      <c r="G736" s="29"/>
      <c r="H736" s="29"/>
      <c r="I736" s="29"/>
      <c r="J736" s="29"/>
      <c r="K736" s="29"/>
    </row>
    <row r="737" spans="2:11" ht="15">
      <c r="B737" s="16"/>
      <c r="C737" s="29"/>
      <c r="D737" s="29"/>
      <c r="E737" s="29"/>
      <c r="F737" s="29"/>
      <c r="G737" s="29"/>
      <c r="H737" s="29"/>
      <c r="I737" s="29"/>
      <c r="J737" s="29"/>
      <c r="K737" s="29"/>
    </row>
    <row r="738" spans="2:11" ht="15">
      <c r="B738" s="16"/>
      <c r="C738" s="29"/>
      <c r="D738" s="29"/>
      <c r="E738" s="29"/>
      <c r="F738" s="29"/>
      <c r="G738" s="29"/>
      <c r="H738" s="29"/>
      <c r="I738" s="29"/>
      <c r="J738" s="29"/>
      <c r="K738" s="29"/>
    </row>
    <row r="739" spans="2:11" ht="15">
      <c r="B739" s="16"/>
      <c r="C739" s="29"/>
      <c r="D739" s="29"/>
      <c r="E739" s="29"/>
      <c r="F739" s="29"/>
      <c r="G739" s="29"/>
      <c r="H739" s="29"/>
      <c r="I739" s="29"/>
      <c r="J739" s="29"/>
      <c r="K739" s="29"/>
    </row>
    <row r="740" spans="2:11" ht="15">
      <c r="B740" s="16"/>
      <c r="C740" s="29"/>
      <c r="D740" s="29"/>
      <c r="E740" s="29"/>
      <c r="F740" s="29"/>
      <c r="G740" s="29"/>
      <c r="H740" s="29"/>
      <c r="I740" s="29"/>
      <c r="J740" s="29"/>
      <c r="K740" s="29"/>
    </row>
    <row r="741" spans="2:11" ht="15">
      <c r="B741" s="16"/>
      <c r="C741" s="29"/>
      <c r="D741" s="29"/>
      <c r="E741" s="29"/>
      <c r="F741" s="29"/>
      <c r="G741" s="29"/>
      <c r="H741" s="29"/>
      <c r="I741" s="29"/>
      <c r="J741" s="29"/>
      <c r="K741" s="29"/>
    </row>
    <row r="742" spans="2:11" ht="15">
      <c r="B742" s="16"/>
      <c r="C742" s="29"/>
      <c r="D742" s="29"/>
      <c r="E742" s="29"/>
      <c r="F742" s="29"/>
      <c r="G742" s="29"/>
      <c r="H742" s="29"/>
      <c r="I742" s="29"/>
      <c r="J742" s="29"/>
      <c r="K742" s="29"/>
    </row>
    <row r="743" spans="2:11" ht="15">
      <c r="B743" s="16"/>
      <c r="C743" s="29"/>
      <c r="D743" s="29"/>
      <c r="E743" s="29"/>
      <c r="F743" s="29"/>
      <c r="G743" s="29"/>
      <c r="H743" s="29"/>
      <c r="I743" s="29"/>
      <c r="J743" s="29"/>
      <c r="K743" s="29"/>
    </row>
    <row r="744" spans="2:11" ht="15">
      <c r="B744" s="16"/>
      <c r="C744" s="29"/>
      <c r="D744" s="29"/>
      <c r="E744" s="29"/>
      <c r="F744" s="29"/>
      <c r="G744" s="29"/>
      <c r="H744" s="29"/>
      <c r="I744" s="29"/>
      <c r="J744" s="29"/>
      <c r="K744" s="29"/>
    </row>
    <row r="745" spans="2:11" ht="15">
      <c r="B745" s="16"/>
      <c r="C745" s="29"/>
      <c r="D745" s="29"/>
      <c r="E745" s="29"/>
      <c r="F745" s="29"/>
      <c r="G745" s="29"/>
      <c r="H745" s="29"/>
      <c r="I745" s="29"/>
      <c r="J745" s="29"/>
      <c r="K745" s="29"/>
    </row>
    <row r="746" spans="2:11" ht="15">
      <c r="B746" s="16"/>
      <c r="C746" s="29"/>
      <c r="D746" s="29"/>
      <c r="E746" s="29"/>
      <c r="F746" s="29"/>
      <c r="G746" s="29"/>
      <c r="H746" s="29"/>
      <c r="I746" s="29"/>
      <c r="J746" s="29"/>
      <c r="K746" s="29"/>
    </row>
    <row r="748" spans="2:11" ht="18.75">
      <c r="B748" s="527"/>
      <c r="C748" s="527"/>
      <c r="D748" s="527"/>
      <c r="E748" s="527"/>
      <c r="F748" s="527"/>
      <c r="G748" s="527"/>
      <c r="H748" s="527"/>
      <c r="I748" s="527"/>
      <c r="J748" s="527"/>
      <c r="K748" s="37"/>
    </row>
    <row r="749" spans="2:11" ht="15">
      <c r="B749" s="38"/>
      <c r="C749" s="29"/>
      <c r="D749" s="29"/>
      <c r="E749" s="29"/>
      <c r="F749" s="29"/>
      <c r="G749" s="29"/>
      <c r="H749" s="29"/>
      <c r="I749" s="29"/>
      <c r="J749" s="29"/>
      <c r="K749" s="29"/>
    </row>
    <row r="750" spans="2:11">
      <c r="B750" s="526"/>
      <c r="C750" s="526"/>
      <c r="D750" s="526"/>
      <c r="E750" s="526"/>
      <c r="F750" s="526"/>
      <c r="G750" s="526"/>
      <c r="H750" s="526"/>
      <c r="I750" s="526"/>
      <c r="J750" s="526"/>
      <c r="K750" s="37"/>
    </row>
    <row r="751" spans="2:11" ht="18" customHeight="1">
      <c r="B751" s="526"/>
      <c r="C751" s="526"/>
      <c r="D751" s="526"/>
      <c r="E751" s="526"/>
      <c r="F751" s="526"/>
      <c r="G751" s="526"/>
      <c r="H751" s="526"/>
      <c r="I751" s="526"/>
      <c r="J751" s="526"/>
      <c r="K751" s="37"/>
    </row>
    <row r="752" spans="2:11" ht="15">
      <c r="B752" s="41"/>
      <c r="C752" s="29"/>
      <c r="D752" s="42"/>
      <c r="E752" s="29"/>
      <c r="F752" s="32"/>
      <c r="G752" s="29"/>
      <c r="H752" s="29"/>
      <c r="I752" s="29"/>
      <c r="J752" s="29"/>
      <c r="K752" s="29"/>
    </row>
    <row r="753" spans="2:11" ht="15">
      <c r="B753" s="30"/>
      <c r="C753" s="32"/>
      <c r="D753" s="32"/>
      <c r="E753" s="32"/>
      <c r="F753" s="32"/>
      <c r="G753" s="32"/>
      <c r="H753" s="32"/>
      <c r="I753" s="32"/>
      <c r="J753" s="32"/>
      <c r="K753" s="32"/>
    </row>
    <row r="754" spans="2:11" ht="15">
      <c r="B754" s="16"/>
      <c r="C754" s="32"/>
      <c r="D754" s="32"/>
      <c r="E754" s="43"/>
      <c r="F754" s="43"/>
      <c r="G754" s="43"/>
      <c r="H754" s="43"/>
      <c r="I754" s="43"/>
      <c r="J754" s="43"/>
      <c r="K754" s="43"/>
    </row>
    <row r="755" spans="2:11" ht="15">
      <c r="B755" s="16"/>
      <c r="C755" s="32"/>
      <c r="D755" s="29"/>
      <c r="E755" s="29"/>
      <c r="F755" s="29"/>
      <c r="G755" s="29"/>
      <c r="H755" s="29"/>
      <c r="I755" s="29"/>
      <c r="J755" s="29"/>
      <c r="K755" s="29"/>
    </row>
    <row r="756" spans="2:11" ht="15">
      <c r="B756" s="44"/>
      <c r="C756" s="29"/>
      <c r="D756" s="29"/>
      <c r="E756" s="29"/>
      <c r="F756" s="29"/>
      <c r="G756" s="29"/>
      <c r="H756" s="29"/>
      <c r="I756" s="29"/>
      <c r="J756" s="29"/>
      <c r="K756" s="29"/>
    </row>
    <row r="757" spans="2:11" ht="15">
      <c r="B757" s="45"/>
      <c r="C757" s="29"/>
      <c r="D757" s="29"/>
      <c r="E757" s="29"/>
      <c r="F757" s="29"/>
      <c r="G757" s="29"/>
      <c r="H757" s="29"/>
      <c r="I757" s="29"/>
      <c r="J757" s="29"/>
      <c r="K757" s="29"/>
    </row>
    <row r="758" spans="2:11" ht="15">
      <c r="B758" s="46"/>
      <c r="C758" s="29"/>
      <c r="D758" s="29"/>
      <c r="E758" s="29"/>
      <c r="F758" s="29"/>
      <c r="G758" s="29"/>
      <c r="H758" s="29"/>
      <c r="I758" s="29"/>
      <c r="J758" s="29"/>
      <c r="K758" s="29"/>
    </row>
    <row r="759" spans="2:11" ht="15">
      <c r="B759" s="23"/>
      <c r="C759" s="29"/>
      <c r="D759" s="29"/>
      <c r="E759" s="29"/>
      <c r="F759" s="29"/>
      <c r="G759" s="29"/>
      <c r="H759" s="29"/>
      <c r="I759" s="29"/>
      <c r="J759" s="29"/>
      <c r="K759" s="29"/>
    </row>
    <row r="760" spans="2:11" ht="15">
      <c r="B760" s="16"/>
      <c r="C760" s="29"/>
      <c r="D760" s="29"/>
      <c r="E760" s="29"/>
      <c r="F760" s="29"/>
      <c r="G760" s="29"/>
      <c r="H760" s="29"/>
      <c r="I760" s="29"/>
      <c r="J760" s="29"/>
      <c r="K760" s="29"/>
    </row>
    <row r="761" spans="2:11" ht="15">
      <c r="B761" s="44"/>
      <c r="C761" s="29"/>
      <c r="D761" s="29"/>
      <c r="E761" s="29"/>
      <c r="F761" s="29"/>
      <c r="G761" s="29"/>
      <c r="H761" s="29"/>
      <c r="I761" s="29"/>
      <c r="J761" s="29"/>
      <c r="K761" s="29"/>
    </row>
    <row r="762" spans="2:11" ht="15">
      <c r="B762" s="22"/>
      <c r="C762" s="29"/>
      <c r="D762" s="29"/>
      <c r="E762" s="29"/>
      <c r="F762" s="29"/>
      <c r="G762" s="29"/>
      <c r="H762" s="29"/>
      <c r="I762" s="29"/>
      <c r="J762" s="29"/>
      <c r="K762" s="29"/>
    </row>
    <row r="763" spans="2:11" ht="15">
      <c r="B763" s="22"/>
      <c r="C763" s="29"/>
      <c r="D763" s="29"/>
      <c r="E763" s="29"/>
      <c r="F763" s="29"/>
      <c r="G763" s="29"/>
      <c r="H763" s="29"/>
      <c r="I763" s="29"/>
      <c r="J763" s="29"/>
      <c r="K763" s="29"/>
    </row>
    <row r="764" spans="2:11" ht="15">
      <c r="B764" s="22"/>
      <c r="C764" s="29"/>
      <c r="D764" s="29"/>
      <c r="E764" s="29"/>
      <c r="F764" s="29"/>
      <c r="G764" s="29"/>
      <c r="H764" s="29"/>
      <c r="I764" s="29"/>
      <c r="J764" s="29"/>
      <c r="K764" s="29"/>
    </row>
    <row r="765" spans="2:11" ht="15">
      <c r="B765" s="22"/>
      <c r="C765" s="29"/>
      <c r="D765" s="29"/>
      <c r="E765" s="29"/>
      <c r="F765" s="29"/>
      <c r="G765" s="29"/>
      <c r="H765" s="29"/>
      <c r="I765" s="29"/>
      <c r="J765" s="29"/>
      <c r="K765" s="29"/>
    </row>
    <row r="766" spans="2:11" ht="15">
      <c r="B766" s="23"/>
      <c r="C766" s="29"/>
      <c r="D766" s="29"/>
      <c r="E766" s="29"/>
      <c r="F766" s="29"/>
      <c r="G766" s="29"/>
      <c r="H766" s="29"/>
      <c r="I766" s="29"/>
      <c r="J766" s="29"/>
      <c r="K766" s="29"/>
    </row>
    <row r="767" spans="2:11" ht="15">
      <c r="B767" s="23"/>
      <c r="C767" s="29"/>
      <c r="D767" s="29"/>
      <c r="E767" s="29"/>
      <c r="F767" s="29"/>
      <c r="G767" s="29"/>
      <c r="H767" s="29"/>
      <c r="I767" s="29"/>
      <c r="J767" s="29"/>
      <c r="K767" s="29"/>
    </row>
    <row r="768" spans="2:11" ht="15">
      <c r="B768" s="24"/>
      <c r="C768" s="29"/>
      <c r="D768" s="29"/>
      <c r="E768" s="29"/>
      <c r="F768" s="29"/>
      <c r="G768" s="29"/>
      <c r="H768" s="29"/>
      <c r="I768" s="29"/>
      <c r="J768" s="29"/>
      <c r="K768" s="29"/>
    </row>
    <row r="769" spans="2:11" ht="15">
      <c r="B769" s="24"/>
      <c r="C769" s="29"/>
      <c r="D769" s="29"/>
      <c r="E769" s="29"/>
      <c r="F769" s="29"/>
      <c r="G769" s="29"/>
      <c r="H769" s="29"/>
      <c r="I769" s="29"/>
      <c r="J769" s="29"/>
      <c r="K769" s="29"/>
    </row>
    <row r="770" spans="2:11" ht="15">
      <c r="B770" s="44"/>
      <c r="C770" s="29"/>
      <c r="D770" s="29"/>
      <c r="E770" s="29"/>
      <c r="F770" s="29"/>
      <c r="G770" s="29"/>
      <c r="H770" s="29"/>
      <c r="I770" s="29"/>
      <c r="J770" s="29"/>
      <c r="K770" s="29"/>
    </row>
    <row r="771" spans="2:11" ht="15">
      <c r="B771" s="25"/>
      <c r="C771" s="29"/>
      <c r="D771" s="29"/>
      <c r="E771" s="29"/>
      <c r="F771" s="29"/>
      <c r="G771" s="29"/>
      <c r="H771" s="29"/>
      <c r="I771" s="29"/>
      <c r="J771" s="29"/>
      <c r="K771" s="29"/>
    </row>
    <row r="772" spans="2:11" ht="15">
      <c r="B772" s="25"/>
      <c r="C772" s="29"/>
      <c r="D772" s="29"/>
      <c r="E772" s="29"/>
      <c r="F772" s="29"/>
      <c r="G772" s="29"/>
      <c r="H772" s="29"/>
      <c r="I772" s="29"/>
      <c r="J772" s="29"/>
      <c r="K772" s="29"/>
    </row>
    <row r="773" spans="2:11" ht="15">
      <c r="B773" s="16"/>
      <c r="C773" s="29"/>
      <c r="D773" s="29"/>
      <c r="E773" s="29"/>
      <c r="F773" s="29"/>
      <c r="G773" s="29"/>
      <c r="H773" s="29"/>
      <c r="I773" s="29"/>
      <c r="J773" s="29"/>
      <c r="K773" s="29"/>
    </row>
    <row r="774" spans="2:11" ht="15">
      <c r="B774" s="16"/>
      <c r="C774" s="29"/>
      <c r="D774" s="29"/>
      <c r="E774" s="29"/>
      <c r="F774" s="29"/>
      <c r="G774" s="29"/>
      <c r="H774" s="29"/>
      <c r="I774" s="29"/>
      <c r="J774" s="29"/>
      <c r="K774" s="29"/>
    </row>
    <row r="775" spans="2:11" ht="15">
      <c r="B775" s="16"/>
      <c r="C775" s="29"/>
      <c r="D775" s="29"/>
      <c r="E775" s="29"/>
      <c r="F775" s="29"/>
      <c r="G775" s="29"/>
      <c r="H775" s="29"/>
      <c r="I775" s="29"/>
      <c r="J775" s="29"/>
      <c r="K775" s="29"/>
    </row>
    <row r="776" spans="2:11" ht="15">
      <c r="B776" s="16"/>
      <c r="C776" s="29"/>
      <c r="D776" s="29"/>
      <c r="E776" s="29"/>
      <c r="F776" s="29"/>
      <c r="G776" s="29"/>
      <c r="H776" s="29"/>
      <c r="I776" s="29"/>
      <c r="J776" s="29"/>
      <c r="K776" s="29"/>
    </row>
    <row r="777" spans="2:11" ht="15">
      <c r="B777" s="16"/>
      <c r="C777" s="29"/>
      <c r="D777" s="29"/>
      <c r="E777" s="29"/>
      <c r="F777" s="29"/>
      <c r="G777" s="29"/>
      <c r="H777" s="29"/>
      <c r="I777" s="29"/>
      <c r="J777" s="29"/>
      <c r="K777" s="29"/>
    </row>
    <row r="778" spans="2:11" ht="15">
      <c r="B778" s="16"/>
      <c r="C778" s="29"/>
      <c r="D778" s="29"/>
      <c r="E778" s="29"/>
      <c r="F778" s="29"/>
      <c r="G778" s="29"/>
      <c r="H778" s="29"/>
      <c r="I778" s="29"/>
      <c r="J778" s="29"/>
      <c r="K778" s="29"/>
    </row>
    <row r="779" spans="2:11" ht="15">
      <c r="B779" s="16"/>
      <c r="C779" s="29"/>
      <c r="D779" s="29"/>
      <c r="E779" s="29"/>
      <c r="F779" s="29"/>
      <c r="G779" s="29"/>
      <c r="H779" s="29"/>
      <c r="I779" s="29"/>
      <c r="J779" s="29"/>
      <c r="K779" s="29"/>
    </row>
    <row r="780" spans="2:11" ht="15">
      <c r="B780" s="16"/>
      <c r="C780" s="29"/>
      <c r="D780" s="29"/>
      <c r="E780" s="29"/>
      <c r="F780" s="29"/>
      <c r="G780" s="29"/>
      <c r="H780" s="29"/>
      <c r="I780" s="29"/>
      <c r="J780" s="29"/>
      <c r="K780" s="29"/>
    </row>
    <row r="781" spans="2:11" ht="15">
      <c r="B781" s="16"/>
      <c r="C781" s="29"/>
      <c r="D781" s="29"/>
      <c r="E781" s="29"/>
      <c r="F781" s="29"/>
      <c r="G781" s="29"/>
      <c r="H781" s="29"/>
      <c r="I781" s="29"/>
      <c r="J781" s="29"/>
      <c r="K781" s="29"/>
    </row>
    <row r="782" spans="2:11" ht="15">
      <c r="B782" s="16"/>
      <c r="C782" s="29"/>
      <c r="D782" s="29"/>
      <c r="E782" s="29"/>
      <c r="F782" s="29"/>
      <c r="G782" s="29"/>
      <c r="H782" s="29"/>
      <c r="I782" s="29"/>
      <c r="J782" s="29"/>
      <c r="K782" s="29"/>
    </row>
    <row r="783" spans="2:11" ht="15">
      <c r="B783" s="16"/>
      <c r="C783" s="29"/>
      <c r="D783" s="29"/>
      <c r="E783" s="29"/>
      <c r="F783" s="29"/>
      <c r="G783" s="29"/>
      <c r="H783" s="29"/>
      <c r="I783" s="29"/>
      <c r="J783" s="29"/>
      <c r="K783" s="29"/>
    </row>
    <row r="785" spans="2:11" ht="18.75">
      <c r="B785" s="527"/>
      <c r="C785" s="527"/>
      <c r="D785" s="527"/>
      <c r="E785" s="527"/>
      <c r="F785" s="527"/>
      <c r="G785" s="527"/>
      <c r="H785" s="527"/>
      <c r="I785" s="527"/>
      <c r="J785" s="527"/>
      <c r="K785" s="37"/>
    </row>
    <row r="786" spans="2:11" ht="15">
      <c r="B786" s="38"/>
      <c r="C786" s="29"/>
      <c r="D786" s="29"/>
      <c r="E786" s="29"/>
      <c r="F786" s="29"/>
      <c r="G786" s="29"/>
      <c r="H786" s="29"/>
      <c r="I786" s="29"/>
      <c r="J786" s="29"/>
      <c r="K786" s="29"/>
    </row>
    <row r="787" spans="2:11">
      <c r="B787" s="526"/>
      <c r="C787" s="526"/>
      <c r="D787" s="526"/>
      <c r="E787" s="526"/>
      <c r="F787" s="526"/>
      <c r="G787" s="526"/>
      <c r="H787" s="526"/>
      <c r="I787" s="526"/>
      <c r="J787" s="526"/>
      <c r="K787" s="37"/>
    </row>
    <row r="788" spans="2:11" ht="18.75" customHeight="1">
      <c r="B788" s="526"/>
      <c r="C788" s="526"/>
      <c r="D788" s="526"/>
      <c r="E788" s="526"/>
      <c r="F788" s="526"/>
      <c r="G788" s="526"/>
      <c r="H788" s="526"/>
      <c r="I788" s="526"/>
      <c r="J788" s="526"/>
      <c r="K788" s="37"/>
    </row>
    <row r="789" spans="2:11" ht="15">
      <c r="B789" s="39"/>
      <c r="C789" s="40"/>
      <c r="D789" s="40"/>
      <c r="E789" s="40"/>
      <c r="F789" s="40"/>
      <c r="G789" s="40"/>
      <c r="H789" s="40"/>
      <c r="I789" s="29"/>
      <c r="J789" s="29"/>
      <c r="K789" s="29"/>
    </row>
    <row r="790" spans="2:11" ht="15">
      <c r="B790" s="41"/>
      <c r="C790" s="29"/>
      <c r="D790" s="42"/>
      <c r="E790" s="42"/>
      <c r="F790" s="32"/>
      <c r="G790" s="29"/>
      <c r="H790" s="29"/>
      <c r="I790" s="29"/>
      <c r="J790" s="29"/>
      <c r="K790" s="29"/>
    </row>
    <row r="791" spans="2:11" ht="15">
      <c r="B791" s="30"/>
      <c r="C791" s="32"/>
      <c r="D791" s="32"/>
      <c r="E791" s="32"/>
      <c r="F791" s="32"/>
      <c r="G791" s="32"/>
      <c r="H791" s="32"/>
      <c r="I791" s="32"/>
      <c r="J791" s="32"/>
      <c r="K791" s="32"/>
    </row>
    <row r="792" spans="2:11" ht="15">
      <c r="B792" s="16"/>
      <c r="C792" s="32"/>
      <c r="D792" s="32"/>
      <c r="E792" s="43"/>
      <c r="F792" s="43"/>
      <c r="G792" s="43"/>
      <c r="H792" s="43"/>
      <c r="I792" s="43"/>
      <c r="J792" s="43"/>
      <c r="K792" s="43"/>
    </row>
    <row r="793" spans="2:11" ht="15">
      <c r="B793" s="16"/>
      <c r="C793" s="32"/>
      <c r="D793" s="29"/>
      <c r="E793" s="29"/>
      <c r="F793" s="29"/>
      <c r="G793" s="29"/>
      <c r="H793" s="29"/>
      <c r="I793" s="29"/>
      <c r="J793" s="29"/>
      <c r="K793" s="29"/>
    </row>
    <row r="794" spans="2:11" ht="15">
      <c r="B794" s="44"/>
      <c r="C794" s="29"/>
      <c r="D794" s="29"/>
      <c r="E794" s="29"/>
      <c r="F794" s="29"/>
      <c r="G794" s="29"/>
      <c r="H794" s="29"/>
      <c r="I794" s="29"/>
      <c r="J794" s="29"/>
      <c r="K794" s="29"/>
    </row>
    <row r="795" spans="2:11" ht="15">
      <c r="B795" s="45"/>
      <c r="C795" s="29"/>
      <c r="D795" s="29"/>
      <c r="E795" s="29"/>
      <c r="F795" s="29"/>
      <c r="G795" s="29"/>
      <c r="H795" s="29"/>
      <c r="I795" s="29"/>
      <c r="J795" s="29"/>
      <c r="K795" s="29"/>
    </row>
    <row r="796" spans="2:11" ht="15">
      <c r="B796" s="46"/>
      <c r="C796" s="29"/>
      <c r="D796" s="29"/>
      <c r="E796" s="29"/>
      <c r="F796" s="29"/>
      <c r="G796" s="29"/>
      <c r="H796" s="29"/>
      <c r="I796" s="29"/>
      <c r="J796" s="29"/>
      <c r="K796" s="29"/>
    </row>
    <row r="797" spans="2:11" ht="15">
      <c r="B797" s="23"/>
      <c r="C797" s="29"/>
      <c r="D797" s="29"/>
      <c r="E797" s="29"/>
      <c r="F797" s="29"/>
      <c r="G797" s="29"/>
      <c r="H797" s="29"/>
      <c r="I797" s="29"/>
      <c r="J797" s="29"/>
      <c r="K797" s="29"/>
    </row>
    <row r="798" spans="2:11" ht="15">
      <c r="B798" s="16"/>
      <c r="C798" s="29"/>
      <c r="D798" s="29"/>
      <c r="E798" s="29"/>
      <c r="F798" s="29"/>
      <c r="G798" s="29"/>
      <c r="H798" s="29"/>
      <c r="I798" s="29"/>
      <c r="J798" s="29"/>
      <c r="K798" s="29"/>
    </row>
    <row r="799" spans="2:11" ht="15">
      <c r="B799" s="44"/>
      <c r="C799" s="29"/>
      <c r="D799" s="29"/>
      <c r="E799" s="29"/>
      <c r="F799" s="29"/>
      <c r="G799" s="29"/>
      <c r="H799" s="29"/>
      <c r="I799" s="29"/>
      <c r="J799" s="29"/>
      <c r="K799" s="29"/>
    </row>
    <row r="800" spans="2:11" ht="15">
      <c r="B800" s="22"/>
      <c r="C800" s="29"/>
      <c r="D800" s="29"/>
      <c r="E800" s="29"/>
      <c r="F800" s="29"/>
      <c r="G800" s="29"/>
      <c r="H800" s="29"/>
      <c r="I800" s="29"/>
      <c r="J800" s="29"/>
      <c r="K800" s="29"/>
    </row>
    <row r="801" spans="2:11" ht="15">
      <c r="B801" s="22"/>
      <c r="C801" s="29"/>
      <c r="D801" s="29"/>
      <c r="E801" s="29"/>
      <c r="F801" s="29"/>
      <c r="G801" s="29"/>
      <c r="H801" s="29"/>
      <c r="I801" s="29"/>
      <c r="J801" s="29"/>
      <c r="K801" s="29"/>
    </row>
    <row r="802" spans="2:11" ht="15">
      <c r="B802" s="23"/>
      <c r="C802" s="29"/>
      <c r="D802" s="29"/>
      <c r="E802" s="29"/>
      <c r="F802" s="29"/>
      <c r="G802" s="29"/>
      <c r="H802" s="29"/>
      <c r="I802" s="29"/>
      <c r="J802" s="29"/>
      <c r="K802" s="29"/>
    </row>
    <row r="803" spans="2:11" ht="15">
      <c r="B803" s="23"/>
      <c r="C803" s="29"/>
      <c r="D803" s="29"/>
      <c r="E803" s="29"/>
      <c r="F803" s="29"/>
      <c r="G803" s="29"/>
      <c r="H803" s="29"/>
      <c r="I803" s="29"/>
      <c r="J803" s="29"/>
      <c r="K803" s="29"/>
    </row>
    <row r="804" spans="2:11" ht="15">
      <c r="B804" s="24"/>
      <c r="C804" s="29"/>
      <c r="D804" s="29"/>
      <c r="E804" s="29"/>
      <c r="F804" s="29"/>
      <c r="G804" s="29"/>
      <c r="H804" s="29"/>
      <c r="I804" s="29"/>
      <c r="J804" s="29"/>
      <c r="K804" s="29"/>
    </row>
    <row r="805" spans="2:11" ht="15">
      <c r="B805" s="24"/>
      <c r="C805" s="29"/>
      <c r="D805" s="29"/>
      <c r="E805" s="29"/>
      <c r="F805" s="29"/>
      <c r="G805" s="29"/>
      <c r="H805" s="29"/>
      <c r="I805" s="29"/>
      <c r="J805" s="29"/>
      <c r="K805" s="29"/>
    </row>
    <row r="806" spans="2:11" ht="15">
      <c r="B806" s="44"/>
      <c r="C806" s="29"/>
      <c r="D806" s="29"/>
      <c r="E806" s="29"/>
      <c r="F806" s="29"/>
      <c r="G806" s="29"/>
      <c r="H806" s="29"/>
      <c r="I806" s="29"/>
      <c r="J806" s="29"/>
      <c r="K806" s="29"/>
    </row>
    <row r="807" spans="2:11" ht="15">
      <c r="B807" s="25"/>
      <c r="C807" s="29"/>
      <c r="D807" s="29"/>
      <c r="E807" s="29"/>
      <c r="F807" s="29"/>
      <c r="G807" s="29"/>
      <c r="H807" s="29"/>
      <c r="I807" s="29"/>
      <c r="J807" s="29"/>
      <c r="K807" s="29"/>
    </row>
    <row r="808" spans="2:11" ht="15">
      <c r="B808" s="25"/>
      <c r="C808" s="29"/>
      <c r="D808" s="29"/>
      <c r="E808" s="29"/>
      <c r="F808" s="29"/>
      <c r="G808" s="29"/>
      <c r="H808" s="29"/>
      <c r="I808" s="29"/>
      <c r="J808" s="29"/>
      <c r="K808" s="29"/>
    </row>
    <row r="809" spans="2:11" ht="15">
      <c r="B809" s="16"/>
      <c r="C809" s="29"/>
      <c r="D809" s="29"/>
      <c r="E809" s="29"/>
      <c r="F809" s="29"/>
      <c r="G809" s="29"/>
      <c r="H809" s="29"/>
      <c r="I809" s="29"/>
      <c r="J809" s="29"/>
      <c r="K809" s="29"/>
    </row>
    <row r="810" spans="2:11" ht="15">
      <c r="B810" s="16"/>
      <c r="C810" s="29"/>
      <c r="D810" s="29"/>
      <c r="E810" s="29"/>
      <c r="F810" s="29"/>
      <c r="G810" s="29"/>
      <c r="H810" s="29"/>
      <c r="I810" s="29"/>
      <c r="J810" s="29"/>
      <c r="K810" s="29"/>
    </row>
    <row r="811" spans="2:11" ht="15">
      <c r="B811" s="16"/>
      <c r="C811" s="29"/>
      <c r="D811" s="29"/>
      <c r="E811" s="29"/>
      <c r="F811" s="29"/>
      <c r="G811" s="29"/>
      <c r="H811" s="29"/>
      <c r="I811" s="29"/>
      <c r="J811" s="29"/>
      <c r="K811" s="29"/>
    </row>
    <row r="812" spans="2:11" ht="15">
      <c r="B812" s="16"/>
      <c r="C812" s="29"/>
      <c r="D812" s="29"/>
      <c r="E812" s="29"/>
      <c r="F812" s="29"/>
      <c r="G812" s="29"/>
      <c r="H812" s="29"/>
      <c r="I812" s="29"/>
      <c r="J812" s="29"/>
      <c r="K812" s="29"/>
    </row>
    <row r="813" spans="2:11" ht="15">
      <c r="B813" s="16"/>
      <c r="C813" s="29"/>
      <c r="D813" s="29"/>
      <c r="E813" s="29"/>
      <c r="F813" s="29"/>
      <c r="G813" s="29"/>
      <c r="H813" s="29"/>
      <c r="I813" s="29"/>
      <c r="J813" s="29"/>
      <c r="K813" s="29"/>
    </row>
    <row r="814" spans="2:11" ht="15">
      <c r="B814" s="16"/>
      <c r="C814" s="29"/>
      <c r="D814" s="29"/>
      <c r="E814" s="29"/>
      <c r="F814" s="29"/>
      <c r="G814" s="29"/>
      <c r="H814" s="29"/>
      <c r="I814" s="29"/>
      <c r="J814" s="29"/>
      <c r="K814" s="29"/>
    </row>
    <row r="815" spans="2:11" ht="15">
      <c r="B815" s="16"/>
      <c r="C815" s="29"/>
      <c r="D815" s="29"/>
      <c r="E815" s="29"/>
      <c r="F815" s="29"/>
      <c r="G815" s="29"/>
      <c r="H815" s="29"/>
      <c r="I815" s="29"/>
      <c r="J815" s="29"/>
      <c r="K815" s="29"/>
    </row>
    <row r="816" spans="2:11" ht="15">
      <c r="B816" s="16"/>
      <c r="C816" s="29"/>
      <c r="D816" s="29"/>
      <c r="E816" s="29"/>
      <c r="F816" s="29"/>
      <c r="G816" s="29"/>
      <c r="H816" s="29"/>
      <c r="I816" s="29"/>
      <c r="J816" s="29"/>
      <c r="K816" s="29"/>
    </row>
    <row r="817" spans="2:11" ht="15">
      <c r="B817" s="16"/>
      <c r="C817" s="29"/>
      <c r="D817" s="29"/>
      <c r="E817" s="29"/>
      <c r="F817" s="29"/>
      <c r="G817" s="29"/>
      <c r="H817" s="29"/>
      <c r="I817" s="29"/>
      <c r="J817" s="29"/>
      <c r="K817" s="29"/>
    </row>
    <row r="818" spans="2:11" ht="15">
      <c r="B818" s="16"/>
      <c r="C818" s="29"/>
      <c r="D818" s="29"/>
      <c r="E818" s="29"/>
      <c r="F818" s="29"/>
      <c r="G818" s="29"/>
      <c r="H818" s="29"/>
      <c r="I818" s="29"/>
      <c r="J818" s="29"/>
      <c r="K818" s="29"/>
    </row>
    <row r="819" spans="2:11" ht="15">
      <c r="B819" s="16"/>
      <c r="C819" s="29"/>
      <c r="D819" s="29"/>
      <c r="E819" s="29"/>
      <c r="F819" s="29"/>
      <c r="G819" s="29"/>
      <c r="H819" s="29"/>
      <c r="I819" s="29"/>
      <c r="J819" s="29"/>
      <c r="K819" s="29"/>
    </row>
    <row r="820" spans="2:11" ht="15">
      <c r="B820" s="16"/>
      <c r="C820" s="29"/>
      <c r="D820" s="29"/>
      <c r="E820" s="29"/>
      <c r="F820" s="29"/>
      <c r="G820" s="29"/>
      <c r="H820" s="29"/>
      <c r="I820" s="29"/>
      <c r="J820" s="29"/>
      <c r="K820" s="29"/>
    </row>
    <row r="821" spans="2:11" ht="15">
      <c r="B821" s="16"/>
      <c r="C821" s="29"/>
      <c r="D821" s="29"/>
      <c r="E821" s="29"/>
      <c r="F821" s="29"/>
      <c r="G821" s="29"/>
      <c r="H821" s="29"/>
      <c r="I821" s="29"/>
      <c r="J821" s="29"/>
      <c r="K821" s="29"/>
    </row>
    <row r="822" spans="2:11" ht="18.75">
      <c r="B822" s="527"/>
      <c r="C822" s="527"/>
      <c r="D822" s="527"/>
      <c r="E822" s="527"/>
      <c r="F822" s="527"/>
      <c r="G822" s="527"/>
      <c r="H822" s="527"/>
      <c r="I822" s="527"/>
      <c r="J822" s="527"/>
      <c r="K822" s="37"/>
    </row>
    <row r="823" spans="2:11" ht="15">
      <c r="B823" s="38"/>
      <c r="C823" s="29"/>
      <c r="D823" s="29"/>
      <c r="E823" s="29"/>
      <c r="F823" s="29"/>
      <c r="G823" s="29"/>
      <c r="H823" s="29"/>
      <c r="I823" s="29"/>
      <c r="J823" s="29"/>
      <c r="K823" s="29"/>
    </row>
    <row r="824" spans="2:11" ht="15">
      <c r="B824" s="526"/>
      <c r="C824" s="526"/>
      <c r="D824" s="526"/>
      <c r="E824" s="526"/>
      <c r="F824" s="526"/>
      <c r="G824" s="526"/>
      <c r="H824" s="526"/>
      <c r="I824" s="526"/>
      <c r="J824" s="526"/>
      <c r="K824" s="37"/>
    </row>
    <row r="825" spans="2:11" ht="15">
      <c r="B825" s="39"/>
      <c r="C825" s="40"/>
      <c r="D825" s="40"/>
      <c r="E825" s="40"/>
      <c r="F825" s="40"/>
      <c r="G825" s="40"/>
      <c r="H825" s="40"/>
      <c r="I825" s="29"/>
      <c r="J825" s="29"/>
      <c r="K825" s="29"/>
    </row>
    <row r="826" spans="2:11" ht="15">
      <c r="B826" s="41"/>
      <c r="C826" s="29"/>
      <c r="D826" s="32"/>
      <c r="E826" s="29"/>
      <c r="F826" s="32"/>
      <c r="G826" s="29"/>
      <c r="H826" s="29"/>
      <c r="I826" s="29"/>
      <c r="J826" s="29"/>
      <c r="K826" s="29"/>
    </row>
    <row r="827" spans="2:11" ht="15">
      <c r="B827" s="30"/>
      <c r="C827" s="32"/>
      <c r="D827" s="32"/>
      <c r="E827" s="32"/>
      <c r="F827" s="32"/>
      <c r="G827" s="32"/>
      <c r="H827" s="32"/>
      <c r="I827" s="32"/>
      <c r="J827" s="32"/>
      <c r="K827" s="32"/>
    </row>
    <row r="828" spans="2:11" ht="15">
      <c r="B828" s="16"/>
      <c r="C828" s="32"/>
      <c r="D828" s="32"/>
      <c r="E828" s="43"/>
      <c r="F828" s="43"/>
      <c r="G828" s="43"/>
      <c r="H828" s="43"/>
      <c r="I828" s="43"/>
      <c r="J828" s="43"/>
      <c r="K828" s="43"/>
    </row>
    <row r="829" spans="2:11" ht="15">
      <c r="B829" s="16"/>
      <c r="C829" s="32"/>
      <c r="D829" s="29"/>
      <c r="E829" s="29"/>
      <c r="F829" s="29"/>
      <c r="G829" s="29"/>
      <c r="H829" s="29"/>
      <c r="I829" s="29"/>
      <c r="J829" s="29"/>
      <c r="K829" s="29"/>
    </row>
    <row r="830" spans="2:11" ht="15">
      <c r="B830" s="44"/>
      <c r="C830" s="29"/>
      <c r="D830" s="29"/>
      <c r="E830" s="29"/>
      <c r="F830" s="29"/>
      <c r="G830" s="29"/>
      <c r="H830" s="29"/>
      <c r="I830" s="29"/>
      <c r="J830" s="29"/>
      <c r="K830" s="29"/>
    </row>
    <row r="831" spans="2:11" ht="15">
      <c r="B831" s="45"/>
      <c r="C831" s="29"/>
      <c r="D831" s="29"/>
      <c r="E831" s="29"/>
      <c r="F831" s="29"/>
      <c r="G831" s="29"/>
      <c r="H831" s="29"/>
      <c r="I831" s="29"/>
      <c r="J831" s="29"/>
      <c r="K831" s="29"/>
    </row>
    <row r="832" spans="2:11" ht="15">
      <c r="B832" s="46"/>
      <c r="C832" s="29"/>
      <c r="D832" s="29"/>
      <c r="E832" s="29"/>
      <c r="F832" s="29"/>
      <c r="G832" s="29"/>
      <c r="H832" s="29"/>
      <c r="I832" s="29"/>
      <c r="J832" s="29"/>
      <c r="K832" s="29"/>
    </row>
    <row r="833" spans="2:11" ht="15">
      <c r="B833" s="23"/>
      <c r="C833" s="29"/>
      <c r="D833" s="29"/>
      <c r="E833" s="29"/>
      <c r="F833" s="29"/>
      <c r="G833" s="29"/>
      <c r="H833" s="29"/>
      <c r="I833" s="29"/>
      <c r="J833" s="29"/>
      <c r="K833" s="29"/>
    </row>
    <row r="834" spans="2:11" ht="15">
      <c r="B834" s="16"/>
      <c r="C834" s="29"/>
      <c r="D834" s="29"/>
      <c r="E834" s="29"/>
      <c r="F834" s="29"/>
      <c r="G834" s="29"/>
      <c r="H834" s="29"/>
      <c r="I834" s="29"/>
      <c r="J834" s="29"/>
      <c r="K834" s="29"/>
    </row>
    <row r="835" spans="2:11" ht="15">
      <c r="B835" s="44"/>
      <c r="C835" s="29"/>
      <c r="D835" s="29"/>
      <c r="E835" s="29"/>
      <c r="F835" s="29"/>
      <c r="G835" s="29"/>
      <c r="H835" s="29"/>
      <c r="I835" s="29"/>
      <c r="J835" s="29"/>
      <c r="K835" s="29"/>
    </row>
    <row r="836" spans="2:11" ht="15">
      <c r="B836" s="22"/>
      <c r="C836" s="29"/>
      <c r="D836" s="29"/>
      <c r="E836" s="29"/>
      <c r="F836" s="29"/>
      <c r="G836" s="29"/>
      <c r="H836" s="29"/>
      <c r="I836" s="29"/>
      <c r="J836" s="29"/>
      <c r="K836" s="29"/>
    </row>
    <row r="837" spans="2:11" ht="15">
      <c r="B837" s="22"/>
      <c r="C837" s="29"/>
      <c r="D837" s="29"/>
      <c r="E837" s="29"/>
      <c r="F837" s="29"/>
      <c r="G837" s="29"/>
      <c r="H837" s="29"/>
      <c r="I837" s="29"/>
      <c r="J837" s="29"/>
      <c r="K837" s="29"/>
    </row>
    <row r="838" spans="2:11" ht="15">
      <c r="B838" s="23"/>
      <c r="C838" s="29"/>
      <c r="D838" s="29"/>
      <c r="E838" s="29"/>
      <c r="F838" s="29"/>
      <c r="G838" s="29"/>
      <c r="H838" s="29"/>
      <c r="I838" s="29"/>
      <c r="J838" s="29"/>
      <c r="K838" s="29"/>
    </row>
    <row r="839" spans="2:11" ht="15">
      <c r="B839" s="23"/>
      <c r="C839" s="29"/>
      <c r="D839" s="29"/>
      <c r="E839" s="29"/>
      <c r="F839" s="29"/>
      <c r="G839" s="29"/>
      <c r="H839" s="29"/>
      <c r="I839" s="29"/>
      <c r="J839" s="29"/>
      <c r="K839" s="29"/>
    </row>
    <row r="840" spans="2:11" ht="15">
      <c r="B840" s="24"/>
      <c r="C840" s="29"/>
      <c r="D840" s="29"/>
      <c r="E840" s="29"/>
      <c r="F840" s="29"/>
      <c r="G840" s="29"/>
      <c r="H840" s="29"/>
      <c r="I840" s="29"/>
      <c r="J840" s="29"/>
      <c r="K840" s="29"/>
    </row>
    <row r="841" spans="2:11" ht="15">
      <c r="B841" s="24"/>
      <c r="C841" s="29"/>
      <c r="D841" s="29"/>
      <c r="E841" s="29"/>
      <c r="F841" s="29"/>
      <c r="G841" s="29"/>
      <c r="H841" s="29"/>
      <c r="I841" s="29"/>
      <c r="J841" s="29"/>
      <c r="K841" s="29"/>
    </row>
    <row r="842" spans="2:11" ht="15">
      <c r="B842" s="44"/>
      <c r="C842" s="29"/>
      <c r="D842" s="29"/>
      <c r="E842" s="29"/>
      <c r="F842" s="29"/>
      <c r="G842" s="29"/>
      <c r="H842" s="29"/>
      <c r="I842" s="29"/>
      <c r="J842" s="29"/>
      <c r="K842" s="29"/>
    </row>
    <row r="843" spans="2:11" ht="15">
      <c r="B843" s="25"/>
      <c r="C843" s="29"/>
      <c r="D843" s="29"/>
      <c r="E843" s="29"/>
      <c r="F843" s="29"/>
      <c r="G843" s="29"/>
      <c r="H843" s="29"/>
      <c r="I843" s="29"/>
      <c r="J843" s="29"/>
      <c r="K843" s="29"/>
    </row>
    <row r="844" spans="2:11" ht="15">
      <c r="B844" s="25"/>
      <c r="C844" s="29"/>
      <c r="D844" s="29"/>
      <c r="E844" s="29"/>
      <c r="F844" s="29"/>
      <c r="G844" s="29"/>
      <c r="H844" s="29"/>
      <c r="I844" s="29"/>
      <c r="J844" s="29"/>
      <c r="K844" s="29"/>
    </row>
    <row r="845" spans="2:11" ht="15">
      <c r="B845" s="16"/>
      <c r="C845" s="29"/>
      <c r="D845" s="29"/>
      <c r="E845" s="29"/>
      <c r="F845" s="29"/>
      <c r="G845" s="29"/>
      <c r="H845" s="29"/>
      <c r="I845" s="29"/>
      <c r="J845" s="29"/>
      <c r="K845" s="29"/>
    </row>
    <row r="846" spans="2:11" ht="15">
      <c r="B846" s="16"/>
      <c r="C846" s="29"/>
      <c r="D846" s="29"/>
      <c r="E846" s="29"/>
      <c r="F846" s="29"/>
      <c r="G846" s="29"/>
      <c r="H846" s="29"/>
      <c r="I846" s="29"/>
      <c r="J846" s="29"/>
      <c r="K846" s="29"/>
    </row>
    <row r="847" spans="2:11" ht="15">
      <c r="B847" s="16"/>
      <c r="C847" s="29"/>
      <c r="D847" s="29"/>
      <c r="E847" s="29"/>
      <c r="F847" s="29"/>
      <c r="G847" s="29"/>
      <c r="H847" s="29"/>
      <c r="I847" s="29"/>
      <c r="J847" s="29"/>
      <c r="K847" s="29"/>
    </row>
    <row r="848" spans="2:11" ht="15">
      <c r="B848" s="16"/>
      <c r="C848" s="29"/>
      <c r="D848" s="29"/>
      <c r="E848" s="29"/>
      <c r="F848" s="29"/>
      <c r="G848" s="29"/>
      <c r="H848" s="29"/>
      <c r="I848" s="29"/>
      <c r="J848" s="29"/>
      <c r="K848" s="29"/>
    </row>
    <row r="849" spans="2:11" ht="15">
      <c r="B849" s="16"/>
      <c r="C849" s="29"/>
      <c r="D849" s="29"/>
      <c r="E849" s="29"/>
      <c r="F849" s="29"/>
      <c r="G849" s="29"/>
      <c r="H849" s="29"/>
      <c r="I849" s="29"/>
      <c r="J849" s="29"/>
      <c r="K849" s="29"/>
    </row>
    <row r="850" spans="2:11" ht="15">
      <c r="B850" s="16"/>
      <c r="C850" s="29"/>
      <c r="D850" s="29"/>
      <c r="E850" s="29"/>
      <c r="F850" s="29"/>
      <c r="G850" s="29"/>
      <c r="H850" s="29"/>
      <c r="I850" s="29"/>
      <c r="J850" s="29"/>
      <c r="K850" s="29"/>
    </row>
    <row r="851" spans="2:11" ht="15">
      <c r="B851" s="16"/>
      <c r="C851" s="29"/>
      <c r="D851" s="29"/>
      <c r="E851" s="29"/>
      <c r="F851" s="29"/>
      <c r="G851" s="29"/>
      <c r="H851" s="29"/>
      <c r="I851" s="29"/>
      <c r="J851" s="29"/>
      <c r="K851" s="29"/>
    </row>
    <row r="852" spans="2:11" ht="15">
      <c r="B852" s="16"/>
      <c r="C852" s="29"/>
      <c r="D852" s="29"/>
      <c r="E852" s="29"/>
      <c r="F852" s="29"/>
      <c r="G852" s="29"/>
      <c r="H852" s="29"/>
      <c r="I852" s="29"/>
      <c r="J852" s="29"/>
      <c r="K852" s="29"/>
    </row>
    <row r="853" spans="2:11" ht="15">
      <c r="B853" s="16"/>
      <c r="C853" s="29"/>
      <c r="D853" s="29"/>
      <c r="E853" s="29"/>
      <c r="F853" s="29"/>
      <c r="G853" s="29"/>
      <c r="H853" s="29"/>
      <c r="I853" s="29"/>
      <c r="J853" s="29"/>
      <c r="K853" s="29"/>
    </row>
    <row r="854" spans="2:11" ht="15">
      <c r="B854" s="16"/>
      <c r="C854" s="29"/>
      <c r="D854" s="29"/>
      <c r="E854" s="29"/>
      <c r="F854" s="29"/>
      <c r="G854" s="29"/>
      <c r="H854" s="29"/>
      <c r="I854" s="29"/>
      <c r="J854" s="29"/>
      <c r="K854" s="29"/>
    </row>
    <row r="855" spans="2:11" ht="15">
      <c r="B855" s="16"/>
      <c r="C855" s="29"/>
      <c r="D855" s="29"/>
      <c r="E855" s="29"/>
      <c r="F855" s="29"/>
      <c r="G855" s="29"/>
      <c r="H855" s="29"/>
      <c r="I855" s="29"/>
      <c r="J855" s="29"/>
      <c r="K855" s="29"/>
    </row>
    <row r="856" spans="2:11" ht="15">
      <c r="B856" s="16"/>
      <c r="C856" s="29"/>
      <c r="D856" s="29"/>
      <c r="E856" s="29"/>
      <c r="F856" s="29"/>
      <c r="G856" s="29"/>
      <c r="H856" s="29"/>
      <c r="I856" s="29"/>
      <c r="J856" s="29"/>
      <c r="K856" s="29"/>
    </row>
  </sheetData>
  <mergeCells count="44">
    <mergeCell ref="B1:K1"/>
    <mergeCell ref="B3:K5"/>
    <mergeCell ref="B35:K35"/>
    <mergeCell ref="B37:K39"/>
    <mergeCell ref="B67:K67"/>
    <mergeCell ref="B294:J294"/>
    <mergeCell ref="B296:J297"/>
    <mergeCell ref="B331:J331"/>
    <mergeCell ref="B333:J333"/>
    <mergeCell ref="B196:K196"/>
    <mergeCell ref="B198:K199"/>
    <mergeCell ref="B230:K230"/>
    <mergeCell ref="B232:K233"/>
    <mergeCell ref="B503:J503"/>
    <mergeCell ref="B505:J507"/>
    <mergeCell ref="B539:J539"/>
    <mergeCell ref="B541:J544"/>
    <mergeCell ref="B584:J584"/>
    <mergeCell ref="B373:J374"/>
    <mergeCell ref="B409:J409"/>
    <mergeCell ref="B411:J412"/>
    <mergeCell ref="B457:J457"/>
    <mergeCell ref="B459:J460"/>
    <mergeCell ref="B163:K163"/>
    <mergeCell ref="B165:K168"/>
    <mergeCell ref="B824:J824"/>
    <mergeCell ref="B624:J624"/>
    <mergeCell ref="B626:J628"/>
    <mergeCell ref="B673:J673"/>
    <mergeCell ref="B675:J676"/>
    <mergeCell ref="B710:J710"/>
    <mergeCell ref="B712:J713"/>
    <mergeCell ref="B748:J748"/>
    <mergeCell ref="B750:J751"/>
    <mergeCell ref="B785:J785"/>
    <mergeCell ref="B787:J788"/>
    <mergeCell ref="B822:J822"/>
    <mergeCell ref="B586:J589"/>
    <mergeCell ref="B371:J371"/>
    <mergeCell ref="B69:K70"/>
    <mergeCell ref="B98:K98"/>
    <mergeCell ref="B100:K101"/>
    <mergeCell ref="B129:K129"/>
    <mergeCell ref="B131:K132"/>
  </mergeCells>
  <pageMargins left="0" right="0" top="0.5" bottom="0.25" header="0" footer="0"/>
  <pageSetup scale="92" orientation="landscape" r:id="rId1"/>
  <rowBreaks count="22" manualBreakCount="22">
    <brk id="33" max="16383" man="1"/>
    <brk id="65" max="16383" man="1"/>
    <brk id="96" max="16383" man="1"/>
    <brk id="127" max="16383" man="1"/>
    <brk id="162" max="10" man="1"/>
    <brk id="195" max="10" man="1"/>
    <brk id="228" max="16383" man="1"/>
    <brk id="264" max="10" man="1"/>
    <brk id="292" max="16383" man="1"/>
    <brk id="330" max="16383" man="1"/>
    <brk id="369" max="16383" man="1"/>
    <brk id="407" max="16383" man="1"/>
    <brk id="455" max="16383" man="1"/>
    <brk id="501" max="16383" man="1"/>
    <brk id="537" max="16383" man="1"/>
    <brk id="582" max="16383" man="1"/>
    <brk id="622" max="16383" man="1"/>
    <brk id="671" max="16383" man="1"/>
    <brk id="708" max="16383" man="1"/>
    <brk id="746" max="16383" man="1"/>
    <brk id="783" max="16383" man="1"/>
    <brk id="820" max="16383" man="1"/>
  </rowBreaks>
  <drawing r:id="rId2"/>
</worksheet>
</file>

<file path=xl/worksheets/sheet6.xml><?xml version="1.0" encoding="utf-8"?>
<worksheet xmlns="http://schemas.openxmlformats.org/spreadsheetml/2006/main" xmlns:r="http://schemas.openxmlformats.org/officeDocument/2006/relationships">
  <dimension ref="A1:L1334"/>
  <sheetViews>
    <sheetView zoomScaleNormal="100" zoomScaleSheetLayoutView="100" workbookViewId="0">
      <selection activeCell="A1114" sqref="A1114:XFD1115"/>
    </sheetView>
  </sheetViews>
  <sheetFormatPr defaultRowHeight="12.75"/>
  <cols>
    <col min="1" max="1" width="3.7109375" customWidth="1"/>
    <col min="2" max="2" width="33" customWidth="1"/>
    <col min="3" max="4" width="12.7109375" style="35" customWidth="1"/>
    <col min="5" max="11" width="12.7109375" style="36" customWidth="1"/>
    <col min="12" max="12" width="9.140625" style="165"/>
  </cols>
  <sheetData>
    <row r="1" spans="1:11" ht="18.75">
      <c r="A1" s="11"/>
      <c r="B1" s="523" t="s">
        <v>1042</v>
      </c>
      <c r="C1" s="523"/>
      <c r="D1" s="523"/>
      <c r="E1" s="523"/>
      <c r="F1" s="523"/>
      <c r="G1" s="523"/>
      <c r="H1" s="523"/>
      <c r="I1" s="523"/>
      <c r="J1" s="523"/>
      <c r="K1" s="523"/>
    </row>
    <row r="2" spans="1:11" ht="7.5" customHeight="1">
      <c r="A2" s="11"/>
      <c r="B2" s="12"/>
      <c r="C2" s="29"/>
      <c r="D2" s="28"/>
      <c r="E2" s="28"/>
      <c r="F2" s="28"/>
      <c r="G2" s="28"/>
      <c r="H2" s="28"/>
      <c r="I2" s="28"/>
      <c r="J2" s="28"/>
      <c r="K2" s="28"/>
    </row>
    <row r="3" spans="1:11" ht="15" customHeight="1">
      <c r="A3" s="11"/>
      <c r="B3" s="529" t="s">
        <v>1043</v>
      </c>
      <c r="C3" s="529"/>
      <c r="D3" s="529"/>
      <c r="E3" s="529"/>
      <c r="F3" s="529"/>
      <c r="G3" s="529"/>
      <c r="H3" s="529"/>
      <c r="I3" s="529"/>
      <c r="J3" s="529"/>
      <c r="K3" s="529"/>
    </row>
    <row r="4" spans="1:11" ht="15">
      <c r="A4" s="11"/>
      <c r="B4" s="529"/>
      <c r="C4" s="529"/>
      <c r="D4" s="529"/>
      <c r="E4" s="529"/>
      <c r="F4" s="529"/>
      <c r="G4" s="529"/>
      <c r="H4" s="529"/>
      <c r="I4" s="529"/>
      <c r="J4" s="529"/>
      <c r="K4" s="529"/>
    </row>
    <row r="5" spans="1:11" ht="7.5" customHeight="1">
      <c r="A5" s="11"/>
      <c r="B5" s="13"/>
      <c r="C5" s="31"/>
      <c r="D5" s="31"/>
      <c r="E5" s="31"/>
      <c r="F5" s="31"/>
      <c r="G5" s="31"/>
      <c r="H5" s="28"/>
      <c r="I5" s="28"/>
      <c r="J5" s="28"/>
      <c r="K5" s="28"/>
    </row>
    <row r="6" spans="1:11" ht="15">
      <c r="A6" s="11"/>
      <c r="B6" s="5"/>
      <c r="C6" s="80"/>
      <c r="D6" s="81"/>
      <c r="E6" s="80" t="s">
        <v>312</v>
      </c>
      <c r="F6" s="1"/>
      <c r="G6" s="1"/>
      <c r="H6" s="1"/>
      <c r="I6" s="1"/>
      <c r="J6" s="1"/>
      <c r="K6" s="1"/>
    </row>
    <row r="7" spans="1:11" ht="15">
      <c r="A7" s="11"/>
      <c r="B7" s="14"/>
      <c r="C7" s="80" t="s">
        <v>23</v>
      </c>
      <c r="D7" s="62" t="s">
        <v>253</v>
      </c>
      <c r="E7" s="81" t="s">
        <v>1045</v>
      </c>
      <c r="F7" s="81" t="s">
        <v>312</v>
      </c>
      <c r="G7" s="81" t="s">
        <v>313</v>
      </c>
      <c r="H7" s="81" t="s">
        <v>329</v>
      </c>
      <c r="I7" s="81" t="s">
        <v>332</v>
      </c>
      <c r="J7" s="81" t="s">
        <v>333</v>
      </c>
      <c r="K7" s="81" t="s">
        <v>1224</v>
      </c>
    </row>
    <row r="8" spans="1:11" ht="15.75" thickBot="1">
      <c r="A8" s="11"/>
      <c r="B8" s="15"/>
      <c r="C8" s="83" t="s">
        <v>1</v>
      </c>
      <c r="D8" s="83" t="s">
        <v>1</v>
      </c>
      <c r="E8" s="83" t="s">
        <v>987</v>
      </c>
      <c r="F8" s="83" t="s">
        <v>24</v>
      </c>
      <c r="G8" s="83" t="s">
        <v>1045</v>
      </c>
      <c r="H8" s="83" t="s">
        <v>24</v>
      </c>
      <c r="I8" s="83" t="s">
        <v>24</v>
      </c>
      <c r="J8" s="83" t="s">
        <v>24</v>
      </c>
      <c r="K8" s="83" t="s">
        <v>24</v>
      </c>
    </row>
    <row r="9" spans="1:11" ht="15">
      <c r="A9" s="11"/>
      <c r="B9" s="16"/>
      <c r="C9" s="32"/>
      <c r="D9" s="28"/>
      <c r="E9" s="28"/>
      <c r="F9" s="28"/>
      <c r="G9" s="28"/>
      <c r="H9" s="28"/>
      <c r="I9" s="28"/>
      <c r="J9" s="28"/>
      <c r="K9" s="28"/>
    </row>
    <row r="10" spans="1:11" ht="15">
      <c r="A10" s="11"/>
      <c r="B10" s="17" t="s">
        <v>1046</v>
      </c>
      <c r="C10" s="28"/>
      <c r="D10" s="28"/>
      <c r="E10" s="28"/>
      <c r="F10" s="28"/>
      <c r="G10" s="28"/>
      <c r="H10" s="28"/>
      <c r="I10" s="28"/>
      <c r="J10" s="28"/>
      <c r="K10" s="28"/>
    </row>
    <row r="11" spans="1:11" ht="20.100000000000001" customHeight="1">
      <c r="A11" s="11"/>
      <c r="B11" s="18" t="s">
        <v>1047</v>
      </c>
      <c r="C11" s="2">
        <f>SUM('Budget Detail FY 2013-18'!N9:N25)</f>
        <v>7230149</v>
      </c>
      <c r="D11" s="2">
        <f>SUM('Budget Detail FY 2013-18'!O9:O25)</f>
        <v>7942975</v>
      </c>
      <c r="E11" s="2">
        <f>SUM('Budget Detail FY 2013-18'!P9:P25)</f>
        <v>8788433</v>
      </c>
      <c r="F11" s="2">
        <f>SUM('Budget Detail FY 2013-18'!Q9:Q25)</f>
        <v>9171463</v>
      </c>
      <c r="G11" s="2">
        <f>SUM('Budget Detail FY 2013-18'!R9:R25)</f>
        <v>9359104</v>
      </c>
      <c r="H11" s="2">
        <f>SUM('Budget Detail FY 2013-18'!S9:S25)</f>
        <v>9490731</v>
      </c>
      <c r="I11" s="2">
        <f>SUM('Budget Detail FY 2013-18'!T9:T25)</f>
        <v>9644790</v>
      </c>
      <c r="J11" s="2">
        <f>SUM('Budget Detail FY 2013-18'!U9:U25)</f>
        <v>9794888</v>
      </c>
      <c r="K11" s="2">
        <f>SUM('Budget Detail FY 2013-18'!V9:V25)</f>
        <v>9990714</v>
      </c>
    </row>
    <row r="12" spans="1:11" ht="20.100000000000001" customHeight="1">
      <c r="A12" s="11"/>
      <c r="B12" s="18" t="s">
        <v>1048</v>
      </c>
      <c r="C12" s="2">
        <f>SUM('Budget Detail FY 2013-18'!N26:N32)</f>
        <v>1791792</v>
      </c>
      <c r="D12" s="2">
        <f>SUM('Budget Detail FY 2013-18'!O26:O32)</f>
        <v>1889036</v>
      </c>
      <c r="E12" s="2">
        <f>SUM('Budget Detail FY 2013-18'!P26:P32)</f>
        <v>1759600</v>
      </c>
      <c r="F12" s="2">
        <f>SUM('Budget Detail FY 2013-18'!Q26:Q32)</f>
        <v>1997077</v>
      </c>
      <c r="G12" s="2">
        <f>SUM('Budget Detail FY 2013-18'!R26:R32)</f>
        <v>1998200</v>
      </c>
      <c r="H12" s="2">
        <f>SUM('Budget Detail FY 2013-18'!S26:S32)</f>
        <v>2003500</v>
      </c>
      <c r="I12" s="2">
        <f>SUM('Budget Detail FY 2013-18'!T26:T32)</f>
        <v>2003500</v>
      </c>
      <c r="J12" s="2">
        <f>SUM('Budget Detail FY 2013-18'!U26:U32)</f>
        <v>2013500</v>
      </c>
      <c r="K12" s="2">
        <f>SUM('Budget Detail FY 2013-18'!V26:V32)</f>
        <v>2013500</v>
      </c>
    </row>
    <row r="13" spans="1:11" ht="20.100000000000001" customHeight="1">
      <c r="A13" s="11"/>
      <c r="B13" s="19" t="s">
        <v>1049</v>
      </c>
      <c r="C13" s="2">
        <f>SUM('Budget Detail FY 2013-18'!N33:N36)</f>
        <v>241752</v>
      </c>
      <c r="D13" s="2">
        <f>SUM('Budget Detail FY 2013-18'!O33:O36)</f>
        <v>171921</v>
      </c>
      <c r="E13" s="2">
        <f>SUM('Budget Detail FY 2013-18'!P33:P36)</f>
        <v>169300</v>
      </c>
      <c r="F13" s="2">
        <f>SUM('Budget Detail FY 2013-18'!Q33:Q36)</f>
        <v>169300</v>
      </c>
      <c r="G13" s="2">
        <f>SUM('Budget Detail FY 2013-18'!R33:R36)</f>
        <v>193000</v>
      </c>
      <c r="H13" s="2">
        <f>SUM('Budget Detail FY 2013-18'!S33:S36)</f>
        <v>193000</v>
      </c>
      <c r="I13" s="2">
        <f>SUM('Budget Detail FY 2013-18'!T33:T36)</f>
        <v>218000</v>
      </c>
      <c r="J13" s="2">
        <f>SUM('Budget Detail FY 2013-18'!U33:U36)</f>
        <v>218000</v>
      </c>
      <c r="K13" s="2">
        <f>SUM('Budget Detail FY 2013-18'!V33:V36)</f>
        <v>243000</v>
      </c>
    </row>
    <row r="14" spans="1:11" ht="20.100000000000001" customHeight="1">
      <c r="A14" s="11"/>
      <c r="B14" s="19" t="s">
        <v>1050</v>
      </c>
      <c r="C14" s="2">
        <f>SUM('Budget Detail FY 2013-18'!N37:N40)</f>
        <v>201236</v>
      </c>
      <c r="D14" s="2">
        <f>SUM('Budget Detail FY 2013-18'!O37:O40)</f>
        <v>175159</v>
      </c>
      <c r="E14" s="2">
        <f>SUM('Budget Detail FY 2013-18'!P37:P40)</f>
        <v>201500</v>
      </c>
      <c r="F14" s="2">
        <f>SUM('Budget Detail FY 2013-18'!Q37:Q40)</f>
        <v>162200</v>
      </c>
      <c r="G14" s="2">
        <f>SUM('Budget Detail FY 2013-18'!R37:R40)</f>
        <v>180200</v>
      </c>
      <c r="H14" s="2">
        <f>SUM('Budget Detail FY 2013-18'!S37:S40)</f>
        <v>180200</v>
      </c>
      <c r="I14" s="2">
        <f>SUM('Budget Detail FY 2013-18'!T37:T40)</f>
        <v>180200</v>
      </c>
      <c r="J14" s="2">
        <f>SUM('Budget Detail FY 2013-18'!U37:U40)</f>
        <v>180200</v>
      </c>
      <c r="K14" s="2">
        <f>SUM('Budget Detail FY 2013-18'!V37:V40)</f>
        <v>180200</v>
      </c>
    </row>
    <row r="15" spans="1:11" ht="20.100000000000001" customHeight="1">
      <c r="A15" s="11"/>
      <c r="B15" s="19" t="s">
        <v>1051</v>
      </c>
      <c r="C15" s="2">
        <f>SUM('Budget Detail FY 2013-18'!N41:N48)</f>
        <v>1537831</v>
      </c>
      <c r="D15" s="2">
        <f>SUM('Budget Detail FY 2013-18'!O41:O48)</f>
        <v>1561554</v>
      </c>
      <c r="E15" s="2">
        <f>SUM('Budget Detail FY 2013-18'!P41:P48)</f>
        <v>1178284</v>
      </c>
      <c r="F15" s="2">
        <f>SUM('Budget Detail FY 2013-18'!Q41:Q48)</f>
        <v>1179557</v>
      </c>
      <c r="G15" s="2">
        <f>SUM('Budget Detail FY 2013-18'!R41:R48)</f>
        <v>1181235</v>
      </c>
      <c r="H15" s="2">
        <f>SUM('Budget Detail FY 2013-18'!S41:S48)</f>
        <v>1182607</v>
      </c>
      <c r="I15" s="2">
        <f>SUM('Budget Detail FY 2013-18'!T41:T48)</f>
        <v>1183993</v>
      </c>
      <c r="J15" s="2">
        <f>SUM('Budget Detail FY 2013-18'!U41:U48)</f>
        <v>1185393</v>
      </c>
      <c r="K15" s="2">
        <f>SUM('Budget Detail FY 2013-18'!V41:V48)</f>
        <v>1193307</v>
      </c>
    </row>
    <row r="16" spans="1:11" ht="20.100000000000001" customHeight="1">
      <c r="A16" s="11"/>
      <c r="B16" s="19" t="s">
        <v>1052</v>
      </c>
      <c r="C16" s="2">
        <f>SUM('Budget Detail FY 2013-18'!N49)</f>
        <v>1747</v>
      </c>
      <c r="D16" s="2">
        <f>SUM('Budget Detail FY 2013-18'!O49)</f>
        <v>5102</v>
      </c>
      <c r="E16" s="2">
        <f>SUM('Budget Detail FY 2013-18'!P49)</f>
        <v>3100</v>
      </c>
      <c r="F16" s="2">
        <f>SUM('Budget Detail FY 2013-18'!Q49)</f>
        <v>6500</v>
      </c>
      <c r="G16" s="2">
        <f>SUM('Budget Detail FY 2013-18'!R49)</f>
        <v>6500</v>
      </c>
      <c r="H16" s="2">
        <f>SUM('Budget Detail FY 2013-18'!S49)</f>
        <v>6500</v>
      </c>
      <c r="I16" s="2">
        <f>SUM('Budget Detail FY 2013-18'!T49)</f>
        <v>6500</v>
      </c>
      <c r="J16" s="2">
        <f>SUM('Budget Detail FY 2013-18'!U49)</f>
        <v>6500</v>
      </c>
      <c r="K16" s="2">
        <f>SUM('Budget Detail FY 2013-18'!V49)</f>
        <v>6500</v>
      </c>
    </row>
    <row r="17" spans="1:12" ht="20.100000000000001" customHeight="1">
      <c r="A17" s="11"/>
      <c r="B17" s="19" t="s">
        <v>1053</v>
      </c>
      <c r="C17" s="2">
        <f>SUM('Budget Detail FY 2013-18'!N50:N61)</f>
        <v>484593</v>
      </c>
      <c r="D17" s="2">
        <f>SUM('Budget Detail FY 2013-18'!O50:O61)</f>
        <v>419903</v>
      </c>
      <c r="E17" s="2">
        <f>SUM('Budget Detail FY 2013-18'!P50:P61)</f>
        <v>199892</v>
      </c>
      <c r="F17" s="2">
        <f>SUM('Budget Detail FY 2013-18'!Q50:Q61)</f>
        <v>218240</v>
      </c>
      <c r="G17" s="2">
        <f>SUM('Budget Detail FY 2013-18'!R50:R61)</f>
        <v>75000</v>
      </c>
      <c r="H17" s="2">
        <f>SUM('Budget Detail FY 2013-18'!S50:S61)</f>
        <v>75000</v>
      </c>
      <c r="I17" s="2">
        <f>SUM('Budget Detail FY 2013-18'!T50:T61)</f>
        <v>75000</v>
      </c>
      <c r="J17" s="2">
        <f>SUM('Budget Detail FY 2013-18'!U50:U61)</f>
        <v>75000</v>
      </c>
      <c r="K17" s="2">
        <f>SUM('Budget Detail FY 2013-18'!V50:V61)</f>
        <v>75000</v>
      </c>
    </row>
    <row r="18" spans="1:12" ht="20.100000000000001" customHeight="1">
      <c r="A18" s="11"/>
      <c r="B18" s="19" t="s">
        <v>1054</v>
      </c>
      <c r="C18" s="2">
        <f>SUM('Budget Detail FY 2013-18'!N62:N65)</f>
        <v>28861</v>
      </c>
      <c r="D18" s="2">
        <f>SUM('Budget Detail FY 2013-18'!O62:O65)</f>
        <v>13702</v>
      </c>
      <c r="E18" s="2">
        <f>SUM('Budget Detail FY 2013-18'!P62:P65)</f>
        <v>11000</v>
      </c>
      <c r="F18" s="2">
        <f>SUM('Budget Detail FY 2013-18'!Q62:Q65)</f>
        <v>124000</v>
      </c>
      <c r="G18" s="2">
        <f>SUM('Budget Detail FY 2013-18'!R62:R65)</f>
        <v>11000</v>
      </c>
      <c r="H18" s="2">
        <f>SUM('Budget Detail FY 2013-18'!S62:S65)</f>
        <v>13000</v>
      </c>
      <c r="I18" s="2">
        <f>SUM('Budget Detail FY 2013-18'!T62:T65)</f>
        <v>13000</v>
      </c>
      <c r="J18" s="2">
        <f>SUM('Budget Detail FY 2013-18'!U62:U65)</f>
        <v>13000</v>
      </c>
      <c r="K18" s="2">
        <f>SUM('Budget Detail FY 2013-18'!V62:V65)</f>
        <v>13000</v>
      </c>
    </row>
    <row r="19" spans="1:12" ht="20.100000000000001" customHeight="1">
      <c r="A19" s="11"/>
      <c r="B19" s="19" t="s">
        <v>1055</v>
      </c>
      <c r="C19" s="2">
        <f>SUM('Budget Detail FY 2013-18'!N66:N67)</f>
        <v>0</v>
      </c>
      <c r="D19" s="2">
        <f>SUM('Budget Detail FY 2013-18'!O66:O67)</f>
        <v>332500</v>
      </c>
      <c r="E19" s="2">
        <f>SUM('Budget Detail FY 2013-18'!P66:P67)</f>
        <v>0</v>
      </c>
      <c r="F19" s="2">
        <f>SUM('Budget Detail FY 2013-18'!Q66:Q67)</f>
        <v>0</v>
      </c>
      <c r="G19" s="2">
        <f>SUM('Budget Detail FY 2013-18'!R66:R67)</f>
        <v>5250</v>
      </c>
      <c r="H19" s="2">
        <f>SUM('Budget Detail FY 2013-18'!S66:S67)</f>
        <v>5250</v>
      </c>
      <c r="I19" s="2">
        <f>SUM('Budget Detail FY 2013-18'!T66:T67)</f>
        <v>5250</v>
      </c>
      <c r="J19" s="2">
        <f>SUM('Budget Detail FY 2013-18'!U66:U67)</f>
        <v>5250</v>
      </c>
      <c r="K19" s="2">
        <f>SUM('Budget Detail FY 2013-18'!V66:V67)</f>
        <v>5250</v>
      </c>
    </row>
    <row r="20" spans="1:12" ht="20.100000000000001" customHeight="1" thickBot="1">
      <c r="A20" s="11"/>
      <c r="B20" s="20" t="s">
        <v>1056</v>
      </c>
      <c r="C20" s="188">
        <f>SUM(C11:C19)</f>
        <v>11517961</v>
      </c>
      <c r="D20" s="188">
        <f t="shared" ref="D20:J20" si="0">SUM(D11:D19)</f>
        <v>12511852</v>
      </c>
      <c r="E20" s="188">
        <f t="shared" si="0"/>
        <v>12311109</v>
      </c>
      <c r="F20" s="188">
        <f t="shared" si="0"/>
        <v>13028337</v>
      </c>
      <c r="G20" s="188">
        <f>SUM(G11:G19)</f>
        <v>13009489</v>
      </c>
      <c r="H20" s="188">
        <f t="shared" si="0"/>
        <v>13149788</v>
      </c>
      <c r="I20" s="188">
        <f t="shared" si="0"/>
        <v>13330233</v>
      </c>
      <c r="J20" s="188">
        <f t="shared" si="0"/>
        <v>13491731</v>
      </c>
      <c r="K20" s="188">
        <f>SUM(K11:K19)</f>
        <v>13720471</v>
      </c>
    </row>
    <row r="21" spans="1:12" s="152" customFormat="1" ht="15" hidden="1">
      <c r="A21" s="149"/>
      <c r="B21" s="150"/>
      <c r="C21" s="151">
        <f>'Budget Detail FY 2013-18'!N69</f>
        <v>11517961</v>
      </c>
      <c r="D21" s="151">
        <f>'Budget Detail FY 2013-18'!O69</f>
        <v>12511852</v>
      </c>
      <c r="E21" s="151">
        <f>'Budget Detail FY 2013-18'!P69</f>
        <v>12311109</v>
      </c>
      <c r="F21" s="151">
        <f>'Budget Detail FY 2013-18'!Q69</f>
        <v>13028337</v>
      </c>
      <c r="G21" s="151">
        <f>'Budget Detail FY 2013-18'!R69</f>
        <v>13009489</v>
      </c>
      <c r="H21" s="151">
        <f>'Budget Detail FY 2013-18'!S69</f>
        <v>13149788</v>
      </c>
      <c r="I21" s="151">
        <f>'Budget Detail FY 2013-18'!T69</f>
        <v>13330233</v>
      </c>
      <c r="J21" s="151">
        <f>'Budget Detail FY 2013-18'!U69</f>
        <v>13491731</v>
      </c>
      <c r="K21" s="151">
        <f>'Budget Detail FY 2013-18'!V69</f>
        <v>13720471</v>
      </c>
      <c r="L21" s="166" t="s">
        <v>1462</v>
      </c>
    </row>
    <row r="22" spans="1:12" s="158" customFormat="1" ht="15" hidden="1">
      <c r="A22" s="155"/>
      <c r="B22" s="156"/>
      <c r="C22" s="157">
        <f>C20-C21</f>
        <v>0</v>
      </c>
      <c r="D22" s="157">
        <f t="shared" ref="D22:K22" si="1">D20-D21</f>
        <v>0</v>
      </c>
      <c r="E22" s="157">
        <f t="shared" si="1"/>
        <v>0</v>
      </c>
      <c r="F22" s="157">
        <f t="shared" si="1"/>
        <v>0</v>
      </c>
      <c r="G22" s="157">
        <f t="shared" si="1"/>
        <v>0</v>
      </c>
      <c r="H22" s="157">
        <f t="shared" si="1"/>
        <v>0</v>
      </c>
      <c r="I22" s="157">
        <f t="shared" si="1"/>
        <v>0</v>
      </c>
      <c r="J22" s="157">
        <f t="shared" si="1"/>
        <v>0</v>
      </c>
      <c r="K22" s="157">
        <f t="shared" si="1"/>
        <v>0</v>
      </c>
      <c r="L22" s="167" t="s">
        <v>1463</v>
      </c>
    </row>
    <row r="23" spans="1:12" ht="7.5" customHeight="1">
      <c r="A23" s="11"/>
      <c r="B23" s="11"/>
      <c r="C23" s="28"/>
      <c r="D23" s="28"/>
      <c r="E23" s="28"/>
      <c r="F23" s="28"/>
      <c r="G23" s="28"/>
      <c r="H23" s="28"/>
      <c r="I23" s="28"/>
      <c r="J23" s="28"/>
      <c r="K23" s="28"/>
    </row>
    <row r="24" spans="1:12" ht="15">
      <c r="A24" s="11"/>
      <c r="B24" s="17" t="s">
        <v>761</v>
      </c>
      <c r="C24" s="28"/>
      <c r="D24" s="28"/>
      <c r="E24" s="28"/>
      <c r="F24" s="28"/>
      <c r="G24" s="28"/>
      <c r="H24" s="28"/>
      <c r="I24" s="28"/>
      <c r="J24" s="28"/>
      <c r="K24" s="28"/>
    </row>
    <row r="25" spans="1:12" ht="20.100000000000001" customHeight="1">
      <c r="A25" s="11"/>
      <c r="B25" s="21" t="s">
        <v>1057</v>
      </c>
      <c r="C25" s="2">
        <f>'Gen Fd Cover Sheets'!C12+'Gen Fd Cover Sheets'!C46+'Gen Fd Cover Sheets'!C77+'Gen Fd Cover Sheets'!C108+'Gen Fd Cover Sheets'!C139+'Gen Fd Cover Sheets'!C175+'Gen Fd Cover Sheets'!C206+'Gen Fd Cover Sheets'!C240</f>
        <v>3517151</v>
      </c>
      <c r="D25" s="2">
        <f>'Gen Fd Cover Sheets'!D12+'Gen Fd Cover Sheets'!D46+'Gen Fd Cover Sheets'!D77+'Gen Fd Cover Sheets'!D108+'Gen Fd Cover Sheets'!D139+'Gen Fd Cover Sheets'!D175+'Gen Fd Cover Sheets'!D206+'Gen Fd Cover Sheets'!D240</f>
        <v>3029713</v>
      </c>
      <c r="E25" s="2">
        <f>'Gen Fd Cover Sheets'!E12+'Gen Fd Cover Sheets'!E46+'Gen Fd Cover Sheets'!E77+'Gen Fd Cover Sheets'!E108+'Gen Fd Cover Sheets'!E139+'Gen Fd Cover Sheets'!E175+'Gen Fd Cover Sheets'!E206+'Gen Fd Cover Sheets'!E240</f>
        <v>3371895</v>
      </c>
      <c r="F25" s="2">
        <f>'Gen Fd Cover Sheets'!F12+'Gen Fd Cover Sheets'!F46+'Gen Fd Cover Sheets'!F77+'Gen Fd Cover Sheets'!F108+'Gen Fd Cover Sheets'!F139+'Gen Fd Cover Sheets'!F175+'Gen Fd Cover Sheets'!F206+'Gen Fd Cover Sheets'!F240</f>
        <v>3304920</v>
      </c>
      <c r="G25" s="2">
        <f>'Gen Fd Cover Sheets'!G12+'Gen Fd Cover Sheets'!G46+'Gen Fd Cover Sheets'!G77+'Gen Fd Cover Sheets'!G108+'Gen Fd Cover Sheets'!G139+'Gen Fd Cover Sheets'!G175+'Gen Fd Cover Sheets'!G206+'Gen Fd Cover Sheets'!G240</f>
        <v>3546298</v>
      </c>
      <c r="H25" s="2">
        <f>'Gen Fd Cover Sheets'!H12+'Gen Fd Cover Sheets'!H46+'Gen Fd Cover Sheets'!H77+'Gen Fd Cover Sheets'!H108+'Gen Fd Cover Sheets'!H139+'Gen Fd Cover Sheets'!H175+'Gen Fd Cover Sheets'!H206+'Gen Fd Cover Sheets'!H240</f>
        <v>3546298</v>
      </c>
      <c r="I25" s="2">
        <f>'Gen Fd Cover Sheets'!I12+'Gen Fd Cover Sheets'!I46+'Gen Fd Cover Sheets'!I77+'Gen Fd Cover Sheets'!I108+'Gen Fd Cover Sheets'!I139+'Gen Fd Cover Sheets'!I175+'Gen Fd Cover Sheets'!I206+'Gen Fd Cover Sheets'!I240</f>
        <v>3546298</v>
      </c>
      <c r="J25" s="2">
        <f>'Gen Fd Cover Sheets'!J12+'Gen Fd Cover Sheets'!J46+'Gen Fd Cover Sheets'!J77+'Gen Fd Cover Sheets'!J108+'Gen Fd Cover Sheets'!J139+'Gen Fd Cover Sheets'!J175+'Gen Fd Cover Sheets'!J206+'Gen Fd Cover Sheets'!J240</f>
        <v>3546298</v>
      </c>
      <c r="K25" s="2">
        <f>'Gen Fd Cover Sheets'!K12+'Gen Fd Cover Sheets'!K46+'Gen Fd Cover Sheets'!K77+'Gen Fd Cover Sheets'!K108+'Gen Fd Cover Sheets'!K139+'Gen Fd Cover Sheets'!K175+'Gen Fd Cover Sheets'!K206+'Gen Fd Cover Sheets'!K240</f>
        <v>3546298</v>
      </c>
    </row>
    <row r="26" spans="1:12" ht="20.100000000000001" customHeight="1">
      <c r="A26" s="11"/>
      <c r="B26" s="21" t="s">
        <v>1058</v>
      </c>
      <c r="C26" s="2">
        <f>'Gen Fd Cover Sheets'!C13+'Gen Fd Cover Sheets'!C47+'Gen Fd Cover Sheets'!C78+'Gen Fd Cover Sheets'!C109+'Gen Fd Cover Sheets'!C140+'Gen Fd Cover Sheets'!C176+'Gen Fd Cover Sheets'!C207+'Gen Fd Cover Sheets'!C241</f>
        <v>2446452</v>
      </c>
      <c r="D26" s="2">
        <f>'Gen Fd Cover Sheets'!D13+'Gen Fd Cover Sheets'!D47+'Gen Fd Cover Sheets'!D78+'Gen Fd Cover Sheets'!D109+'Gen Fd Cover Sheets'!D140+'Gen Fd Cover Sheets'!D176+'Gen Fd Cover Sheets'!D207+'Gen Fd Cover Sheets'!D241</f>
        <v>2407769</v>
      </c>
      <c r="E26" s="2">
        <f>'Gen Fd Cover Sheets'!E13+'Gen Fd Cover Sheets'!E47+'Gen Fd Cover Sheets'!E78+'Gen Fd Cover Sheets'!E109+'Gen Fd Cover Sheets'!E140+'Gen Fd Cover Sheets'!E176+'Gen Fd Cover Sheets'!E207+'Gen Fd Cover Sheets'!E241</f>
        <v>2327040</v>
      </c>
      <c r="F26" s="2">
        <f>'Gen Fd Cover Sheets'!F13+'Gen Fd Cover Sheets'!F47+'Gen Fd Cover Sheets'!F78+'Gen Fd Cover Sheets'!F109+'Gen Fd Cover Sheets'!F140+'Gen Fd Cover Sheets'!F176+'Gen Fd Cover Sheets'!F207+'Gen Fd Cover Sheets'!F241</f>
        <v>2075440</v>
      </c>
      <c r="G26" s="2">
        <f>'Gen Fd Cover Sheets'!G13+'Gen Fd Cover Sheets'!G47+'Gen Fd Cover Sheets'!G78+'Gen Fd Cover Sheets'!G109+'Gen Fd Cover Sheets'!G140+'Gen Fd Cover Sheets'!G176+'Gen Fd Cover Sheets'!G207+'Gen Fd Cover Sheets'!G241</f>
        <v>2270039</v>
      </c>
      <c r="H26" s="2">
        <f>'Gen Fd Cover Sheets'!H13+'Gen Fd Cover Sheets'!H47+'Gen Fd Cover Sheets'!H78+'Gen Fd Cover Sheets'!H109+'Gen Fd Cover Sheets'!H140+'Gen Fd Cover Sheets'!H176+'Gen Fd Cover Sheets'!H207+'Gen Fd Cover Sheets'!H241</f>
        <v>2410767</v>
      </c>
      <c r="I26" s="2">
        <f>'Gen Fd Cover Sheets'!I13+'Gen Fd Cover Sheets'!I47+'Gen Fd Cover Sheets'!I78+'Gen Fd Cover Sheets'!I109+'Gen Fd Cover Sheets'!I140+'Gen Fd Cover Sheets'!I176+'Gen Fd Cover Sheets'!I207+'Gen Fd Cover Sheets'!I241</f>
        <v>2562438</v>
      </c>
      <c r="J26" s="2">
        <f>'Gen Fd Cover Sheets'!J13+'Gen Fd Cover Sheets'!J47+'Gen Fd Cover Sheets'!J78+'Gen Fd Cover Sheets'!J109+'Gen Fd Cover Sheets'!J140+'Gen Fd Cover Sheets'!J176+'Gen Fd Cover Sheets'!J207+'Gen Fd Cover Sheets'!J241</f>
        <v>2656890</v>
      </c>
      <c r="K26" s="2">
        <f>'Gen Fd Cover Sheets'!K13+'Gen Fd Cover Sheets'!K47+'Gen Fd Cover Sheets'!K78+'Gen Fd Cover Sheets'!K109+'Gen Fd Cover Sheets'!K140+'Gen Fd Cover Sheets'!K176+'Gen Fd Cover Sheets'!K207+'Gen Fd Cover Sheets'!K241</f>
        <v>2776255</v>
      </c>
    </row>
    <row r="27" spans="1:12" ht="20.100000000000001" customHeight="1">
      <c r="A27" s="11"/>
      <c r="B27" s="21" t="s">
        <v>1059</v>
      </c>
      <c r="C27" s="2">
        <f>'Gen Fd Cover Sheets'!C14+'Gen Fd Cover Sheets'!C48+'Gen Fd Cover Sheets'!C79+'Gen Fd Cover Sheets'!C110+'Gen Fd Cover Sheets'!C141+'Gen Fd Cover Sheets'!C177+'Gen Fd Cover Sheets'!C208+'Gen Fd Cover Sheets'!C242</f>
        <v>3470156</v>
      </c>
      <c r="D27" s="2">
        <f>'Gen Fd Cover Sheets'!D14+'Gen Fd Cover Sheets'!D48+'Gen Fd Cover Sheets'!D79+'Gen Fd Cover Sheets'!D110+'Gen Fd Cover Sheets'!D141+'Gen Fd Cover Sheets'!D177+'Gen Fd Cover Sheets'!D208+'Gen Fd Cover Sheets'!D242</f>
        <v>3944907</v>
      </c>
      <c r="E27" s="2">
        <f>'Gen Fd Cover Sheets'!E14+'Gen Fd Cover Sheets'!E48+'Gen Fd Cover Sheets'!E79+'Gen Fd Cover Sheets'!E110+'Gen Fd Cover Sheets'!E141+'Gen Fd Cover Sheets'!E177+'Gen Fd Cover Sheets'!E208+'Gen Fd Cover Sheets'!E242</f>
        <v>3840120</v>
      </c>
      <c r="F27" s="2">
        <f>'Gen Fd Cover Sheets'!F14+'Gen Fd Cover Sheets'!F48+'Gen Fd Cover Sheets'!F79+'Gen Fd Cover Sheets'!F110+'Gen Fd Cover Sheets'!F141+'Gen Fd Cover Sheets'!F177+'Gen Fd Cover Sheets'!F208+'Gen Fd Cover Sheets'!F242</f>
        <v>3658073</v>
      </c>
      <c r="G27" s="2">
        <f>'Gen Fd Cover Sheets'!G14+'Gen Fd Cover Sheets'!G48+'Gen Fd Cover Sheets'!G79+'Gen Fd Cover Sheets'!G110+'Gen Fd Cover Sheets'!G141+'Gen Fd Cover Sheets'!G177+'Gen Fd Cover Sheets'!G208+'Gen Fd Cover Sheets'!G242</f>
        <v>3934440</v>
      </c>
      <c r="H27" s="2">
        <f>'Gen Fd Cover Sheets'!H14+'Gen Fd Cover Sheets'!H48+'Gen Fd Cover Sheets'!H79+'Gen Fd Cover Sheets'!H110+'Gen Fd Cover Sheets'!H141+'Gen Fd Cover Sheets'!H177+'Gen Fd Cover Sheets'!H208+'Gen Fd Cover Sheets'!H242</f>
        <v>4059205</v>
      </c>
      <c r="I27" s="2">
        <f>'Gen Fd Cover Sheets'!I14+'Gen Fd Cover Sheets'!I48+'Gen Fd Cover Sheets'!I79+'Gen Fd Cover Sheets'!I110+'Gen Fd Cover Sheets'!I141+'Gen Fd Cover Sheets'!I177+'Gen Fd Cover Sheets'!I208+'Gen Fd Cover Sheets'!I242</f>
        <v>4172923</v>
      </c>
      <c r="J27" s="2">
        <f>'Gen Fd Cover Sheets'!J14+'Gen Fd Cover Sheets'!J48+'Gen Fd Cover Sheets'!J79+'Gen Fd Cover Sheets'!J110+'Gen Fd Cover Sheets'!J141+'Gen Fd Cover Sheets'!J177+'Gen Fd Cover Sheets'!J208+'Gen Fd Cover Sheets'!J242</f>
        <v>4262413</v>
      </c>
      <c r="K27" s="2">
        <f>'Gen Fd Cover Sheets'!K14+'Gen Fd Cover Sheets'!K48+'Gen Fd Cover Sheets'!K79+'Gen Fd Cover Sheets'!K110+'Gen Fd Cover Sheets'!K141+'Gen Fd Cover Sheets'!K177+'Gen Fd Cover Sheets'!K208+'Gen Fd Cover Sheets'!K242</f>
        <v>4356956</v>
      </c>
    </row>
    <row r="28" spans="1:12" ht="20.100000000000001" customHeight="1">
      <c r="A28" s="11"/>
      <c r="B28" s="21" t="s">
        <v>1060</v>
      </c>
      <c r="C28" s="2">
        <f>'Gen Fd Cover Sheets'!C15+'Gen Fd Cover Sheets'!C49+'Gen Fd Cover Sheets'!C80+'Gen Fd Cover Sheets'!C111+'Gen Fd Cover Sheets'!C142+'Gen Fd Cover Sheets'!C178+'Gen Fd Cover Sheets'!C209+'Gen Fd Cover Sheets'!C243</f>
        <v>271393</v>
      </c>
      <c r="D28" s="2">
        <f>'Gen Fd Cover Sheets'!D15+'Gen Fd Cover Sheets'!D49+'Gen Fd Cover Sheets'!D80+'Gen Fd Cover Sheets'!D111+'Gen Fd Cover Sheets'!D142+'Gen Fd Cover Sheets'!D178+'Gen Fd Cover Sheets'!D209+'Gen Fd Cover Sheets'!D243</f>
        <v>236916</v>
      </c>
      <c r="E28" s="2">
        <f>'Gen Fd Cover Sheets'!E15+'Gen Fd Cover Sheets'!E49+'Gen Fd Cover Sheets'!E80+'Gen Fd Cover Sheets'!E111+'Gen Fd Cover Sheets'!E142+'Gen Fd Cover Sheets'!E178+'Gen Fd Cover Sheets'!E209+'Gen Fd Cover Sheets'!E243</f>
        <v>274151</v>
      </c>
      <c r="F28" s="2">
        <f>'Gen Fd Cover Sheets'!F15+'Gen Fd Cover Sheets'!F49+'Gen Fd Cover Sheets'!F80+'Gen Fd Cover Sheets'!F111+'Gen Fd Cover Sheets'!F142+'Gen Fd Cover Sheets'!F178+'Gen Fd Cover Sheets'!F209+'Gen Fd Cover Sheets'!F243</f>
        <v>282120</v>
      </c>
      <c r="G28" s="2">
        <f>'Gen Fd Cover Sheets'!G15+'Gen Fd Cover Sheets'!G49+'Gen Fd Cover Sheets'!G80+'Gen Fd Cover Sheets'!G111+'Gen Fd Cover Sheets'!G142+'Gen Fd Cover Sheets'!G178+'Gen Fd Cover Sheets'!G209+'Gen Fd Cover Sheets'!G243</f>
        <v>292110</v>
      </c>
      <c r="H28" s="2">
        <f>'Gen Fd Cover Sheets'!H15+'Gen Fd Cover Sheets'!H49+'Gen Fd Cover Sheets'!H80+'Gen Fd Cover Sheets'!H111+'Gen Fd Cover Sheets'!H142+'Gen Fd Cover Sheets'!H178+'Gen Fd Cover Sheets'!H209+'Gen Fd Cover Sheets'!H243</f>
        <v>305547</v>
      </c>
      <c r="I28" s="2">
        <f>'Gen Fd Cover Sheets'!I15+'Gen Fd Cover Sheets'!I49+'Gen Fd Cover Sheets'!I80+'Gen Fd Cover Sheets'!I111+'Gen Fd Cover Sheets'!I142+'Gen Fd Cover Sheets'!I178+'Gen Fd Cover Sheets'!I209+'Gen Fd Cover Sheets'!I243</f>
        <v>317598</v>
      </c>
      <c r="J28" s="2">
        <f>'Gen Fd Cover Sheets'!J15+'Gen Fd Cover Sheets'!J49+'Gen Fd Cover Sheets'!J80+'Gen Fd Cover Sheets'!J111+'Gen Fd Cover Sheets'!J142+'Gen Fd Cover Sheets'!J178+'Gen Fd Cover Sheets'!J209+'Gen Fd Cover Sheets'!J243</f>
        <v>330309</v>
      </c>
      <c r="K28" s="2">
        <f>'Gen Fd Cover Sheets'!K15+'Gen Fd Cover Sheets'!K49+'Gen Fd Cover Sheets'!K80+'Gen Fd Cover Sheets'!K111+'Gen Fd Cover Sheets'!K142+'Gen Fd Cover Sheets'!K178+'Gen Fd Cover Sheets'!K209+'Gen Fd Cover Sheets'!K243</f>
        <v>341223</v>
      </c>
    </row>
    <row r="29" spans="1:12" ht="20.100000000000001" customHeight="1">
      <c r="A29" s="11"/>
      <c r="B29" s="22" t="s">
        <v>1062</v>
      </c>
      <c r="C29" s="2">
        <f>'Gen Fd Cover Sheets'!C244</f>
        <v>75000</v>
      </c>
      <c r="D29" s="2">
        <f>'Gen Fd Cover Sheets'!D244</f>
        <v>52075</v>
      </c>
      <c r="E29" s="2">
        <f>'Gen Fd Cover Sheets'!E244</f>
        <v>50000</v>
      </c>
      <c r="F29" s="2">
        <f>'Gen Fd Cover Sheets'!F244</f>
        <v>50000</v>
      </c>
      <c r="G29" s="2">
        <f>'Gen Fd Cover Sheets'!G244</f>
        <v>50000</v>
      </c>
      <c r="H29" s="2">
        <f>'Gen Fd Cover Sheets'!H244</f>
        <v>50000</v>
      </c>
      <c r="I29" s="2">
        <f>'Gen Fd Cover Sheets'!I244</f>
        <v>50000</v>
      </c>
      <c r="J29" s="2">
        <f>'Gen Fd Cover Sheets'!J244</f>
        <v>50000</v>
      </c>
      <c r="K29" s="2">
        <f>'Gen Fd Cover Sheets'!K244</f>
        <v>50000</v>
      </c>
    </row>
    <row r="30" spans="1:12" ht="20.100000000000001" customHeight="1">
      <c r="A30" s="11"/>
      <c r="B30" s="22" t="s">
        <v>1063</v>
      </c>
      <c r="C30" s="2">
        <f>'Gen Fd Cover Sheets'!C245</f>
        <v>1516778</v>
      </c>
      <c r="D30" s="2">
        <f>'Gen Fd Cover Sheets'!D245</f>
        <v>1297950</v>
      </c>
      <c r="E30" s="2">
        <f>'Gen Fd Cover Sheets'!E245</f>
        <v>1516661</v>
      </c>
      <c r="F30" s="2">
        <f>'Gen Fd Cover Sheets'!F245</f>
        <v>1504683</v>
      </c>
      <c r="G30" s="2">
        <f>'Gen Fd Cover Sheets'!G245</f>
        <v>3798673</v>
      </c>
      <c r="H30" s="2">
        <f>'Gen Fd Cover Sheets'!H245</f>
        <v>2276458</v>
      </c>
      <c r="I30" s="2">
        <f>'Gen Fd Cover Sheets'!I245</f>
        <v>2387916</v>
      </c>
      <c r="J30" s="2">
        <f>'Gen Fd Cover Sheets'!J245</f>
        <v>3630415</v>
      </c>
      <c r="K30" s="2">
        <f>'Gen Fd Cover Sheets'!K245</f>
        <v>2911434</v>
      </c>
    </row>
    <row r="31" spans="1:12" ht="20.100000000000001" customHeight="1" thickBot="1">
      <c r="A31" s="11"/>
      <c r="B31" s="20" t="s">
        <v>1064</v>
      </c>
      <c r="C31" s="188">
        <f t="shared" ref="C31:J31" si="2">SUM(C25:C30)</f>
        <v>11296930</v>
      </c>
      <c r="D31" s="188">
        <f t="shared" si="2"/>
        <v>10969330</v>
      </c>
      <c r="E31" s="188">
        <f t="shared" si="2"/>
        <v>11379867</v>
      </c>
      <c r="F31" s="188">
        <f t="shared" si="2"/>
        <v>10875236</v>
      </c>
      <c r="G31" s="188">
        <f t="shared" si="2"/>
        <v>13891560</v>
      </c>
      <c r="H31" s="188">
        <f t="shared" si="2"/>
        <v>12648275</v>
      </c>
      <c r="I31" s="188">
        <f t="shared" si="2"/>
        <v>13037173</v>
      </c>
      <c r="J31" s="188">
        <f t="shared" si="2"/>
        <v>14476325</v>
      </c>
      <c r="K31" s="188">
        <f>SUM(K25:K30)</f>
        <v>13982166</v>
      </c>
    </row>
    <row r="32" spans="1:12" s="152" customFormat="1" ht="15" hidden="1">
      <c r="A32" s="149"/>
      <c r="B32" s="150"/>
      <c r="C32" s="151">
        <f>'Budget Detail FY 2013-18'!N329</f>
        <v>11296930</v>
      </c>
      <c r="D32" s="151">
        <f>'Budget Detail FY 2013-18'!O329</f>
        <v>10969330</v>
      </c>
      <c r="E32" s="151">
        <f>'Budget Detail FY 2013-18'!P329</f>
        <v>11379867</v>
      </c>
      <c r="F32" s="151">
        <f>'Budget Detail FY 2013-18'!Q329</f>
        <v>10875236</v>
      </c>
      <c r="G32" s="151">
        <f>'Budget Detail FY 2013-18'!R329</f>
        <v>13891560</v>
      </c>
      <c r="H32" s="151">
        <f>'Budget Detail FY 2013-18'!S329</f>
        <v>12648275</v>
      </c>
      <c r="I32" s="151">
        <f>'Budget Detail FY 2013-18'!T329</f>
        <v>13037173</v>
      </c>
      <c r="J32" s="151">
        <f>'Budget Detail FY 2013-18'!U329</f>
        <v>14476325</v>
      </c>
      <c r="K32" s="151">
        <f>'Budget Detail FY 2013-18'!V329</f>
        <v>13982166</v>
      </c>
      <c r="L32" s="166" t="s">
        <v>1462</v>
      </c>
    </row>
    <row r="33" spans="1:12" s="158" customFormat="1" ht="15" hidden="1">
      <c r="A33" s="155"/>
      <c r="B33" s="156"/>
      <c r="C33" s="159">
        <f>C31-C32</f>
        <v>0</v>
      </c>
      <c r="D33" s="159">
        <f t="shared" ref="D33:K33" si="3">D31-D32</f>
        <v>0</v>
      </c>
      <c r="E33" s="159">
        <f t="shared" si="3"/>
        <v>0</v>
      </c>
      <c r="F33" s="159">
        <f t="shared" si="3"/>
        <v>0</v>
      </c>
      <c r="G33" s="159">
        <f t="shared" si="3"/>
        <v>0</v>
      </c>
      <c r="H33" s="159">
        <f t="shared" si="3"/>
        <v>0</v>
      </c>
      <c r="I33" s="159">
        <f t="shared" si="3"/>
        <v>0</v>
      </c>
      <c r="J33" s="159">
        <f t="shared" si="3"/>
        <v>0</v>
      </c>
      <c r="K33" s="159">
        <f t="shared" si="3"/>
        <v>0</v>
      </c>
      <c r="L33" s="167" t="s">
        <v>1463</v>
      </c>
    </row>
    <row r="34" spans="1:12" ht="7.5" customHeight="1">
      <c r="A34" s="11"/>
      <c r="B34" s="23"/>
      <c r="C34" s="29"/>
      <c r="D34" s="28"/>
      <c r="E34" s="28"/>
      <c r="F34" s="28"/>
      <c r="G34" s="28"/>
      <c r="H34" s="28"/>
      <c r="I34" s="28"/>
      <c r="J34" s="28"/>
      <c r="K34" s="28"/>
    </row>
    <row r="35" spans="1:12" s="190" customFormat="1" ht="20.100000000000001" customHeight="1">
      <c r="A35" s="1"/>
      <c r="B35" s="189" t="s">
        <v>1065</v>
      </c>
      <c r="C35" s="3">
        <f>+C20-C31</f>
        <v>221031</v>
      </c>
      <c r="D35" s="3">
        <f t="shared" ref="D35:K35" si="4">+D20-D31</f>
        <v>1542522</v>
      </c>
      <c r="E35" s="3">
        <f t="shared" si="4"/>
        <v>931242</v>
      </c>
      <c r="F35" s="3">
        <f t="shared" si="4"/>
        <v>2153101</v>
      </c>
      <c r="G35" s="3">
        <f t="shared" si="4"/>
        <v>-882071</v>
      </c>
      <c r="H35" s="3">
        <f t="shared" si="4"/>
        <v>501513</v>
      </c>
      <c r="I35" s="3">
        <f t="shared" si="4"/>
        <v>293060</v>
      </c>
      <c r="J35" s="3">
        <f t="shared" si="4"/>
        <v>-984594</v>
      </c>
      <c r="K35" s="3">
        <f t="shared" si="4"/>
        <v>-261695</v>
      </c>
    </row>
    <row r="36" spans="1:12" s="152" customFormat="1" ht="15" hidden="1">
      <c r="A36" s="149"/>
      <c r="B36" s="153"/>
      <c r="C36" s="151">
        <f>'Budget Detail FY 2013-18'!N331</f>
        <v>221031</v>
      </c>
      <c r="D36" s="151">
        <f>'Budget Detail FY 2013-18'!O331</f>
        <v>1542522</v>
      </c>
      <c r="E36" s="151">
        <f>'Budget Detail FY 2013-18'!P331</f>
        <v>931242</v>
      </c>
      <c r="F36" s="151">
        <f>'Budget Detail FY 2013-18'!Q331</f>
        <v>2153101</v>
      </c>
      <c r="G36" s="151">
        <f>'Budget Detail FY 2013-18'!R331</f>
        <v>-882071</v>
      </c>
      <c r="H36" s="151">
        <f>'Budget Detail FY 2013-18'!S331</f>
        <v>501513</v>
      </c>
      <c r="I36" s="151">
        <f>'Budget Detail FY 2013-18'!T331</f>
        <v>293060</v>
      </c>
      <c r="J36" s="151">
        <f>'Budget Detail FY 2013-18'!U331</f>
        <v>-984594</v>
      </c>
      <c r="K36" s="151">
        <f>'Budget Detail FY 2013-18'!V331</f>
        <v>-261695</v>
      </c>
      <c r="L36" s="166" t="s">
        <v>1462</v>
      </c>
    </row>
    <row r="37" spans="1:12" s="158" customFormat="1" ht="15" hidden="1">
      <c r="A37" s="155"/>
      <c r="B37" s="160"/>
      <c r="C37" s="157">
        <f>C35-C36</f>
        <v>0</v>
      </c>
      <c r="D37" s="157">
        <f t="shared" ref="D37:K37" si="5">D35-D36</f>
        <v>0</v>
      </c>
      <c r="E37" s="157">
        <f t="shared" si="5"/>
        <v>0</v>
      </c>
      <c r="F37" s="157">
        <f t="shared" si="5"/>
        <v>0</v>
      </c>
      <c r="G37" s="157">
        <f t="shared" si="5"/>
        <v>0</v>
      </c>
      <c r="H37" s="157">
        <f t="shared" si="5"/>
        <v>0</v>
      </c>
      <c r="I37" s="157">
        <f t="shared" si="5"/>
        <v>0</v>
      </c>
      <c r="J37" s="157">
        <f t="shared" si="5"/>
        <v>0</v>
      </c>
      <c r="K37" s="157">
        <f t="shared" si="5"/>
        <v>0</v>
      </c>
      <c r="L37" s="167" t="s">
        <v>1463</v>
      </c>
    </row>
    <row r="38" spans="1:12" ht="7.5" customHeight="1">
      <c r="A38" s="11"/>
      <c r="B38" s="24"/>
      <c r="C38" s="29"/>
      <c r="D38" s="28"/>
      <c r="E38" s="28"/>
      <c r="F38" s="28"/>
      <c r="G38" s="28"/>
      <c r="H38" s="28"/>
      <c r="I38" s="28"/>
      <c r="J38" s="28"/>
      <c r="K38" s="28"/>
    </row>
    <row r="39" spans="1:12" s="190" customFormat="1" ht="20.100000000000001" customHeight="1" thickBot="1">
      <c r="A39" s="1"/>
      <c r="B39" s="191" t="s">
        <v>1066</v>
      </c>
      <c r="C39" s="99">
        <v>-271900</v>
      </c>
      <c r="D39" s="99">
        <v>1270623</v>
      </c>
      <c r="E39" s="99">
        <v>1596094</v>
      </c>
      <c r="F39" s="99">
        <f>D39+F35</f>
        <v>3423724</v>
      </c>
      <c r="G39" s="99">
        <f>F39+G35</f>
        <v>2541653</v>
      </c>
      <c r="H39" s="99">
        <f>G39+H35</f>
        <v>3043166</v>
      </c>
      <c r="I39" s="99">
        <f>H39+I35</f>
        <v>3336226</v>
      </c>
      <c r="J39" s="99">
        <f>I39+J35</f>
        <v>2351632</v>
      </c>
      <c r="K39" s="99">
        <f>J39+K35</f>
        <v>2089937</v>
      </c>
    </row>
    <row r="40" spans="1:12" s="152" customFormat="1" ht="15.75" hidden="1" thickTop="1">
      <c r="A40" s="149"/>
      <c r="B40" s="154"/>
      <c r="C40" s="151">
        <f>'Budget Detail FY 2013-18'!N333</f>
        <v>-271900</v>
      </c>
      <c r="D40" s="151">
        <f>'Budget Detail FY 2013-18'!O333</f>
        <v>1270623</v>
      </c>
      <c r="E40" s="151">
        <f>'Budget Detail FY 2013-18'!P333</f>
        <v>1596094</v>
      </c>
      <c r="F40" s="151">
        <f>'Budget Detail FY 2013-18'!Q333</f>
        <v>3423724</v>
      </c>
      <c r="G40" s="151">
        <f>'Budget Detail FY 2013-18'!R333</f>
        <v>2541653</v>
      </c>
      <c r="H40" s="151">
        <f>'Budget Detail FY 2013-18'!S333</f>
        <v>3043166</v>
      </c>
      <c r="I40" s="151">
        <f>'Budget Detail FY 2013-18'!T333</f>
        <v>3336226</v>
      </c>
      <c r="J40" s="151">
        <f>'Budget Detail FY 2013-18'!U333</f>
        <v>2351632</v>
      </c>
      <c r="K40" s="151">
        <f>'Budget Detail FY 2013-18'!V333</f>
        <v>2089937</v>
      </c>
      <c r="L40" s="166" t="s">
        <v>1462</v>
      </c>
    </row>
    <row r="41" spans="1:12" s="158" customFormat="1" ht="15" hidden="1">
      <c r="A41" s="155"/>
      <c r="B41" s="161"/>
      <c r="C41" s="157">
        <f>C39-C40</f>
        <v>0</v>
      </c>
      <c r="D41" s="157">
        <f t="shared" ref="D41:K41" si="6">D39-D40</f>
        <v>0</v>
      </c>
      <c r="E41" s="157">
        <f t="shared" si="6"/>
        <v>0</v>
      </c>
      <c r="F41" s="157">
        <f t="shared" si="6"/>
        <v>0</v>
      </c>
      <c r="G41" s="157">
        <f t="shared" si="6"/>
        <v>0</v>
      </c>
      <c r="H41" s="157">
        <f t="shared" si="6"/>
        <v>0</v>
      </c>
      <c r="I41" s="157">
        <f t="shared" si="6"/>
        <v>0</v>
      </c>
      <c r="J41" s="157">
        <f t="shared" si="6"/>
        <v>0</v>
      </c>
      <c r="K41" s="157">
        <f t="shared" si="6"/>
        <v>0</v>
      </c>
      <c r="L41" s="167" t="s">
        <v>1463</v>
      </c>
    </row>
    <row r="42" spans="1:12" ht="15.75" thickTop="1">
      <c r="A42" s="11"/>
      <c r="B42" s="25"/>
      <c r="C42" s="168">
        <f>+C39/C31</f>
        <v>-2.4068485862973391E-2</v>
      </c>
      <c r="D42" s="168">
        <f t="shared" ref="D42:J42" si="7">+D39/D31</f>
        <v>0.11583414848491203</v>
      </c>
      <c r="E42" s="168">
        <f t="shared" si="7"/>
        <v>0.14025594499478772</v>
      </c>
      <c r="F42" s="168">
        <f t="shared" si="7"/>
        <v>0.31481836348195108</v>
      </c>
      <c r="G42" s="168">
        <f>+G39/G31</f>
        <v>0.18296382839652278</v>
      </c>
      <c r="H42" s="168">
        <f t="shared" si="7"/>
        <v>0.24059929120769433</v>
      </c>
      <c r="I42" s="168">
        <f t="shared" si="7"/>
        <v>0.25590103007760961</v>
      </c>
      <c r="J42" s="168">
        <f t="shared" si="7"/>
        <v>0.16244675357868796</v>
      </c>
      <c r="K42" s="168">
        <f>+K39/K31</f>
        <v>0.14947161977622064</v>
      </c>
    </row>
    <row r="43" spans="1:12" ht="8.1" customHeight="1">
      <c r="A43" s="11"/>
      <c r="B43" s="25"/>
      <c r="C43" s="132"/>
      <c r="D43" s="132"/>
      <c r="E43" s="132"/>
      <c r="F43" s="132"/>
      <c r="G43" s="132"/>
      <c r="H43" s="132"/>
      <c r="I43" s="132"/>
      <c r="J43" s="132"/>
      <c r="K43" s="132"/>
    </row>
    <row r="44" spans="1:12" ht="15">
      <c r="A44" s="11"/>
      <c r="B44" s="11"/>
      <c r="C44" s="28"/>
      <c r="D44" s="28"/>
      <c r="E44" s="28"/>
      <c r="F44" s="28"/>
      <c r="G44" s="28"/>
      <c r="H44" s="28"/>
      <c r="I44" s="28"/>
      <c r="J44" s="28"/>
      <c r="K44" s="28"/>
    </row>
    <row r="45" spans="1:12" ht="15">
      <c r="A45" s="11"/>
      <c r="B45" s="11"/>
      <c r="C45" s="28"/>
      <c r="D45" s="28"/>
      <c r="E45" s="28"/>
      <c r="F45" s="28"/>
      <c r="G45" s="28"/>
      <c r="H45" s="28"/>
      <c r="I45" s="28"/>
      <c r="J45" s="28"/>
      <c r="K45" s="28"/>
    </row>
    <row r="46" spans="1:12" ht="15">
      <c r="A46" s="11"/>
      <c r="B46" s="11"/>
      <c r="C46" s="28"/>
      <c r="D46" s="28"/>
      <c r="E46" s="28"/>
      <c r="F46" s="28"/>
      <c r="G46" s="28"/>
      <c r="H46" s="28"/>
      <c r="I46" s="28"/>
      <c r="J46" s="28"/>
      <c r="K46" s="28"/>
    </row>
    <row r="47" spans="1:12" ht="15">
      <c r="A47" s="11"/>
      <c r="B47" s="11"/>
      <c r="C47" s="28"/>
      <c r="D47" s="28"/>
      <c r="E47" s="28"/>
      <c r="F47" s="28"/>
      <c r="G47" s="28"/>
      <c r="H47" s="28"/>
      <c r="I47" s="28"/>
      <c r="J47" s="28"/>
      <c r="K47" s="28"/>
    </row>
    <row r="48" spans="1:12" ht="15">
      <c r="A48" s="11"/>
      <c r="B48" s="11"/>
      <c r="C48" s="28"/>
      <c r="D48" s="28"/>
      <c r="E48" s="28"/>
      <c r="F48" s="28"/>
      <c r="G48" s="28"/>
      <c r="H48" s="28"/>
      <c r="I48" s="28"/>
      <c r="J48" s="28"/>
      <c r="K48" s="28"/>
    </row>
    <row r="49" spans="1:11" ht="15">
      <c r="A49" s="11"/>
      <c r="B49" s="11"/>
      <c r="C49" s="28"/>
      <c r="D49" s="28"/>
      <c r="E49" s="28"/>
      <c r="F49" s="28"/>
      <c r="G49" s="28"/>
      <c r="H49" s="28"/>
      <c r="I49" s="28"/>
      <c r="J49" s="28"/>
      <c r="K49" s="28"/>
    </row>
    <row r="50" spans="1:11" ht="15">
      <c r="A50" s="11"/>
      <c r="B50" s="11"/>
      <c r="C50" s="28"/>
      <c r="D50" s="28"/>
      <c r="E50" s="28"/>
      <c r="F50" s="28"/>
      <c r="G50" s="28"/>
      <c r="H50" s="28"/>
      <c r="I50" s="28"/>
      <c r="J50" s="28"/>
      <c r="K50" s="28"/>
    </row>
    <row r="51" spans="1:11" ht="15">
      <c r="A51" s="11"/>
      <c r="B51" s="11"/>
      <c r="C51" s="28"/>
      <c r="D51" s="28"/>
      <c r="E51" s="28"/>
      <c r="F51" s="28"/>
      <c r="G51" s="28"/>
      <c r="H51" s="28"/>
      <c r="I51" s="28"/>
      <c r="J51" s="28"/>
      <c r="K51" s="28"/>
    </row>
    <row r="52" spans="1:11" ht="15">
      <c r="A52" s="11"/>
      <c r="B52" s="11"/>
      <c r="C52" s="28"/>
      <c r="D52" s="28"/>
      <c r="E52" s="28"/>
      <c r="F52" s="28"/>
      <c r="G52" s="28"/>
      <c r="H52" s="28"/>
      <c r="I52" s="28"/>
      <c r="J52" s="28"/>
      <c r="K52" s="28"/>
    </row>
    <row r="53" spans="1:11" ht="15">
      <c r="A53" s="11"/>
      <c r="B53" s="11"/>
      <c r="C53" s="28"/>
      <c r="D53" s="28"/>
      <c r="E53" s="28"/>
      <c r="F53" s="28"/>
      <c r="G53" s="28"/>
      <c r="H53" s="28"/>
      <c r="I53" s="28"/>
      <c r="J53" s="28"/>
      <c r="K53" s="28"/>
    </row>
    <row r="56" spans="1:11" ht="18.75">
      <c r="B56" s="523" t="s">
        <v>1067</v>
      </c>
      <c r="C56" s="523"/>
      <c r="D56" s="523"/>
      <c r="E56" s="523"/>
      <c r="F56" s="523"/>
      <c r="G56" s="523"/>
      <c r="H56" s="523"/>
      <c r="I56" s="523"/>
      <c r="J56" s="523"/>
      <c r="K56" s="523"/>
    </row>
    <row r="57" spans="1:11" ht="15">
      <c r="B57" s="12"/>
      <c r="C57" s="29"/>
      <c r="D57" s="28"/>
      <c r="E57" s="28"/>
      <c r="F57" s="28"/>
      <c r="G57" s="28"/>
      <c r="H57" s="28"/>
      <c r="I57" s="28"/>
      <c r="J57" s="28"/>
      <c r="K57" s="28"/>
    </row>
    <row r="58" spans="1:11" ht="12.75" customHeight="1">
      <c r="B58" s="529" t="s">
        <v>1068</v>
      </c>
      <c r="C58" s="529"/>
      <c r="D58" s="529"/>
      <c r="E58" s="529"/>
      <c r="F58" s="529"/>
      <c r="G58" s="529"/>
      <c r="H58" s="529"/>
      <c r="I58" s="529"/>
      <c r="J58" s="529"/>
      <c r="K58" s="529"/>
    </row>
    <row r="59" spans="1:11" ht="17.25" customHeight="1">
      <c r="B59" s="529"/>
      <c r="C59" s="529"/>
      <c r="D59" s="529"/>
      <c r="E59" s="529"/>
      <c r="F59" s="529"/>
      <c r="G59" s="529"/>
      <c r="H59" s="529"/>
      <c r="I59" s="529"/>
      <c r="J59" s="529"/>
      <c r="K59" s="529"/>
    </row>
    <row r="60" spans="1:11" ht="17.25" customHeight="1">
      <c r="B60" s="133"/>
      <c r="C60" s="133"/>
      <c r="D60" s="133"/>
      <c r="E60" s="133"/>
      <c r="F60" s="133"/>
      <c r="G60" s="133"/>
      <c r="H60" s="133"/>
      <c r="I60" s="133"/>
      <c r="J60" s="133"/>
      <c r="K60"/>
    </row>
    <row r="61" spans="1:11" ht="15">
      <c r="B61" s="5"/>
      <c r="C61" s="80"/>
      <c r="D61" s="81"/>
      <c r="E61" s="80" t="s">
        <v>312</v>
      </c>
      <c r="F61" s="1"/>
      <c r="G61" s="1"/>
      <c r="H61" s="1"/>
      <c r="I61" s="1"/>
      <c r="J61" s="1"/>
      <c r="K61" s="1"/>
    </row>
    <row r="62" spans="1:11" ht="15">
      <c r="B62" s="14"/>
      <c r="C62" s="80" t="s">
        <v>23</v>
      </c>
      <c r="D62" s="62" t="s">
        <v>253</v>
      </c>
      <c r="E62" s="81" t="s">
        <v>1045</v>
      </c>
      <c r="F62" s="81" t="s">
        <v>312</v>
      </c>
      <c r="G62" s="81" t="s">
        <v>313</v>
      </c>
      <c r="H62" s="81" t="s">
        <v>329</v>
      </c>
      <c r="I62" s="81" t="s">
        <v>332</v>
      </c>
      <c r="J62" s="81" t="s">
        <v>333</v>
      </c>
      <c r="K62" s="81" t="s">
        <v>1224</v>
      </c>
    </row>
    <row r="63" spans="1:11" ht="15.75" thickBot="1">
      <c r="B63" s="15"/>
      <c r="C63" s="83" t="s">
        <v>1</v>
      </c>
      <c r="D63" s="83" t="s">
        <v>1</v>
      </c>
      <c r="E63" s="83" t="s">
        <v>987</v>
      </c>
      <c r="F63" s="83" t="s">
        <v>24</v>
      </c>
      <c r="G63" s="83" t="s">
        <v>1045</v>
      </c>
      <c r="H63" s="83" t="s">
        <v>24</v>
      </c>
      <c r="I63" s="83" t="s">
        <v>24</v>
      </c>
      <c r="J63" s="83" t="s">
        <v>24</v>
      </c>
      <c r="K63" s="83" t="s">
        <v>24</v>
      </c>
    </row>
    <row r="64" spans="1:11" ht="15">
      <c r="B64" s="16"/>
      <c r="C64" s="32"/>
      <c r="D64" s="28"/>
      <c r="E64" s="28"/>
      <c r="F64" s="28"/>
      <c r="G64" s="28"/>
      <c r="H64" s="28"/>
      <c r="I64" s="28"/>
      <c r="J64" s="28"/>
      <c r="K64" s="28"/>
    </row>
    <row r="65" spans="1:12" ht="15">
      <c r="B65" s="17" t="s">
        <v>1046</v>
      </c>
      <c r="C65" s="28"/>
      <c r="D65" s="28"/>
      <c r="E65" s="28"/>
      <c r="F65" s="28"/>
      <c r="G65" s="28"/>
      <c r="H65" s="28"/>
      <c r="I65" s="28"/>
      <c r="J65" s="28"/>
      <c r="K65" s="28"/>
    </row>
    <row r="66" spans="1:12" s="190" customFormat="1" ht="20.100000000000001" customHeight="1">
      <c r="B66" s="192" t="s">
        <v>1047</v>
      </c>
      <c r="C66" s="2">
        <f>'Budget Detail FY 2013-18'!N338</f>
        <v>19894</v>
      </c>
      <c r="D66" s="2">
        <f>'Budget Detail FY 2013-18'!O338</f>
        <v>3786</v>
      </c>
      <c r="E66" s="2">
        <f>'Budget Detail FY 2013-18'!P338</f>
        <v>3786</v>
      </c>
      <c r="F66" s="2">
        <f>'Budget Detail FY 2013-18'!Q338</f>
        <v>3786</v>
      </c>
      <c r="G66" s="2">
        <f>'Budget Detail FY 2013-18'!R338</f>
        <v>3786</v>
      </c>
      <c r="H66" s="2">
        <f>'Budget Detail FY 2013-18'!S338</f>
        <v>8536</v>
      </c>
      <c r="I66" s="2">
        <f>'Budget Detail FY 2013-18'!T338</f>
        <v>8536</v>
      </c>
      <c r="J66" s="2">
        <f>'Budget Detail FY 2013-18'!U338</f>
        <v>8536</v>
      </c>
      <c r="K66" s="2">
        <f>'Budget Detail FY 2013-18'!V338</f>
        <v>8536</v>
      </c>
    </row>
    <row r="67" spans="1:12" s="190" customFormat="1" ht="20.100000000000001" customHeight="1">
      <c r="B67" s="192" t="s">
        <v>1052</v>
      </c>
      <c r="C67" s="2">
        <f>'Budget Detail FY 2013-18'!N339</f>
        <v>0</v>
      </c>
      <c r="D67" s="2">
        <f>'Budget Detail FY 2013-18'!O339</f>
        <v>7</v>
      </c>
      <c r="E67" s="2">
        <f>'Budget Detail FY 2013-18'!P339</f>
        <v>0</v>
      </c>
      <c r="F67" s="2">
        <f>'Budget Detail FY 2013-18'!Q339</f>
        <v>10</v>
      </c>
      <c r="G67" s="2">
        <f>'Budget Detail FY 2013-18'!R339</f>
        <v>0</v>
      </c>
      <c r="H67" s="2">
        <f>'Budget Detail FY 2013-18'!S339</f>
        <v>0</v>
      </c>
      <c r="I67" s="2">
        <f>'Budget Detail FY 2013-18'!T339</f>
        <v>0</v>
      </c>
      <c r="J67" s="2">
        <f>'Budget Detail FY 2013-18'!U339</f>
        <v>0</v>
      </c>
      <c r="K67" s="2">
        <f>'Budget Detail FY 2013-18'!V339</f>
        <v>0</v>
      </c>
    </row>
    <row r="68" spans="1:12" s="190" customFormat="1" ht="20.100000000000001" customHeight="1" thickBot="1">
      <c r="B68" s="193" t="s">
        <v>1056</v>
      </c>
      <c r="C68" s="188">
        <f t="shared" ref="C68:J68" si="8">SUM(C66:C67)</f>
        <v>19894</v>
      </c>
      <c r="D68" s="188">
        <f t="shared" si="8"/>
        <v>3793</v>
      </c>
      <c r="E68" s="188">
        <f t="shared" si="8"/>
        <v>3786</v>
      </c>
      <c r="F68" s="188">
        <f t="shared" si="8"/>
        <v>3796</v>
      </c>
      <c r="G68" s="188">
        <f t="shared" si="8"/>
        <v>3786</v>
      </c>
      <c r="H68" s="188">
        <f t="shared" si="8"/>
        <v>8536</v>
      </c>
      <c r="I68" s="188">
        <f t="shared" si="8"/>
        <v>8536</v>
      </c>
      <c r="J68" s="188">
        <f t="shared" si="8"/>
        <v>8536</v>
      </c>
      <c r="K68" s="188">
        <f>SUM(K66:K67)</f>
        <v>8536</v>
      </c>
    </row>
    <row r="69" spans="1:12" s="152" customFormat="1" ht="15" hidden="1">
      <c r="A69" s="194"/>
      <c r="B69" s="195"/>
      <c r="C69" s="163">
        <f>'Budget Detail FY 2013-18'!N341</f>
        <v>19894</v>
      </c>
      <c r="D69" s="163">
        <f>'Budget Detail FY 2013-18'!O341</f>
        <v>3793</v>
      </c>
      <c r="E69" s="163">
        <f>'Budget Detail FY 2013-18'!P341</f>
        <v>3786</v>
      </c>
      <c r="F69" s="163">
        <f>'Budget Detail FY 2013-18'!Q341</f>
        <v>3796</v>
      </c>
      <c r="G69" s="163">
        <f>'Budget Detail FY 2013-18'!R341</f>
        <v>3786</v>
      </c>
      <c r="H69" s="163">
        <f>'Budget Detail FY 2013-18'!S341</f>
        <v>8536</v>
      </c>
      <c r="I69" s="163">
        <f>'Budget Detail FY 2013-18'!T341</f>
        <v>8536</v>
      </c>
      <c r="J69" s="163">
        <f>'Budget Detail FY 2013-18'!U341</f>
        <v>8536</v>
      </c>
      <c r="K69" s="163">
        <f>'Budget Detail FY 2013-18'!V341</f>
        <v>8536</v>
      </c>
      <c r="L69" s="166" t="s">
        <v>1462</v>
      </c>
    </row>
    <row r="70" spans="1:12" s="158" customFormat="1" ht="14.25" hidden="1">
      <c r="A70" s="196"/>
      <c r="B70" s="197"/>
      <c r="C70" s="164">
        <f>C68-C69</f>
        <v>0</v>
      </c>
      <c r="D70" s="164">
        <f t="shared" ref="D70:K70" si="9">D68-D69</f>
        <v>0</v>
      </c>
      <c r="E70" s="164">
        <f t="shared" si="9"/>
        <v>0</v>
      </c>
      <c r="F70" s="164">
        <f t="shared" si="9"/>
        <v>0</v>
      </c>
      <c r="G70" s="164">
        <f t="shared" si="9"/>
        <v>0</v>
      </c>
      <c r="H70" s="164">
        <f t="shared" si="9"/>
        <v>0</v>
      </c>
      <c r="I70" s="164">
        <f t="shared" si="9"/>
        <v>0</v>
      </c>
      <c r="J70" s="164">
        <f t="shared" si="9"/>
        <v>0</v>
      </c>
      <c r="K70" s="164">
        <f t="shared" si="9"/>
        <v>0</v>
      </c>
      <c r="L70" s="167" t="s">
        <v>1463</v>
      </c>
    </row>
    <row r="71" spans="1:12" ht="15">
      <c r="A71" s="190"/>
      <c r="B71" s="1"/>
      <c r="C71" s="2"/>
      <c r="D71" s="2"/>
      <c r="E71" s="2"/>
      <c r="F71" s="2"/>
      <c r="G71" s="2"/>
      <c r="H71" s="2"/>
      <c r="I71" s="2"/>
      <c r="J71" s="2"/>
      <c r="K71" s="2"/>
    </row>
    <row r="72" spans="1:12" ht="15">
      <c r="A72" s="190"/>
      <c r="B72" s="198" t="s">
        <v>761</v>
      </c>
      <c r="C72" s="2"/>
      <c r="D72" s="2"/>
      <c r="E72" s="2"/>
      <c r="F72" s="2"/>
      <c r="G72" s="2"/>
      <c r="H72" s="2"/>
      <c r="I72" s="2"/>
      <c r="J72" s="2"/>
      <c r="K72" s="2"/>
    </row>
    <row r="73" spans="1:12" ht="20.100000000000001" customHeight="1">
      <c r="A73" s="190"/>
      <c r="B73" s="199" t="s">
        <v>1059</v>
      </c>
      <c r="C73" s="2">
        <f>SUM('Budget Detail FY 2013-18'!N343:N344)</f>
        <v>4178</v>
      </c>
      <c r="D73" s="2">
        <f>SUM('Budget Detail FY 2013-18'!O343:O344)</f>
        <v>4664</v>
      </c>
      <c r="E73" s="2">
        <f>SUM('Budget Detail FY 2013-18'!P343:P344)</f>
        <v>4500</v>
      </c>
      <c r="F73" s="2">
        <f>SUM('Budget Detail FY 2013-18'!Q343:Q344)</f>
        <v>5476</v>
      </c>
      <c r="G73" s="2">
        <f>SUM('Budget Detail FY 2013-18'!R343:R344)</f>
        <v>7500</v>
      </c>
      <c r="H73" s="2">
        <f>SUM('Budget Detail FY 2013-18'!S343:S344)</f>
        <v>19603</v>
      </c>
      <c r="I73" s="2">
        <f>SUM('Budget Detail FY 2013-18'!T343:T344)</f>
        <v>19603</v>
      </c>
      <c r="J73" s="2">
        <f>SUM('Budget Detail FY 2013-18'!U343:U344)</f>
        <v>4603</v>
      </c>
      <c r="K73" s="2">
        <f>SUM('Budget Detail FY 2013-18'!V343:V344)</f>
        <v>4603</v>
      </c>
    </row>
    <row r="74" spans="1:12" ht="20.100000000000001" customHeight="1" thickBot="1">
      <c r="A74" s="190"/>
      <c r="B74" s="193" t="s">
        <v>1064</v>
      </c>
      <c r="C74" s="188">
        <f t="shared" ref="C74:J74" si="10">SUM(C73:C73)</f>
        <v>4178</v>
      </c>
      <c r="D74" s="188">
        <f t="shared" si="10"/>
        <v>4664</v>
      </c>
      <c r="E74" s="188">
        <f t="shared" si="10"/>
        <v>4500</v>
      </c>
      <c r="F74" s="188">
        <f t="shared" si="10"/>
        <v>5476</v>
      </c>
      <c r="G74" s="188">
        <f t="shared" si="10"/>
        <v>7500</v>
      </c>
      <c r="H74" s="188">
        <f t="shared" si="10"/>
        <v>19603</v>
      </c>
      <c r="I74" s="188">
        <f t="shared" si="10"/>
        <v>19603</v>
      </c>
      <c r="J74" s="188">
        <f t="shared" si="10"/>
        <v>4603</v>
      </c>
      <c r="K74" s="188">
        <f>SUM(K73:K73)</f>
        <v>4603</v>
      </c>
    </row>
    <row r="75" spans="1:12" s="152" customFormat="1" ht="15" hidden="1">
      <c r="A75" s="194"/>
      <c r="B75" s="195"/>
      <c r="C75" s="163">
        <f>'Budget Detail FY 2013-18'!N346</f>
        <v>4178</v>
      </c>
      <c r="D75" s="163">
        <f>'Budget Detail FY 2013-18'!O346</f>
        <v>4664</v>
      </c>
      <c r="E75" s="163">
        <f>'Budget Detail FY 2013-18'!P346</f>
        <v>4500</v>
      </c>
      <c r="F75" s="163">
        <f>'Budget Detail FY 2013-18'!Q346</f>
        <v>5476</v>
      </c>
      <c r="G75" s="163">
        <f>'Budget Detail FY 2013-18'!R346</f>
        <v>7500</v>
      </c>
      <c r="H75" s="163">
        <f>'Budget Detail FY 2013-18'!S346</f>
        <v>19603</v>
      </c>
      <c r="I75" s="163">
        <f>'Budget Detail FY 2013-18'!T346</f>
        <v>19603</v>
      </c>
      <c r="J75" s="163">
        <f>'Budget Detail FY 2013-18'!U346</f>
        <v>4603</v>
      </c>
      <c r="K75" s="163">
        <f>'Budget Detail FY 2013-18'!V346</f>
        <v>4603</v>
      </c>
      <c r="L75" s="166" t="s">
        <v>1462</v>
      </c>
    </row>
    <row r="76" spans="1:12" s="158" customFormat="1" ht="14.25" hidden="1">
      <c r="A76" s="196"/>
      <c r="B76" s="197"/>
      <c r="C76" s="164">
        <f>C74-C75</f>
        <v>0</v>
      </c>
      <c r="D76" s="164">
        <f t="shared" ref="D76:K76" si="11">D74-D75</f>
        <v>0</v>
      </c>
      <c r="E76" s="164">
        <f t="shared" si="11"/>
        <v>0</v>
      </c>
      <c r="F76" s="164">
        <f t="shared" si="11"/>
        <v>0</v>
      </c>
      <c r="G76" s="164">
        <f t="shared" si="11"/>
        <v>0</v>
      </c>
      <c r="H76" s="164">
        <f t="shared" si="11"/>
        <v>0</v>
      </c>
      <c r="I76" s="164">
        <f t="shared" si="11"/>
        <v>0</v>
      </c>
      <c r="J76" s="164">
        <f t="shared" si="11"/>
        <v>0</v>
      </c>
      <c r="K76" s="164">
        <f t="shared" si="11"/>
        <v>0</v>
      </c>
      <c r="L76" s="167" t="s">
        <v>1463</v>
      </c>
    </row>
    <row r="77" spans="1:12" ht="15">
      <c r="A77" s="190"/>
      <c r="B77" s="200"/>
      <c r="C77" s="3"/>
      <c r="D77" s="2"/>
      <c r="E77" s="2"/>
      <c r="F77" s="2"/>
      <c r="G77" s="2"/>
      <c r="H77" s="2"/>
      <c r="I77" s="2"/>
      <c r="J77" s="2"/>
      <c r="K77" s="2"/>
    </row>
    <row r="78" spans="1:12" ht="20.100000000000001" customHeight="1">
      <c r="A78" s="190"/>
      <c r="B78" s="189" t="s">
        <v>1065</v>
      </c>
      <c r="C78" s="3">
        <f t="shared" ref="C78:J78" si="12">+C68-C74</f>
        <v>15716</v>
      </c>
      <c r="D78" s="3">
        <f t="shared" si="12"/>
        <v>-871</v>
      </c>
      <c r="E78" s="3">
        <f t="shared" si="12"/>
        <v>-714</v>
      </c>
      <c r="F78" s="3">
        <f t="shared" si="12"/>
        <v>-1680</v>
      </c>
      <c r="G78" s="3">
        <f t="shared" si="12"/>
        <v>-3714</v>
      </c>
      <c r="H78" s="3">
        <f t="shared" si="12"/>
        <v>-11067</v>
      </c>
      <c r="I78" s="3">
        <f t="shared" si="12"/>
        <v>-11067</v>
      </c>
      <c r="J78" s="3">
        <f t="shared" si="12"/>
        <v>3933</v>
      </c>
      <c r="K78" s="3">
        <f>+K68-K74</f>
        <v>3933</v>
      </c>
    </row>
    <row r="79" spans="1:12" s="152" customFormat="1" ht="15" hidden="1">
      <c r="A79" s="194"/>
      <c r="B79" s="201"/>
      <c r="C79" s="163">
        <f>'Budget Detail FY 2013-18'!N348</f>
        <v>15716</v>
      </c>
      <c r="D79" s="163">
        <f>'Budget Detail FY 2013-18'!O348</f>
        <v>-871</v>
      </c>
      <c r="E79" s="163">
        <f>'Budget Detail FY 2013-18'!P348</f>
        <v>-714</v>
      </c>
      <c r="F79" s="163">
        <f>'Budget Detail FY 2013-18'!Q348</f>
        <v>-1680</v>
      </c>
      <c r="G79" s="163">
        <f>'Budget Detail FY 2013-18'!R348</f>
        <v>-3714</v>
      </c>
      <c r="H79" s="163">
        <f>'Budget Detail FY 2013-18'!S348</f>
        <v>-11067</v>
      </c>
      <c r="I79" s="163">
        <f>'Budget Detail FY 2013-18'!T348</f>
        <v>-11067</v>
      </c>
      <c r="J79" s="163">
        <f>'Budget Detail FY 2013-18'!U348</f>
        <v>3933</v>
      </c>
      <c r="K79" s="163">
        <f>'Budget Detail FY 2013-18'!V348</f>
        <v>3933</v>
      </c>
      <c r="L79" s="166" t="s">
        <v>1462</v>
      </c>
    </row>
    <row r="80" spans="1:12" s="158" customFormat="1" ht="15" hidden="1">
      <c r="A80" s="196"/>
      <c r="B80" s="202"/>
      <c r="C80" s="203">
        <f>C78-C79</f>
        <v>0</v>
      </c>
      <c r="D80" s="203">
        <f t="shared" ref="D80:K80" si="13">D78-D79</f>
        <v>0</v>
      </c>
      <c r="E80" s="203">
        <f t="shared" si="13"/>
        <v>0</v>
      </c>
      <c r="F80" s="203">
        <f t="shared" si="13"/>
        <v>0</v>
      </c>
      <c r="G80" s="203">
        <f t="shared" si="13"/>
        <v>0</v>
      </c>
      <c r="H80" s="203">
        <f t="shared" si="13"/>
        <v>0</v>
      </c>
      <c r="I80" s="203">
        <f t="shared" si="13"/>
        <v>0</v>
      </c>
      <c r="J80" s="203">
        <f t="shared" si="13"/>
        <v>0</v>
      </c>
      <c r="K80" s="203">
        <f t="shared" si="13"/>
        <v>0</v>
      </c>
      <c r="L80" s="167" t="s">
        <v>1463</v>
      </c>
    </row>
    <row r="81" spans="1:12" ht="15">
      <c r="A81" s="190"/>
      <c r="B81" s="204"/>
      <c r="C81" s="3"/>
      <c r="D81" s="2"/>
      <c r="E81" s="2"/>
      <c r="F81" s="2"/>
      <c r="G81" s="2"/>
      <c r="H81" s="2"/>
      <c r="I81" s="2"/>
      <c r="J81" s="2"/>
      <c r="K81" s="2"/>
    </row>
    <row r="82" spans="1:12" ht="20.100000000000001" customHeight="1" thickBot="1">
      <c r="A82" s="190"/>
      <c r="B82" s="191" t="s">
        <v>1066</v>
      </c>
      <c r="C82" s="99">
        <v>17942</v>
      </c>
      <c r="D82" s="99">
        <v>17071</v>
      </c>
      <c r="E82" s="99">
        <v>16719</v>
      </c>
      <c r="F82" s="99">
        <f>D82+F78</f>
        <v>15391</v>
      </c>
      <c r="G82" s="99">
        <f>F82+G78</f>
        <v>11677</v>
      </c>
      <c r="H82" s="99">
        <f>G82+H78</f>
        <v>610</v>
      </c>
      <c r="I82" s="99">
        <f>H82+I78</f>
        <v>-10457</v>
      </c>
      <c r="J82" s="99">
        <f>I82+J78</f>
        <v>-6524</v>
      </c>
      <c r="K82" s="99">
        <f>J82+K78</f>
        <v>-2591</v>
      </c>
    </row>
    <row r="83" spans="1:12" s="152" customFormat="1" ht="15.75" hidden="1" thickTop="1">
      <c r="A83" s="194"/>
      <c r="B83" s="195"/>
      <c r="C83" s="163">
        <f>'Budget Detail FY 2013-18'!N350</f>
        <v>17942</v>
      </c>
      <c r="D83" s="163">
        <f>'Budget Detail FY 2013-18'!O350</f>
        <v>17071</v>
      </c>
      <c r="E83" s="163">
        <f>'Budget Detail FY 2013-18'!P350</f>
        <v>16719</v>
      </c>
      <c r="F83" s="163">
        <f>'Budget Detail FY 2013-18'!Q350</f>
        <v>15391</v>
      </c>
      <c r="G83" s="163">
        <f>'Budget Detail FY 2013-18'!R350</f>
        <v>11677</v>
      </c>
      <c r="H83" s="163">
        <f>'Budget Detail FY 2013-18'!S350</f>
        <v>610</v>
      </c>
      <c r="I83" s="163">
        <f>'Budget Detail FY 2013-18'!T350</f>
        <v>-10457</v>
      </c>
      <c r="J83" s="163">
        <f>'Budget Detail FY 2013-18'!U350</f>
        <v>-6524</v>
      </c>
      <c r="K83" s="163">
        <f>'Budget Detail FY 2013-18'!V350</f>
        <v>-2591</v>
      </c>
      <c r="L83" s="166" t="s">
        <v>1462</v>
      </c>
    </row>
    <row r="84" spans="1:12" s="158" customFormat="1" ht="14.25" hidden="1">
      <c r="A84" s="196"/>
      <c r="B84" s="197"/>
      <c r="C84" s="164">
        <f>C82-C83</f>
        <v>0</v>
      </c>
      <c r="D84" s="164">
        <f t="shared" ref="D84:K84" si="14">D82-D83</f>
        <v>0</v>
      </c>
      <c r="E84" s="164">
        <f t="shared" si="14"/>
        <v>0</v>
      </c>
      <c r="F84" s="164">
        <f t="shared" si="14"/>
        <v>0</v>
      </c>
      <c r="G84" s="164">
        <f t="shared" si="14"/>
        <v>0</v>
      </c>
      <c r="H84" s="164">
        <f t="shared" si="14"/>
        <v>0</v>
      </c>
      <c r="I84" s="164">
        <f t="shared" si="14"/>
        <v>0</v>
      </c>
      <c r="J84" s="164">
        <f t="shared" si="14"/>
        <v>0</v>
      </c>
      <c r="K84" s="164">
        <f t="shared" si="14"/>
        <v>0</v>
      </c>
      <c r="L84" s="167" t="s">
        <v>1463</v>
      </c>
    </row>
    <row r="85" spans="1:12" ht="15.75" thickTop="1">
      <c r="A85" s="190"/>
      <c r="B85" s="205"/>
      <c r="C85" s="206">
        <f>C82/C74</f>
        <v>4.2943992340832935</v>
      </c>
      <c r="D85" s="206">
        <f t="shared" ref="D85:K85" si="15">D82/D74</f>
        <v>3.6601629502572899</v>
      </c>
      <c r="E85" s="206">
        <f t="shared" si="15"/>
        <v>3.7153333333333332</v>
      </c>
      <c r="F85" s="206">
        <f t="shared" si="15"/>
        <v>2.8106281957633308</v>
      </c>
      <c r="G85" s="206">
        <f t="shared" si="15"/>
        <v>1.5569333333333333</v>
      </c>
      <c r="H85" s="206">
        <f t="shared" si="15"/>
        <v>3.1117686068458911E-2</v>
      </c>
      <c r="I85" s="206">
        <f t="shared" si="15"/>
        <v>-0.53343875937356522</v>
      </c>
      <c r="J85" s="206">
        <f t="shared" si="15"/>
        <v>-1.4173365196610905</v>
      </c>
      <c r="K85" s="206">
        <f t="shared" si="15"/>
        <v>-0.56289376493591137</v>
      </c>
    </row>
    <row r="86" spans="1:12" ht="15">
      <c r="A86" s="190"/>
      <c r="B86" s="205"/>
      <c r="C86" s="3"/>
      <c r="D86" s="3"/>
      <c r="E86" s="3"/>
      <c r="F86" s="2"/>
      <c r="G86" s="2"/>
      <c r="H86" s="2"/>
      <c r="I86" s="2"/>
      <c r="J86" s="2"/>
      <c r="K86" s="2"/>
    </row>
    <row r="87" spans="1:12" ht="15">
      <c r="A87" s="190"/>
      <c r="B87" s="1"/>
      <c r="C87" s="2"/>
      <c r="D87" s="2"/>
      <c r="E87" s="2"/>
      <c r="F87" s="2"/>
      <c r="G87" s="2"/>
      <c r="H87" s="2"/>
      <c r="I87" s="2"/>
      <c r="J87" s="2"/>
      <c r="K87" s="2"/>
    </row>
    <row r="88" spans="1:12" ht="15">
      <c r="A88" s="190"/>
      <c r="B88" s="1"/>
      <c r="C88" s="2"/>
      <c r="D88" s="2"/>
      <c r="E88" s="2"/>
      <c r="F88" s="2"/>
      <c r="G88" s="2"/>
      <c r="H88" s="2"/>
      <c r="I88" s="2"/>
      <c r="J88" s="2"/>
      <c r="K88" s="2"/>
    </row>
    <row r="89" spans="1:12" ht="15">
      <c r="A89" s="190"/>
      <c r="B89" s="1"/>
      <c r="C89" s="2"/>
      <c r="D89" s="2"/>
      <c r="E89" s="2"/>
      <c r="F89" s="2"/>
      <c r="G89" s="2"/>
      <c r="H89" s="2"/>
      <c r="I89" s="2"/>
      <c r="J89" s="2"/>
      <c r="K89" s="2"/>
    </row>
    <row r="90" spans="1:12" ht="15">
      <c r="A90" s="190"/>
      <c r="B90" s="1"/>
      <c r="C90" s="2"/>
      <c r="D90" s="2"/>
      <c r="E90" s="2"/>
      <c r="F90" s="2"/>
      <c r="G90" s="2"/>
      <c r="H90" s="2"/>
      <c r="I90" s="2"/>
      <c r="J90" s="2"/>
      <c r="K90" s="2"/>
    </row>
    <row r="91" spans="1:12" ht="15">
      <c r="A91" s="190"/>
      <c r="B91" s="1"/>
      <c r="C91" s="2"/>
      <c r="D91" s="2"/>
      <c r="E91" s="2"/>
      <c r="F91" s="2"/>
      <c r="G91" s="2"/>
      <c r="H91" s="2"/>
      <c r="I91" s="2"/>
      <c r="J91" s="2"/>
      <c r="K91" s="2"/>
    </row>
    <row r="92" spans="1:12" ht="15">
      <c r="A92" s="190"/>
      <c r="B92" s="1"/>
      <c r="C92" s="2"/>
      <c r="D92" s="2"/>
      <c r="E92" s="2"/>
      <c r="F92" s="2"/>
      <c r="G92" s="2"/>
      <c r="H92" s="2"/>
      <c r="I92" s="2"/>
      <c r="J92" s="2"/>
      <c r="K92" s="2"/>
    </row>
    <row r="93" spans="1:12" ht="15">
      <c r="A93" s="190"/>
      <c r="B93" s="1"/>
      <c r="C93" s="2"/>
      <c r="D93" s="2"/>
      <c r="E93" s="2"/>
      <c r="F93" s="2"/>
      <c r="G93" s="2"/>
      <c r="H93" s="2"/>
      <c r="I93" s="2"/>
      <c r="J93" s="2"/>
      <c r="K93" s="2"/>
    </row>
    <row r="94" spans="1:12" ht="15">
      <c r="A94" s="190"/>
      <c r="B94" s="1"/>
      <c r="C94" s="2"/>
      <c r="D94" s="2"/>
      <c r="E94" s="2"/>
      <c r="F94" s="2"/>
      <c r="G94" s="2"/>
      <c r="H94" s="2"/>
      <c r="I94" s="2"/>
      <c r="J94" s="2"/>
      <c r="K94" s="2"/>
    </row>
    <row r="95" spans="1:12" ht="15">
      <c r="A95" s="190"/>
      <c r="B95" s="1"/>
      <c r="C95" s="2"/>
      <c r="D95" s="2"/>
      <c r="E95" s="2"/>
      <c r="F95" s="2"/>
      <c r="G95" s="2"/>
      <c r="H95" s="2"/>
      <c r="I95" s="2"/>
      <c r="J95" s="2"/>
      <c r="K95" s="2"/>
    </row>
    <row r="96" spans="1:12" ht="15">
      <c r="A96" s="190"/>
      <c r="B96" s="1"/>
      <c r="C96" s="2"/>
      <c r="D96" s="2"/>
      <c r="E96" s="2"/>
      <c r="F96" s="2"/>
      <c r="G96" s="2"/>
      <c r="H96" s="2"/>
      <c r="I96" s="2"/>
      <c r="J96" s="2"/>
      <c r="K96" s="2"/>
    </row>
    <row r="97" spans="1:11" ht="15">
      <c r="A97" s="190"/>
      <c r="B97" s="1"/>
      <c r="C97" s="2"/>
      <c r="D97" s="2"/>
      <c r="E97" s="2"/>
      <c r="F97" s="2"/>
      <c r="G97" s="2"/>
      <c r="H97" s="2"/>
      <c r="I97" s="2"/>
      <c r="J97" s="2"/>
      <c r="K97" s="2"/>
    </row>
    <row r="98" spans="1:11" ht="15">
      <c r="A98" s="190"/>
      <c r="B98" s="1"/>
      <c r="C98" s="2"/>
      <c r="D98" s="2"/>
      <c r="E98" s="2"/>
      <c r="F98" s="2"/>
      <c r="G98" s="2"/>
      <c r="H98" s="2"/>
      <c r="I98" s="2"/>
      <c r="J98" s="2"/>
      <c r="K98" s="2"/>
    </row>
    <row r="99" spans="1:11">
      <c r="A99" s="190"/>
      <c r="B99" s="190"/>
      <c r="C99" s="207"/>
      <c r="D99" s="207"/>
      <c r="E99" s="208"/>
      <c r="F99" s="208"/>
      <c r="G99" s="208"/>
      <c r="H99" s="208"/>
      <c r="I99" s="208"/>
      <c r="J99" s="208"/>
      <c r="K99" s="208"/>
    </row>
    <row r="100" spans="1:11" ht="18.75">
      <c r="A100" s="190"/>
      <c r="B100" s="523" t="s">
        <v>1069</v>
      </c>
      <c r="C100" s="523"/>
      <c r="D100" s="523"/>
      <c r="E100" s="523"/>
      <c r="F100" s="523"/>
      <c r="G100" s="523"/>
      <c r="H100" s="523"/>
      <c r="I100" s="523"/>
      <c r="J100" s="523"/>
      <c r="K100" s="523"/>
    </row>
    <row r="101" spans="1:11" ht="15">
      <c r="A101" s="190"/>
      <c r="B101" s="80"/>
      <c r="C101" s="3"/>
      <c r="D101" s="2"/>
      <c r="E101" s="2"/>
      <c r="F101" s="2"/>
      <c r="G101" s="2"/>
      <c r="H101" s="2"/>
      <c r="I101" s="2"/>
      <c r="J101" s="2"/>
      <c r="K101" s="2"/>
    </row>
    <row r="102" spans="1:11" ht="12.75" customHeight="1">
      <c r="A102" s="190"/>
      <c r="B102" s="529" t="s">
        <v>1070</v>
      </c>
      <c r="C102" s="529"/>
      <c r="D102" s="529"/>
      <c r="E102" s="529"/>
      <c r="F102" s="529"/>
      <c r="G102" s="529"/>
      <c r="H102" s="529"/>
      <c r="I102" s="529"/>
      <c r="J102" s="529"/>
      <c r="K102" s="529"/>
    </row>
    <row r="103" spans="1:11" ht="18" customHeight="1">
      <c r="A103" s="190"/>
      <c r="B103" s="529"/>
      <c r="C103" s="529"/>
      <c r="D103" s="529"/>
      <c r="E103" s="529"/>
      <c r="F103" s="529"/>
      <c r="G103" s="529"/>
      <c r="H103" s="529"/>
      <c r="I103" s="529"/>
      <c r="J103" s="529"/>
      <c r="K103" s="529"/>
    </row>
    <row r="104" spans="1:11" ht="15">
      <c r="A104" s="190"/>
      <c r="B104" s="187"/>
      <c r="C104" s="31"/>
      <c r="D104" s="31"/>
      <c r="E104" s="31"/>
      <c r="F104" s="2"/>
      <c r="G104" s="2"/>
      <c r="H104" s="2"/>
      <c r="I104" s="2"/>
      <c r="J104" s="2"/>
      <c r="K104" s="2"/>
    </row>
    <row r="105" spans="1:11" ht="15">
      <c r="A105" s="190"/>
      <c r="B105" s="5"/>
      <c r="C105" s="80"/>
      <c r="D105" s="81"/>
      <c r="E105" s="80" t="s">
        <v>312</v>
      </c>
      <c r="F105" s="1"/>
      <c r="G105" s="1"/>
      <c r="H105" s="1"/>
      <c r="I105" s="1"/>
      <c r="J105" s="1"/>
      <c r="K105" s="1"/>
    </row>
    <row r="106" spans="1:11" ht="15">
      <c r="A106" s="190"/>
      <c r="B106" s="81"/>
      <c r="C106" s="80" t="s">
        <v>23</v>
      </c>
      <c r="D106" s="104" t="s">
        <v>253</v>
      </c>
      <c r="E106" s="81" t="s">
        <v>1045</v>
      </c>
      <c r="F106" s="81" t="s">
        <v>312</v>
      </c>
      <c r="G106" s="81" t="s">
        <v>313</v>
      </c>
      <c r="H106" s="81" t="s">
        <v>329</v>
      </c>
      <c r="I106" s="81" t="s">
        <v>332</v>
      </c>
      <c r="J106" s="81" t="s">
        <v>333</v>
      </c>
      <c r="K106" s="81" t="s">
        <v>1224</v>
      </c>
    </row>
    <row r="107" spans="1:11" ht="15.75" thickBot="1">
      <c r="A107" s="190"/>
      <c r="B107" s="209"/>
      <c r="C107" s="83" t="s">
        <v>1</v>
      </c>
      <c r="D107" s="83" t="s">
        <v>1</v>
      </c>
      <c r="E107" s="83" t="s">
        <v>987</v>
      </c>
      <c r="F107" s="83" t="s">
        <v>24</v>
      </c>
      <c r="G107" s="83" t="s">
        <v>1045</v>
      </c>
      <c r="H107" s="83" t="s">
        <v>24</v>
      </c>
      <c r="I107" s="83" t="s">
        <v>24</v>
      </c>
      <c r="J107" s="83" t="s">
        <v>24</v>
      </c>
      <c r="K107" s="83" t="s">
        <v>24</v>
      </c>
    </row>
    <row r="108" spans="1:11" ht="15">
      <c r="A108" s="190"/>
      <c r="B108" s="79"/>
      <c r="C108" s="210"/>
      <c r="D108" s="2"/>
      <c r="E108" s="2"/>
      <c r="F108" s="2"/>
      <c r="G108" s="2"/>
      <c r="H108" s="2"/>
      <c r="I108" s="2"/>
      <c r="J108" s="2"/>
      <c r="K108" s="2"/>
    </row>
    <row r="109" spans="1:11" ht="15">
      <c r="A109" s="190"/>
      <c r="B109" s="198" t="s">
        <v>1046</v>
      </c>
      <c r="C109" s="2"/>
      <c r="D109" s="2"/>
      <c r="E109" s="2"/>
      <c r="F109" s="2"/>
      <c r="G109" s="2"/>
      <c r="H109" s="2"/>
      <c r="I109" s="2"/>
      <c r="J109" s="2"/>
      <c r="K109" s="2"/>
    </row>
    <row r="110" spans="1:11" ht="20.100000000000001" customHeight="1">
      <c r="A110" s="190"/>
      <c r="B110" s="192" t="s">
        <v>1047</v>
      </c>
      <c r="C110" s="2">
        <f>'Budget Detail FY 2013-18'!N355</f>
        <v>13871</v>
      </c>
      <c r="D110" s="2">
        <f>'Budget Detail FY 2013-18'!O355</f>
        <v>7530</v>
      </c>
      <c r="E110" s="2">
        <f>'Budget Detail FY 2013-18'!P355</f>
        <v>7531</v>
      </c>
      <c r="F110" s="2">
        <f>'Budget Detail FY 2013-18'!Q355</f>
        <v>7530</v>
      </c>
      <c r="G110" s="2">
        <f>'Budget Detail FY 2013-18'!R355</f>
        <v>7531</v>
      </c>
      <c r="H110" s="2">
        <f>'Budget Detail FY 2013-18'!S355</f>
        <v>17416</v>
      </c>
      <c r="I110" s="2">
        <f>'Budget Detail FY 2013-18'!T355</f>
        <v>17416</v>
      </c>
      <c r="J110" s="2">
        <f>'Budget Detail FY 2013-18'!U355</f>
        <v>17416</v>
      </c>
      <c r="K110" s="2">
        <f>'Budget Detail FY 2013-18'!V355</f>
        <v>17416</v>
      </c>
    </row>
    <row r="111" spans="1:11" ht="20.100000000000001" customHeight="1">
      <c r="A111" s="190"/>
      <c r="B111" s="192" t="s">
        <v>1052</v>
      </c>
      <c r="C111" s="2">
        <f>'Budget Detail FY 2013-18'!N356</f>
        <v>0</v>
      </c>
      <c r="D111" s="2">
        <f>'Budget Detail FY 2013-18'!O356</f>
        <v>7</v>
      </c>
      <c r="E111" s="2">
        <f>'Budget Detail FY 2013-18'!P356</f>
        <v>0</v>
      </c>
      <c r="F111" s="2">
        <f>'Budget Detail FY 2013-18'!Q356</f>
        <v>10</v>
      </c>
      <c r="G111" s="2">
        <f>'Budget Detail FY 2013-18'!R356</f>
        <v>0</v>
      </c>
      <c r="H111" s="2">
        <f>'Budget Detail FY 2013-18'!S356</f>
        <v>0</v>
      </c>
      <c r="I111" s="2">
        <f>'Budget Detail FY 2013-18'!T356</f>
        <v>0</v>
      </c>
      <c r="J111" s="2">
        <f>'Budget Detail FY 2013-18'!U356</f>
        <v>0</v>
      </c>
      <c r="K111" s="2">
        <f>'Budget Detail FY 2013-18'!V356</f>
        <v>0</v>
      </c>
    </row>
    <row r="112" spans="1:11" ht="20.100000000000001" customHeight="1" thickBot="1">
      <c r="A112" s="190"/>
      <c r="B112" s="193" t="s">
        <v>1056</v>
      </c>
      <c r="C112" s="188">
        <f t="shared" ref="C112:J112" si="16">SUM(C110:C111)</f>
        <v>13871</v>
      </c>
      <c r="D112" s="188">
        <f t="shared" si="16"/>
        <v>7537</v>
      </c>
      <c r="E112" s="188">
        <f t="shared" si="16"/>
        <v>7531</v>
      </c>
      <c r="F112" s="188">
        <f t="shared" si="16"/>
        <v>7540</v>
      </c>
      <c r="G112" s="188">
        <f t="shared" si="16"/>
        <v>7531</v>
      </c>
      <c r="H112" s="188">
        <f t="shared" si="16"/>
        <v>17416</v>
      </c>
      <c r="I112" s="188">
        <f t="shared" si="16"/>
        <v>17416</v>
      </c>
      <c r="J112" s="188">
        <f t="shared" si="16"/>
        <v>17416</v>
      </c>
      <c r="K112" s="188">
        <f>SUM(K110:K111)</f>
        <v>17416</v>
      </c>
    </row>
    <row r="113" spans="1:12" s="152" customFormat="1" ht="15" hidden="1">
      <c r="A113" s="194"/>
      <c r="B113" s="195"/>
      <c r="C113" s="163">
        <f>'Budget Detail FY 2013-18'!N358</f>
        <v>13871</v>
      </c>
      <c r="D113" s="163">
        <f>'Budget Detail FY 2013-18'!O358</f>
        <v>7537</v>
      </c>
      <c r="E113" s="163">
        <f>'Budget Detail FY 2013-18'!P358</f>
        <v>7531</v>
      </c>
      <c r="F113" s="163">
        <f>'Budget Detail FY 2013-18'!Q358</f>
        <v>7540</v>
      </c>
      <c r="G113" s="163">
        <f>'Budget Detail FY 2013-18'!R358</f>
        <v>7531</v>
      </c>
      <c r="H113" s="163">
        <f>'Budget Detail FY 2013-18'!S358</f>
        <v>17416</v>
      </c>
      <c r="I113" s="163">
        <f>'Budget Detail FY 2013-18'!T358</f>
        <v>17416</v>
      </c>
      <c r="J113" s="163">
        <f>'Budget Detail FY 2013-18'!U358</f>
        <v>17416</v>
      </c>
      <c r="K113" s="163">
        <f>'Budget Detail FY 2013-18'!V358</f>
        <v>17416</v>
      </c>
      <c r="L113" s="166" t="s">
        <v>1462</v>
      </c>
    </row>
    <row r="114" spans="1:12" s="158" customFormat="1" ht="14.25" hidden="1">
      <c r="A114" s="196"/>
      <c r="B114" s="197"/>
      <c r="C114" s="164">
        <f>C112-C113</f>
        <v>0</v>
      </c>
      <c r="D114" s="164">
        <f t="shared" ref="D114:K114" si="17">D112-D113</f>
        <v>0</v>
      </c>
      <c r="E114" s="164">
        <f t="shared" si="17"/>
        <v>0</v>
      </c>
      <c r="F114" s="164">
        <f t="shared" si="17"/>
        <v>0</v>
      </c>
      <c r="G114" s="164">
        <f t="shared" si="17"/>
        <v>0</v>
      </c>
      <c r="H114" s="164">
        <f t="shared" si="17"/>
        <v>0</v>
      </c>
      <c r="I114" s="164">
        <f t="shared" si="17"/>
        <v>0</v>
      </c>
      <c r="J114" s="164">
        <f t="shared" si="17"/>
        <v>0</v>
      </c>
      <c r="K114" s="164">
        <f t="shared" si="17"/>
        <v>0</v>
      </c>
      <c r="L114" s="167" t="s">
        <v>1463</v>
      </c>
    </row>
    <row r="115" spans="1:12" ht="15">
      <c r="A115" s="190"/>
      <c r="B115" s="1"/>
      <c r="C115" s="2"/>
      <c r="D115" s="2"/>
      <c r="E115" s="2"/>
      <c r="F115" s="2"/>
      <c r="G115" s="2"/>
      <c r="H115" s="2"/>
      <c r="I115" s="2"/>
      <c r="J115" s="2"/>
      <c r="K115" s="2"/>
    </row>
    <row r="116" spans="1:12" ht="15">
      <c r="A116" s="190"/>
      <c r="B116" s="198" t="s">
        <v>761</v>
      </c>
      <c r="C116" s="2"/>
      <c r="D116" s="2"/>
      <c r="E116" s="2"/>
      <c r="F116" s="2"/>
      <c r="G116" s="2"/>
      <c r="H116" s="2"/>
      <c r="I116" s="2"/>
      <c r="J116" s="2"/>
      <c r="K116" s="2"/>
    </row>
    <row r="117" spans="1:12" ht="20.100000000000001" customHeight="1">
      <c r="A117" s="190"/>
      <c r="B117" s="199" t="s">
        <v>1059</v>
      </c>
      <c r="C117" s="2">
        <f>SUM('Budget Detail FY 2013-18'!N360:N361)</f>
        <v>8136</v>
      </c>
      <c r="D117" s="2">
        <f>SUM('Budget Detail FY 2013-18'!O360:O361)</f>
        <v>7272</v>
      </c>
      <c r="E117" s="2">
        <f>SUM('Budget Detail FY 2013-18'!P360:P361)</f>
        <v>9986</v>
      </c>
      <c r="F117" s="2">
        <f>SUM('Budget Detail FY 2013-18'!Q360:Q361)</f>
        <v>11714</v>
      </c>
      <c r="G117" s="2">
        <f>SUM('Budget Detail FY 2013-18'!R360:R361)</f>
        <v>14985</v>
      </c>
      <c r="H117" s="2">
        <f>SUM('Budget Detail FY 2013-18'!S360:S361)</f>
        <v>35985</v>
      </c>
      <c r="I117" s="2">
        <f>SUM('Budget Detail FY 2013-18'!T360:T361)</f>
        <v>35985</v>
      </c>
      <c r="J117" s="2">
        <f>SUM('Budget Detail FY 2013-18'!U360:U361)</f>
        <v>10985</v>
      </c>
      <c r="K117" s="2">
        <f>SUM('Budget Detail FY 2013-18'!V360:V361)</f>
        <v>10985</v>
      </c>
    </row>
    <row r="118" spans="1:12" ht="20.100000000000001" customHeight="1" thickBot="1">
      <c r="A118" s="190"/>
      <c r="B118" s="193" t="s">
        <v>1064</v>
      </c>
      <c r="C118" s="188">
        <f t="shared" ref="C118:J118" si="18">SUM(C117:C117)</f>
        <v>8136</v>
      </c>
      <c r="D118" s="188">
        <f t="shared" si="18"/>
        <v>7272</v>
      </c>
      <c r="E118" s="188">
        <f t="shared" si="18"/>
        <v>9986</v>
      </c>
      <c r="F118" s="188">
        <f t="shared" si="18"/>
        <v>11714</v>
      </c>
      <c r="G118" s="188">
        <f t="shared" si="18"/>
        <v>14985</v>
      </c>
      <c r="H118" s="188">
        <f t="shared" si="18"/>
        <v>35985</v>
      </c>
      <c r="I118" s="188">
        <f t="shared" si="18"/>
        <v>35985</v>
      </c>
      <c r="J118" s="188">
        <f t="shared" si="18"/>
        <v>10985</v>
      </c>
      <c r="K118" s="188">
        <f>SUM(K117:K117)</f>
        <v>10985</v>
      </c>
    </row>
    <row r="119" spans="1:12" s="152" customFormat="1" ht="15" hidden="1">
      <c r="A119" s="194"/>
      <c r="B119" s="195"/>
      <c r="C119" s="163">
        <f>'Budget Detail FY 2013-18'!N363</f>
        <v>8136</v>
      </c>
      <c r="D119" s="163">
        <f>'Budget Detail FY 2013-18'!O363</f>
        <v>7272</v>
      </c>
      <c r="E119" s="163">
        <f>'Budget Detail FY 2013-18'!P363</f>
        <v>9986</v>
      </c>
      <c r="F119" s="163">
        <f>'Budget Detail FY 2013-18'!Q363</f>
        <v>11714</v>
      </c>
      <c r="G119" s="163">
        <f>'Budget Detail FY 2013-18'!R363</f>
        <v>14985</v>
      </c>
      <c r="H119" s="163">
        <f>'Budget Detail FY 2013-18'!S363</f>
        <v>35985</v>
      </c>
      <c r="I119" s="163">
        <f>'Budget Detail FY 2013-18'!T363</f>
        <v>35985</v>
      </c>
      <c r="J119" s="163">
        <f>'Budget Detail FY 2013-18'!U363</f>
        <v>10985</v>
      </c>
      <c r="K119" s="163">
        <f>'Budget Detail FY 2013-18'!V363</f>
        <v>10985</v>
      </c>
      <c r="L119" s="166" t="s">
        <v>1462</v>
      </c>
    </row>
    <row r="120" spans="1:12" s="158" customFormat="1" ht="14.25" hidden="1">
      <c r="A120" s="196"/>
      <c r="B120" s="197"/>
      <c r="C120" s="164">
        <f>C118-C119</f>
        <v>0</v>
      </c>
      <c r="D120" s="164">
        <f t="shared" ref="D120:K120" si="19">D118-D119</f>
        <v>0</v>
      </c>
      <c r="E120" s="164">
        <f t="shared" si="19"/>
        <v>0</v>
      </c>
      <c r="F120" s="164">
        <f t="shared" si="19"/>
        <v>0</v>
      </c>
      <c r="G120" s="164">
        <f t="shared" si="19"/>
        <v>0</v>
      </c>
      <c r="H120" s="164">
        <f t="shared" si="19"/>
        <v>0</v>
      </c>
      <c r="I120" s="164">
        <f t="shared" si="19"/>
        <v>0</v>
      </c>
      <c r="J120" s="164">
        <f t="shared" si="19"/>
        <v>0</v>
      </c>
      <c r="K120" s="164">
        <f t="shared" si="19"/>
        <v>0</v>
      </c>
      <c r="L120" s="167" t="s">
        <v>1463</v>
      </c>
    </row>
    <row r="121" spans="1:12" ht="15">
      <c r="A121" s="190"/>
      <c r="B121" s="200"/>
      <c r="C121" s="3"/>
      <c r="D121" s="2"/>
      <c r="E121" s="2"/>
      <c r="F121" s="2"/>
      <c r="G121" s="2"/>
      <c r="H121" s="2"/>
      <c r="I121" s="2"/>
      <c r="J121" s="2"/>
      <c r="K121" s="2"/>
    </row>
    <row r="122" spans="1:12" ht="20.100000000000001" customHeight="1">
      <c r="A122" s="190"/>
      <c r="B122" s="189" t="s">
        <v>1065</v>
      </c>
      <c r="C122" s="3">
        <f t="shared" ref="C122:J122" si="20">+C112-C118</f>
        <v>5735</v>
      </c>
      <c r="D122" s="3">
        <f t="shared" si="20"/>
        <v>265</v>
      </c>
      <c r="E122" s="3">
        <f t="shared" si="20"/>
        <v>-2455</v>
      </c>
      <c r="F122" s="3">
        <f t="shared" si="20"/>
        <v>-4174</v>
      </c>
      <c r="G122" s="3">
        <f t="shared" si="20"/>
        <v>-7454</v>
      </c>
      <c r="H122" s="3">
        <f t="shared" si="20"/>
        <v>-18569</v>
      </c>
      <c r="I122" s="3">
        <f t="shared" si="20"/>
        <v>-18569</v>
      </c>
      <c r="J122" s="3">
        <f t="shared" si="20"/>
        <v>6431</v>
      </c>
      <c r="K122" s="3">
        <f>+K112-K118</f>
        <v>6431</v>
      </c>
    </row>
    <row r="123" spans="1:12" s="152" customFormat="1" ht="15" hidden="1">
      <c r="A123" s="194"/>
      <c r="B123" s="201"/>
      <c r="C123" s="163">
        <f>'Budget Detail FY 2013-18'!N365</f>
        <v>5735</v>
      </c>
      <c r="D123" s="163">
        <f>'Budget Detail FY 2013-18'!O365</f>
        <v>265</v>
      </c>
      <c r="E123" s="163">
        <f>'Budget Detail FY 2013-18'!P365</f>
        <v>-2455</v>
      </c>
      <c r="F123" s="163">
        <f>'Budget Detail FY 2013-18'!Q365</f>
        <v>-4174</v>
      </c>
      <c r="G123" s="163">
        <f>'Budget Detail FY 2013-18'!R365</f>
        <v>-7454</v>
      </c>
      <c r="H123" s="163">
        <f>'Budget Detail FY 2013-18'!S365</f>
        <v>-18569</v>
      </c>
      <c r="I123" s="163">
        <f>'Budget Detail FY 2013-18'!T365</f>
        <v>-18569</v>
      </c>
      <c r="J123" s="163">
        <f>'Budget Detail FY 2013-18'!U365</f>
        <v>6431</v>
      </c>
      <c r="K123" s="163">
        <f>'Budget Detail FY 2013-18'!V365</f>
        <v>6431</v>
      </c>
      <c r="L123" s="166" t="s">
        <v>1462</v>
      </c>
    </row>
    <row r="124" spans="1:12" s="158" customFormat="1" ht="15" hidden="1">
      <c r="A124" s="196"/>
      <c r="B124" s="202"/>
      <c r="C124" s="211">
        <f>C122-C123</f>
        <v>0</v>
      </c>
      <c r="D124" s="211">
        <f t="shared" ref="D124:K124" si="21">D122-D123</f>
        <v>0</v>
      </c>
      <c r="E124" s="211">
        <f t="shared" si="21"/>
        <v>0</v>
      </c>
      <c r="F124" s="211">
        <f t="shared" si="21"/>
        <v>0</v>
      </c>
      <c r="G124" s="211">
        <f t="shared" si="21"/>
        <v>0</v>
      </c>
      <c r="H124" s="211">
        <f t="shared" si="21"/>
        <v>0</v>
      </c>
      <c r="I124" s="211">
        <f t="shared" si="21"/>
        <v>0</v>
      </c>
      <c r="J124" s="211">
        <f t="shared" si="21"/>
        <v>0</v>
      </c>
      <c r="K124" s="211">
        <f t="shared" si="21"/>
        <v>0</v>
      </c>
      <c r="L124" s="167" t="s">
        <v>1463</v>
      </c>
    </row>
    <row r="125" spans="1:12" ht="15">
      <c r="A125" s="190"/>
      <c r="B125" s="204"/>
      <c r="C125" s="3"/>
      <c r="D125" s="2"/>
      <c r="E125" s="2"/>
      <c r="F125" s="2"/>
      <c r="G125" s="2"/>
      <c r="H125" s="2"/>
      <c r="I125" s="2"/>
      <c r="J125" s="2"/>
      <c r="K125" s="2"/>
    </row>
    <row r="126" spans="1:12" ht="20.100000000000001" customHeight="1" thickBot="1">
      <c r="A126" s="190"/>
      <c r="B126" s="191" t="s">
        <v>1066</v>
      </c>
      <c r="C126" s="99">
        <v>11922</v>
      </c>
      <c r="D126" s="99">
        <v>12188</v>
      </c>
      <c r="E126" s="99">
        <v>10007</v>
      </c>
      <c r="F126" s="99">
        <f>D126+F122</f>
        <v>8014</v>
      </c>
      <c r="G126" s="99">
        <f>F126+G122</f>
        <v>560</v>
      </c>
      <c r="H126" s="99">
        <f>G126+H122</f>
        <v>-18009</v>
      </c>
      <c r="I126" s="99">
        <f>H126+I122</f>
        <v>-36578</v>
      </c>
      <c r="J126" s="99">
        <f>I126+J122</f>
        <v>-30147</v>
      </c>
      <c r="K126" s="99">
        <f>J126+K122</f>
        <v>-23716</v>
      </c>
    </row>
    <row r="127" spans="1:12" s="152" customFormat="1" ht="15.75" hidden="1" thickTop="1">
      <c r="A127" s="194"/>
      <c r="B127" s="195"/>
      <c r="C127" s="163">
        <f>'Budget Detail FY 2013-18'!N367</f>
        <v>11922</v>
      </c>
      <c r="D127" s="163">
        <f>'Budget Detail FY 2013-18'!O367</f>
        <v>12188</v>
      </c>
      <c r="E127" s="163">
        <f>'Budget Detail FY 2013-18'!P367</f>
        <v>10007</v>
      </c>
      <c r="F127" s="163">
        <f>'Budget Detail FY 2013-18'!Q367</f>
        <v>8014</v>
      </c>
      <c r="G127" s="163">
        <f>'Budget Detail FY 2013-18'!R367</f>
        <v>560</v>
      </c>
      <c r="H127" s="163">
        <f>'Budget Detail FY 2013-18'!S367</f>
        <v>-18009</v>
      </c>
      <c r="I127" s="163">
        <f>'Budget Detail FY 2013-18'!T367</f>
        <v>-36578</v>
      </c>
      <c r="J127" s="163">
        <f>'Budget Detail FY 2013-18'!U367</f>
        <v>-30147</v>
      </c>
      <c r="K127" s="163">
        <f>'Budget Detail FY 2013-18'!V367</f>
        <v>-23716</v>
      </c>
      <c r="L127" s="166" t="s">
        <v>1462</v>
      </c>
    </row>
    <row r="128" spans="1:12" s="158" customFormat="1" ht="14.25" hidden="1">
      <c r="A128" s="196"/>
      <c r="B128" s="197"/>
      <c r="C128" s="164">
        <f>C126-C127</f>
        <v>0</v>
      </c>
      <c r="D128" s="164">
        <f t="shared" ref="D128:K128" si="22">D126-D127</f>
        <v>0</v>
      </c>
      <c r="E128" s="164">
        <f t="shared" si="22"/>
        <v>0</v>
      </c>
      <c r="F128" s="164">
        <f t="shared" si="22"/>
        <v>0</v>
      </c>
      <c r="G128" s="164">
        <f t="shared" si="22"/>
        <v>0</v>
      </c>
      <c r="H128" s="164">
        <f t="shared" si="22"/>
        <v>0</v>
      </c>
      <c r="I128" s="164">
        <f t="shared" si="22"/>
        <v>0</v>
      </c>
      <c r="J128" s="164">
        <f t="shared" si="22"/>
        <v>0</v>
      </c>
      <c r="K128" s="164">
        <f t="shared" si="22"/>
        <v>0</v>
      </c>
      <c r="L128" s="167" t="s">
        <v>1463</v>
      </c>
    </row>
    <row r="129" spans="1:12" s="494" customFormat="1" ht="15.75" thickTop="1">
      <c r="A129" s="212"/>
      <c r="B129" s="200"/>
      <c r="C129" s="206">
        <f>C126/C118</f>
        <v>1.4653392330383481</v>
      </c>
      <c r="D129" s="206">
        <f t="shared" ref="D129:K129" si="23">D126/D118</f>
        <v>1.676017601760176</v>
      </c>
      <c r="E129" s="206">
        <f t="shared" si="23"/>
        <v>1.0021029441217706</v>
      </c>
      <c r="F129" s="206">
        <f t="shared" si="23"/>
        <v>0.68413863752774462</v>
      </c>
      <c r="G129" s="206">
        <f t="shared" si="23"/>
        <v>3.7370704037370701E-2</v>
      </c>
      <c r="H129" s="206">
        <f t="shared" si="23"/>
        <v>-0.50045852438516047</v>
      </c>
      <c r="I129" s="206">
        <f t="shared" si="23"/>
        <v>-1.0164790885091011</v>
      </c>
      <c r="J129" s="206">
        <f t="shared" si="23"/>
        <v>-2.7443786982248519</v>
      </c>
      <c r="K129" s="206">
        <f t="shared" si="23"/>
        <v>-2.1589440145653165</v>
      </c>
      <c r="L129" s="493"/>
    </row>
    <row r="130" spans="1:12" ht="15">
      <c r="A130" s="190"/>
      <c r="B130" s="205"/>
      <c r="C130" s="213"/>
      <c r="D130" s="213"/>
      <c r="E130" s="213"/>
      <c r="F130" s="213"/>
      <c r="G130" s="213"/>
      <c r="H130" s="213"/>
      <c r="I130" s="213"/>
      <c r="J130" s="213"/>
      <c r="K130" s="213"/>
    </row>
    <row r="131" spans="1:12" ht="15">
      <c r="A131" s="190"/>
      <c r="B131" s="1"/>
      <c r="C131" s="2"/>
      <c r="D131" s="2"/>
      <c r="E131" s="2"/>
      <c r="F131" s="2"/>
      <c r="G131" s="2"/>
      <c r="H131" s="2"/>
      <c r="I131" s="2"/>
      <c r="J131" s="2"/>
      <c r="K131" s="2"/>
    </row>
    <row r="132" spans="1:12" ht="15">
      <c r="A132" s="190"/>
      <c r="B132" s="1"/>
      <c r="C132" s="2"/>
      <c r="D132" s="2"/>
      <c r="E132" s="2"/>
      <c r="F132" s="2"/>
      <c r="G132" s="2"/>
      <c r="H132" s="2"/>
      <c r="I132" s="2"/>
      <c r="J132" s="2"/>
      <c r="K132" s="2"/>
    </row>
    <row r="133" spans="1:12" ht="15">
      <c r="A133" s="190"/>
      <c r="B133" s="1"/>
      <c r="C133" s="2"/>
      <c r="D133" s="2"/>
      <c r="E133" s="2"/>
      <c r="F133" s="2"/>
      <c r="G133" s="2"/>
      <c r="H133" s="2"/>
      <c r="I133" s="2"/>
      <c r="J133" s="2"/>
      <c r="K133" s="2"/>
    </row>
    <row r="134" spans="1:12" ht="15">
      <c r="A134" s="190"/>
      <c r="B134" s="1"/>
      <c r="C134" s="2"/>
      <c r="D134" s="2"/>
      <c r="E134" s="2"/>
      <c r="F134" s="2"/>
      <c r="G134" s="2"/>
      <c r="H134" s="2"/>
      <c r="I134" s="2"/>
      <c r="J134" s="2"/>
      <c r="K134" s="2"/>
    </row>
    <row r="135" spans="1:12" ht="15">
      <c r="A135" s="190"/>
      <c r="B135" s="1"/>
      <c r="C135" s="2"/>
      <c r="D135" s="2"/>
      <c r="E135" s="2"/>
      <c r="F135" s="2"/>
      <c r="G135" s="2"/>
      <c r="H135" s="2"/>
      <c r="I135" s="2"/>
      <c r="J135" s="2"/>
      <c r="K135" s="2"/>
    </row>
    <row r="136" spans="1:12" ht="15">
      <c r="A136" s="190"/>
      <c r="B136" s="1"/>
      <c r="C136" s="2"/>
      <c r="D136" s="2"/>
      <c r="E136" s="2"/>
      <c r="F136" s="2"/>
      <c r="G136" s="2"/>
      <c r="H136" s="2"/>
      <c r="I136" s="2"/>
      <c r="J136" s="2"/>
      <c r="K136" s="2"/>
    </row>
    <row r="137" spans="1:12" ht="15">
      <c r="A137" s="190"/>
      <c r="B137" s="1"/>
      <c r="C137" s="2"/>
      <c r="D137" s="2"/>
      <c r="E137" s="2"/>
      <c r="F137" s="2"/>
      <c r="G137" s="2"/>
      <c r="H137" s="2"/>
      <c r="I137" s="2"/>
      <c r="J137" s="2"/>
      <c r="K137" s="2"/>
    </row>
    <row r="138" spans="1:12" ht="15">
      <c r="A138" s="190"/>
      <c r="B138" s="1"/>
      <c r="C138" s="2"/>
      <c r="D138" s="2"/>
      <c r="E138" s="2"/>
      <c r="F138" s="2"/>
      <c r="G138" s="2"/>
      <c r="H138" s="2"/>
      <c r="I138" s="2"/>
      <c r="J138" s="2"/>
      <c r="K138" s="2"/>
    </row>
    <row r="139" spans="1:12" ht="15">
      <c r="A139" s="190"/>
      <c r="B139" s="1"/>
      <c r="C139" s="2"/>
      <c r="D139" s="2"/>
      <c r="E139" s="2"/>
      <c r="F139" s="2"/>
      <c r="G139" s="2"/>
      <c r="H139" s="2"/>
      <c r="I139" s="2"/>
      <c r="J139" s="2"/>
      <c r="K139" s="2"/>
    </row>
    <row r="140" spans="1:12" ht="15">
      <c r="A140" s="190"/>
      <c r="B140" s="1"/>
      <c r="C140" s="2"/>
      <c r="D140" s="2"/>
      <c r="E140" s="2"/>
      <c r="F140" s="2"/>
      <c r="G140" s="2"/>
      <c r="H140" s="2"/>
      <c r="I140" s="2"/>
      <c r="J140" s="2"/>
      <c r="K140" s="2"/>
    </row>
    <row r="141" spans="1:12" ht="21" customHeight="1">
      <c r="A141" s="190"/>
      <c r="B141" s="1"/>
      <c r="C141" s="2"/>
      <c r="D141" s="2"/>
      <c r="E141" s="2"/>
      <c r="F141" s="2"/>
      <c r="G141" s="2"/>
      <c r="H141" s="2"/>
      <c r="I141" s="2"/>
      <c r="J141" s="2"/>
      <c r="K141" s="2"/>
    </row>
    <row r="142" spans="1:12">
      <c r="A142" s="190"/>
      <c r="B142" s="190"/>
      <c r="C142" s="207"/>
      <c r="D142" s="207"/>
      <c r="E142" s="208"/>
      <c r="F142" s="208"/>
      <c r="G142" s="208"/>
      <c r="H142" s="208"/>
      <c r="I142" s="208"/>
      <c r="J142" s="208"/>
      <c r="K142" s="208"/>
    </row>
    <row r="143" spans="1:12" ht="18.75">
      <c r="A143" s="190"/>
      <c r="B143" s="523" t="s">
        <v>1071</v>
      </c>
      <c r="C143" s="523"/>
      <c r="D143" s="523"/>
      <c r="E143" s="523"/>
      <c r="F143" s="523"/>
      <c r="G143" s="523"/>
      <c r="H143" s="523"/>
      <c r="I143" s="523"/>
      <c r="J143" s="523"/>
      <c r="K143" s="523"/>
    </row>
    <row r="144" spans="1:12" ht="15">
      <c r="A144" s="190"/>
      <c r="B144" s="80"/>
      <c r="C144" s="3"/>
      <c r="D144" s="2"/>
      <c r="E144" s="2"/>
      <c r="F144" s="2"/>
      <c r="G144" s="2"/>
      <c r="H144" s="2"/>
      <c r="I144" s="2"/>
      <c r="J144" s="2"/>
      <c r="K144" s="2"/>
    </row>
    <row r="145" spans="1:12" ht="12.75" customHeight="1">
      <c r="A145" s="190"/>
      <c r="B145" s="529" t="s">
        <v>1408</v>
      </c>
      <c r="C145" s="529"/>
      <c r="D145" s="529"/>
      <c r="E145" s="529"/>
      <c r="F145" s="529"/>
      <c r="G145" s="529"/>
      <c r="H145" s="529"/>
      <c r="I145" s="529"/>
      <c r="J145" s="529"/>
      <c r="K145" s="529"/>
    </row>
    <row r="146" spans="1:12" ht="18.75" customHeight="1">
      <c r="A146" s="190"/>
      <c r="B146" s="529"/>
      <c r="C146" s="529"/>
      <c r="D146" s="529"/>
      <c r="E146" s="529"/>
      <c r="F146" s="529"/>
      <c r="G146" s="529"/>
      <c r="H146" s="529"/>
      <c r="I146" s="529"/>
      <c r="J146" s="529"/>
      <c r="K146" s="529"/>
    </row>
    <row r="147" spans="1:12" ht="7.5" customHeight="1">
      <c r="A147" s="190"/>
      <c r="B147" s="26"/>
      <c r="C147" s="33"/>
      <c r="D147" s="33"/>
      <c r="E147" s="34"/>
      <c r="F147" s="2"/>
      <c r="G147" s="2"/>
      <c r="H147" s="2"/>
      <c r="I147" s="2"/>
      <c r="J147" s="2"/>
      <c r="K147" s="2"/>
    </row>
    <row r="148" spans="1:12" ht="15">
      <c r="A148" s="190"/>
      <c r="B148" s="27"/>
      <c r="C148" s="80"/>
      <c r="D148" s="81"/>
      <c r="E148" s="80" t="s">
        <v>312</v>
      </c>
      <c r="F148" s="1"/>
      <c r="G148" s="1"/>
      <c r="H148" s="1"/>
      <c r="I148" s="1"/>
      <c r="J148" s="1"/>
      <c r="K148" s="1"/>
    </row>
    <row r="149" spans="1:12" ht="15">
      <c r="A149" s="190"/>
      <c r="B149" s="81"/>
      <c r="C149" s="80" t="s">
        <v>23</v>
      </c>
      <c r="D149" s="104" t="s">
        <v>253</v>
      </c>
      <c r="E149" s="81" t="s">
        <v>1045</v>
      </c>
      <c r="F149" s="81" t="s">
        <v>312</v>
      </c>
      <c r="G149" s="81" t="s">
        <v>313</v>
      </c>
      <c r="H149" s="81" t="s">
        <v>329</v>
      </c>
      <c r="I149" s="81" t="s">
        <v>332</v>
      </c>
      <c r="J149" s="81" t="s">
        <v>333</v>
      </c>
      <c r="K149" s="81" t="s">
        <v>1224</v>
      </c>
    </row>
    <row r="150" spans="1:12" ht="15.75" thickBot="1">
      <c r="A150" s="190"/>
      <c r="B150" s="209"/>
      <c r="C150" s="83" t="s">
        <v>1</v>
      </c>
      <c r="D150" s="83" t="s">
        <v>1</v>
      </c>
      <c r="E150" s="83" t="s">
        <v>987</v>
      </c>
      <c r="F150" s="83" t="s">
        <v>24</v>
      </c>
      <c r="G150" s="83" t="s">
        <v>1045</v>
      </c>
      <c r="H150" s="83" t="s">
        <v>24</v>
      </c>
      <c r="I150" s="83" t="s">
        <v>24</v>
      </c>
      <c r="J150" s="83" t="s">
        <v>24</v>
      </c>
      <c r="K150" s="83" t="s">
        <v>24</v>
      </c>
    </row>
    <row r="151" spans="1:12" ht="15">
      <c r="A151" s="190"/>
      <c r="B151" s="79"/>
      <c r="C151" s="210"/>
      <c r="D151" s="2"/>
      <c r="E151" s="2"/>
      <c r="F151" s="2"/>
      <c r="G151" s="2"/>
      <c r="H151" s="2"/>
      <c r="I151" s="2"/>
      <c r="J151" s="2"/>
      <c r="K151" s="2"/>
    </row>
    <row r="152" spans="1:12" ht="15">
      <c r="A152" s="190"/>
      <c r="B152" s="198" t="s">
        <v>1046</v>
      </c>
      <c r="C152" s="2"/>
      <c r="D152" s="2"/>
      <c r="E152" s="2"/>
      <c r="F152" s="2"/>
      <c r="G152" s="2"/>
      <c r="H152" s="2"/>
      <c r="I152" s="2"/>
      <c r="J152" s="2"/>
      <c r="K152" s="2"/>
    </row>
    <row r="153" spans="1:12" ht="20.100000000000001" customHeight="1">
      <c r="A153" s="190"/>
      <c r="B153" s="192" t="s">
        <v>1048</v>
      </c>
      <c r="C153" s="2">
        <f>SUM('Budget Detail FY 2013-18'!N372:N375)</f>
        <v>535347</v>
      </c>
      <c r="D153" s="2">
        <f>SUM('Budget Detail FY 2013-18'!O372:O375)</f>
        <v>560028</v>
      </c>
      <c r="E153" s="2">
        <f>SUM('Budget Detail FY 2013-18'!P372:P375)</f>
        <v>454197</v>
      </c>
      <c r="F153" s="2">
        <f>SUM('Budget Detail FY 2013-18'!Q372:Q375)</f>
        <v>522286</v>
      </c>
      <c r="G153" s="2">
        <f>SUM('Budget Detail FY 2013-18'!R372:R375)</f>
        <v>942000</v>
      </c>
      <c r="H153" s="2">
        <f>SUM('Budget Detail FY 2013-18'!S372:S375)</f>
        <v>455000</v>
      </c>
      <c r="I153" s="2">
        <f>SUM('Budget Detail FY 2013-18'!T372:T375)</f>
        <v>455000</v>
      </c>
      <c r="J153" s="2">
        <f>SUM('Budget Detail FY 2013-18'!U372:U375)</f>
        <v>460000</v>
      </c>
      <c r="K153" s="2">
        <f>SUM('Budget Detail FY 2013-18'!V372:V375)</f>
        <v>460000</v>
      </c>
    </row>
    <row r="154" spans="1:12" ht="20.100000000000001" customHeight="1">
      <c r="A154" s="190"/>
      <c r="B154" s="5" t="s">
        <v>1052</v>
      </c>
      <c r="C154" s="2">
        <f>'Budget Detail FY 2013-18'!N376</f>
        <v>837</v>
      </c>
      <c r="D154" s="2">
        <f>'Budget Detail FY 2013-18'!O376</f>
        <v>570</v>
      </c>
      <c r="E154" s="2">
        <f>'Budget Detail FY 2013-18'!P376</f>
        <v>350</v>
      </c>
      <c r="F154" s="2">
        <f>'Budget Detail FY 2013-18'!Q376</f>
        <v>3200</v>
      </c>
      <c r="G154" s="2">
        <f>'Budget Detail FY 2013-18'!R376</f>
        <v>2000</v>
      </c>
      <c r="H154" s="2">
        <f>'Budget Detail FY 2013-18'!S376</f>
        <v>1000</v>
      </c>
      <c r="I154" s="2">
        <f>'Budget Detail FY 2013-18'!T376</f>
        <v>500</v>
      </c>
      <c r="J154" s="2">
        <f>'Budget Detail FY 2013-18'!U376</f>
        <v>500</v>
      </c>
      <c r="K154" s="2">
        <f>'Budget Detail FY 2013-18'!V376</f>
        <v>500</v>
      </c>
    </row>
    <row r="155" spans="1:12" ht="20.100000000000001" customHeight="1">
      <c r="A155" s="190"/>
      <c r="B155" s="5" t="s">
        <v>1053</v>
      </c>
      <c r="C155" s="2">
        <f>SUM('Budget Detail FY 2013-18'!N377:N378)</f>
        <v>151000</v>
      </c>
      <c r="D155" s="2">
        <f>SUM('Budget Detail FY 2013-18'!O377:O378)</f>
        <v>0</v>
      </c>
      <c r="E155" s="2">
        <f>SUM('Budget Detail FY 2013-18'!P377:P378)</f>
        <v>0</v>
      </c>
      <c r="F155" s="2">
        <f>SUM('Budget Detail FY 2013-18'!Q377:Q378)</f>
        <v>257</v>
      </c>
      <c r="G155" s="2">
        <f>SUM('Budget Detail FY 2013-18'!R377:R378)</f>
        <v>0</v>
      </c>
      <c r="H155" s="2">
        <f>SUM('Budget Detail FY 2013-18'!S377:S378)</f>
        <v>0</v>
      </c>
      <c r="I155" s="2">
        <f>SUM('Budget Detail FY 2013-18'!T377:T378)</f>
        <v>0</v>
      </c>
      <c r="J155" s="2">
        <f>SUM('Budget Detail FY 2013-18'!U377:U378)</f>
        <v>0</v>
      </c>
      <c r="K155" s="2">
        <f>SUM('Budget Detail FY 2013-18'!V377:V378)</f>
        <v>0</v>
      </c>
    </row>
    <row r="156" spans="1:12" ht="20.100000000000001" customHeight="1">
      <c r="A156" s="190"/>
      <c r="B156" s="5" t="s">
        <v>1054</v>
      </c>
      <c r="C156" s="2">
        <f>SUM('Budget Detail FY 2013-18'!N379)</f>
        <v>85</v>
      </c>
      <c r="D156" s="2">
        <f>SUM('Budget Detail FY 2013-18'!O379)</f>
        <v>0</v>
      </c>
      <c r="E156" s="2">
        <f>SUM('Budget Detail FY 2013-18'!P379)</f>
        <v>0</v>
      </c>
      <c r="F156" s="2">
        <f>SUM('Budget Detail FY 2013-18'!Q379)</f>
        <v>0</v>
      </c>
      <c r="G156" s="2">
        <f>SUM('Budget Detail FY 2013-18'!R379)</f>
        <v>0</v>
      </c>
      <c r="H156" s="2">
        <f>SUM('Budget Detail FY 2013-18'!S379)</f>
        <v>0</v>
      </c>
      <c r="I156" s="2">
        <f>SUM('Budget Detail FY 2013-18'!T379)</f>
        <v>0</v>
      </c>
      <c r="J156" s="2">
        <f>SUM('Budget Detail FY 2013-18'!U379)</f>
        <v>0</v>
      </c>
      <c r="K156" s="2">
        <f>SUM('Budget Detail FY 2013-18'!V379)</f>
        <v>0</v>
      </c>
    </row>
    <row r="157" spans="1:12" ht="20.100000000000001" customHeight="1" thickBot="1">
      <c r="A157" s="190"/>
      <c r="B157" s="193" t="s">
        <v>1056</v>
      </c>
      <c r="C157" s="188">
        <f t="shared" ref="C157:J157" si="24">SUM(C153:C156)</f>
        <v>687269</v>
      </c>
      <c r="D157" s="188">
        <f t="shared" si="24"/>
        <v>560598</v>
      </c>
      <c r="E157" s="188">
        <f t="shared" si="24"/>
        <v>454547</v>
      </c>
      <c r="F157" s="188">
        <f t="shared" si="24"/>
        <v>525743</v>
      </c>
      <c r="G157" s="188">
        <f>SUM(G153:G156)</f>
        <v>944000</v>
      </c>
      <c r="H157" s="188">
        <f t="shared" si="24"/>
        <v>456000</v>
      </c>
      <c r="I157" s="188">
        <f t="shared" si="24"/>
        <v>455500</v>
      </c>
      <c r="J157" s="188">
        <f t="shared" si="24"/>
        <v>460500</v>
      </c>
      <c r="K157" s="188">
        <f>SUM(K153:K156)</f>
        <v>460500</v>
      </c>
    </row>
    <row r="158" spans="1:12" s="152" customFormat="1" ht="15" hidden="1">
      <c r="A158" s="194"/>
      <c r="B158" s="195"/>
      <c r="C158" s="163">
        <f>'Budget Detail FY 2013-18'!N381</f>
        <v>687269</v>
      </c>
      <c r="D158" s="163">
        <f>'Budget Detail FY 2013-18'!O381</f>
        <v>560598</v>
      </c>
      <c r="E158" s="163">
        <f>'Budget Detail FY 2013-18'!P381</f>
        <v>454547</v>
      </c>
      <c r="F158" s="163">
        <f>'Budget Detail FY 2013-18'!Q381</f>
        <v>525743</v>
      </c>
      <c r="G158" s="163">
        <f>'Budget Detail FY 2013-18'!R381</f>
        <v>944000</v>
      </c>
      <c r="H158" s="163">
        <f>'Budget Detail FY 2013-18'!S381</f>
        <v>456000</v>
      </c>
      <c r="I158" s="163">
        <f>'Budget Detail FY 2013-18'!T381</f>
        <v>455500</v>
      </c>
      <c r="J158" s="163">
        <f>'Budget Detail FY 2013-18'!U381</f>
        <v>460500</v>
      </c>
      <c r="K158" s="163">
        <f>'Budget Detail FY 2013-18'!V381</f>
        <v>460500</v>
      </c>
      <c r="L158" s="166" t="s">
        <v>1462</v>
      </c>
    </row>
    <row r="159" spans="1:12" s="158" customFormat="1" ht="14.25" hidden="1">
      <c r="A159" s="196"/>
      <c r="B159" s="197"/>
      <c r="C159" s="164">
        <f>C157-C158</f>
        <v>0</v>
      </c>
      <c r="D159" s="164">
        <f t="shared" ref="D159:K159" si="25">D157-D158</f>
        <v>0</v>
      </c>
      <c r="E159" s="164">
        <f t="shared" si="25"/>
        <v>0</v>
      </c>
      <c r="F159" s="164">
        <f t="shared" si="25"/>
        <v>0</v>
      </c>
      <c r="G159" s="164">
        <f t="shared" si="25"/>
        <v>0</v>
      </c>
      <c r="H159" s="164">
        <f t="shared" si="25"/>
        <v>0</v>
      </c>
      <c r="I159" s="164">
        <f t="shared" si="25"/>
        <v>0</v>
      </c>
      <c r="J159" s="164">
        <f t="shared" si="25"/>
        <v>0</v>
      </c>
      <c r="K159" s="164">
        <f t="shared" si="25"/>
        <v>0</v>
      </c>
      <c r="L159" s="167" t="s">
        <v>1463</v>
      </c>
    </row>
    <row r="160" spans="1:12" ht="7.5" customHeight="1">
      <c r="A160" s="190"/>
      <c r="B160" s="1"/>
      <c r="C160" s="2"/>
      <c r="D160" s="2"/>
      <c r="E160" s="2"/>
      <c r="F160" s="2"/>
      <c r="G160" s="2"/>
      <c r="H160" s="2"/>
      <c r="I160" s="2"/>
      <c r="J160" s="2"/>
      <c r="K160" s="2"/>
    </row>
    <row r="161" spans="1:12" ht="15">
      <c r="A161" s="190"/>
      <c r="B161" s="198" t="s">
        <v>761</v>
      </c>
      <c r="C161" s="2"/>
      <c r="D161" s="2"/>
      <c r="E161" s="2"/>
      <c r="F161" s="2"/>
      <c r="G161" s="2"/>
      <c r="H161" s="2"/>
      <c r="I161" s="2"/>
      <c r="J161" s="2"/>
      <c r="K161" s="2"/>
    </row>
    <row r="162" spans="1:12" ht="20.100000000000001" customHeight="1">
      <c r="A162" s="190"/>
      <c r="B162" s="199" t="s">
        <v>1059</v>
      </c>
      <c r="C162" s="2">
        <f>SUM('Budget Detail FY 2013-18'!N383:N385)</f>
        <v>33516</v>
      </c>
      <c r="D162" s="2">
        <f>SUM('Budget Detail FY 2013-18'!O383:O385)</f>
        <v>0</v>
      </c>
      <c r="E162" s="2">
        <f>SUM('Budget Detail FY 2013-18'!P383:P385)</f>
        <v>0</v>
      </c>
      <c r="F162" s="2">
        <f>SUM('Budget Detail FY 2013-18'!Q383:Q385)</f>
        <v>7500</v>
      </c>
      <c r="G162" s="2">
        <f>SUM('Budget Detail FY 2013-18'!R383:R385)</f>
        <v>23500</v>
      </c>
      <c r="H162" s="2">
        <f>SUM('Budget Detail FY 2013-18'!S383:S385)</f>
        <v>7500</v>
      </c>
      <c r="I162" s="2">
        <f>SUM('Budget Detail FY 2013-18'!T383:T385)</f>
        <v>7500</v>
      </c>
      <c r="J162" s="2">
        <f>SUM('Budget Detail FY 2013-18'!U383:U385)</f>
        <v>7500</v>
      </c>
      <c r="K162" s="2">
        <f>SUM('Budget Detail FY 2013-18'!V383:V385)</f>
        <v>7500</v>
      </c>
    </row>
    <row r="163" spans="1:12" ht="20.100000000000001" customHeight="1">
      <c r="A163" s="190"/>
      <c r="B163" s="199" t="s">
        <v>1060</v>
      </c>
      <c r="C163" s="2">
        <f>SUM('Budget Detail FY 2013-18'!N386:N391)</f>
        <v>227168</v>
      </c>
      <c r="D163" s="2">
        <f>SUM('Budget Detail FY 2013-18'!O386:O391)</f>
        <v>200355</v>
      </c>
      <c r="E163" s="2">
        <f>SUM('Budget Detail FY 2013-18'!P386:P391)</f>
        <v>341960</v>
      </c>
      <c r="F163" s="2">
        <f>SUM('Budget Detail FY 2013-18'!Q386:Q391)</f>
        <v>200860</v>
      </c>
      <c r="G163" s="2">
        <f>SUM('Budget Detail FY 2013-18'!R386:R391)</f>
        <v>219556</v>
      </c>
      <c r="H163" s="2">
        <f>SUM('Budget Detail FY 2013-18'!S386:S391)</f>
        <v>228712</v>
      </c>
      <c r="I163" s="2">
        <f>SUM('Budget Detail FY 2013-18'!T386:T391)</f>
        <v>238467</v>
      </c>
      <c r="J163" s="2">
        <f>SUM('Budget Detail FY 2013-18'!U386:U391)</f>
        <v>248869</v>
      </c>
      <c r="K163" s="2">
        <f>SUM('Budget Detail FY 2013-18'!V386:V391)</f>
        <v>259962</v>
      </c>
    </row>
    <row r="164" spans="1:12" ht="20.100000000000001" customHeight="1">
      <c r="A164" s="190"/>
      <c r="B164" s="199" t="s">
        <v>1061</v>
      </c>
      <c r="C164" s="2">
        <f>SUM('Budget Detail FY 2013-18'!N392:N399)</f>
        <v>95806</v>
      </c>
      <c r="D164" s="2">
        <f>SUM('Budget Detail FY 2013-18'!O392:O399)</f>
        <v>75786</v>
      </c>
      <c r="E164" s="2">
        <f>SUM('Budget Detail FY 2013-18'!P392:P399)</f>
        <v>231900</v>
      </c>
      <c r="F164" s="2">
        <f>SUM('Budget Detail FY 2013-18'!Q392:Q399)</f>
        <v>186652</v>
      </c>
      <c r="G164" s="2">
        <f>SUM('Budget Detail FY 2013-18'!R392:R399)</f>
        <v>1151400</v>
      </c>
      <c r="H164" s="2">
        <f>SUM('Budget Detail FY 2013-18'!S392:S399)</f>
        <v>371900</v>
      </c>
      <c r="I164" s="2">
        <f>SUM('Budget Detail FY 2013-18'!T392:T399)</f>
        <v>406900</v>
      </c>
      <c r="J164" s="2">
        <f>SUM('Budget Detail FY 2013-18'!U392:U399)</f>
        <v>426900</v>
      </c>
      <c r="K164" s="2">
        <f>SUM('Budget Detail FY 2013-18'!V392:V399)</f>
        <v>225922</v>
      </c>
    </row>
    <row r="165" spans="1:12" ht="20.100000000000001" customHeight="1">
      <c r="A165" s="190"/>
      <c r="B165" s="5" t="s">
        <v>1063</v>
      </c>
      <c r="C165" s="2">
        <f>SUM('Budget Detail FY 2013-18'!N400)</f>
        <v>96000</v>
      </c>
      <c r="D165" s="2">
        <f>SUM('Budget Detail FY 2013-18'!O400)</f>
        <v>0</v>
      </c>
      <c r="E165" s="2">
        <f>SUM('Budget Detail FY 2013-18'!P400)</f>
        <v>0</v>
      </c>
      <c r="F165" s="2">
        <f>SUM('Budget Detail FY 2013-18'!Q400)</f>
        <v>0</v>
      </c>
      <c r="G165" s="2">
        <f>SUM('Budget Detail FY 2013-18'!R400)</f>
        <v>0</v>
      </c>
      <c r="H165" s="2">
        <f>SUM('Budget Detail FY 2013-18'!S400)</f>
        <v>0</v>
      </c>
      <c r="I165" s="2">
        <f>SUM('Budget Detail FY 2013-18'!T400)</f>
        <v>0</v>
      </c>
      <c r="J165" s="2">
        <f>SUM('Budget Detail FY 2013-18'!U400)</f>
        <v>0</v>
      </c>
      <c r="K165" s="2">
        <f>SUM('Budget Detail FY 2013-18'!V400)</f>
        <v>0</v>
      </c>
    </row>
    <row r="166" spans="1:12" ht="20.100000000000001" customHeight="1" thickBot="1">
      <c r="A166" s="190"/>
      <c r="B166" s="193" t="s">
        <v>1064</v>
      </c>
      <c r="C166" s="188">
        <f>SUM(C162:C165)</f>
        <v>452490</v>
      </c>
      <c r="D166" s="188">
        <f t="shared" ref="D166:K166" si="26">SUM(D162:D165)</f>
        <v>276141</v>
      </c>
      <c r="E166" s="188">
        <f t="shared" si="26"/>
        <v>573860</v>
      </c>
      <c r="F166" s="188">
        <f t="shared" si="26"/>
        <v>395012</v>
      </c>
      <c r="G166" s="188">
        <f t="shared" si="26"/>
        <v>1394456</v>
      </c>
      <c r="H166" s="188">
        <f t="shared" si="26"/>
        <v>608112</v>
      </c>
      <c r="I166" s="188">
        <f t="shared" si="26"/>
        <v>652867</v>
      </c>
      <c r="J166" s="188">
        <f t="shared" si="26"/>
        <v>683269</v>
      </c>
      <c r="K166" s="188">
        <f t="shared" si="26"/>
        <v>493384</v>
      </c>
    </row>
    <row r="167" spans="1:12" s="152" customFormat="1" ht="15" hidden="1">
      <c r="A167" s="194"/>
      <c r="B167" s="195"/>
      <c r="C167" s="163">
        <f>'Budget Detail FY 2013-18'!N402</f>
        <v>452490</v>
      </c>
      <c r="D167" s="163">
        <f>'Budget Detail FY 2013-18'!O402</f>
        <v>276141</v>
      </c>
      <c r="E167" s="163">
        <f>'Budget Detail FY 2013-18'!P402</f>
        <v>573860</v>
      </c>
      <c r="F167" s="163">
        <f>'Budget Detail FY 2013-18'!Q402</f>
        <v>395012</v>
      </c>
      <c r="G167" s="163">
        <f>'Budget Detail FY 2013-18'!R402</f>
        <v>1394456</v>
      </c>
      <c r="H167" s="163">
        <f>'Budget Detail FY 2013-18'!S402</f>
        <v>608112</v>
      </c>
      <c r="I167" s="163">
        <f>'Budget Detail FY 2013-18'!T402</f>
        <v>652867</v>
      </c>
      <c r="J167" s="163">
        <f>'Budget Detail FY 2013-18'!U402</f>
        <v>683269</v>
      </c>
      <c r="K167" s="163">
        <f>'Budget Detail FY 2013-18'!V402</f>
        <v>493384</v>
      </c>
      <c r="L167" s="166" t="s">
        <v>1462</v>
      </c>
    </row>
    <row r="168" spans="1:12" s="158" customFormat="1" ht="14.25" hidden="1">
      <c r="A168" s="196"/>
      <c r="B168" s="197"/>
      <c r="C168" s="164">
        <f>C166-C167</f>
        <v>0</v>
      </c>
      <c r="D168" s="164">
        <f t="shared" ref="D168:K168" si="27">D166-D167</f>
        <v>0</v>
      </c>
      <c r="E168" s="164">
        <f t="shared" si="27"/>
        <v>0</v>
      </c>
      <c r="F168" s="164">
        <f t="shared" si="27"/>
        <v>0</v>
      </c>
      <c r="G168" s="164">
        <f t="shared" si="27"/>
        <v>0</v>
      </c>
      <c r="H168" s="164">
        <f t="shared" si="27"/>
        <v>0</v>
      </c>
      <c r="I168" s="164">
        <f t="shared" si="27"/>
        <v>0</v>
      </c>
      <c r="J168" s="164">
        <f t="shared" si="27"/>
        <v>0</v>
      </c>
      <c r="K168" s="164">
        <f t="shared" si="27"/>
        <v>0</v>
      </c>
      <c r="L168" s="167" t="s">
        <v>1463</v>
      </c>
    </row>
    <row r="169" spans="1:12" ht="7.5" customHeight="1">
      <c r="A169" s="190"/>
      <c r="B169" s="200"/>
      <c r="C169" s="3"/>
      <c r="D169" s="2"/>
      <c r="E169" s="2"/>
      <c r="F169" s="2"/>
      <c r="G169" s="2"/>
      <c r="H169" s="2"/>
      <c r="I169" s="2"/>
      <c r="J169" s="2"/>
      <c r="K169" s="2"/>
    </row>
    <row r="170" spans="1:12" ht="20.100000000000001" customHeight="1">
      <c r="A170" s="190"/>
      <c r="B170" s="189" t="s">
        <v>1065</v>
      </c>
      <c r="C170" s="3">
        <f t="shared" ref="C170:K170" si="28">+C157-C166</f>
        <v>234779</v>
      </c>
      <c r="D170" s="3">
        <f t="shared" si="28"/>
        <v>284457</v>
      </c>
      <c r="E170" s="3">
        <f t="shared" si="28"/>
        <v>-119313</v>
      </c>
      <c r="F170" s="3">
        <f t="shared" si="28"/>
        <v>130731</v>
      </c>
      <c r="G170" s="3">
        <f t="shared" si="28"/>
        <v>-450456</v>
      </c>
      <c r="H170" s="3">
        <f t="shared" si="28"/>
        <v>-152112</v>
      </c>
      <c r="I170" s="3">
        <f t="shared" si="28"/>
        <v>-197367</v>
      </c>
      <c r="J170" s="3">
        <f t="shared" si="28"/>
        <v>-222769</v>
      </c>
      <c r="K170" s="3">
        <f t="shared" si="28"/>
        <v>-32884</v>
      </c>
    </row>
    <row r="171" spans="1:12" s="152" customFormat="1" ht="15" hidden="1">
      <c r="A171" s="194"/>
      <c r="B171" s="201"/>
      <c r="C171" s="163">
        <f>'Budget Detail FY 2013-18'!N404</f>
        <v>234779</v>
      </c>
      <c r="D171" s="163">
        <f>'Budget Detail FY 2013-18'!O404</f>
        <v>284457</v>
      </c>
      <c r="E171" s="163">
        <f>'Budget Detail FY 2013-18'!P404</f>
        <v>-119313</v>
      </c>
      <c r="F171" s="163">
        <f>'Budget Detail FY 2013-18'!Q404</f>
        <v>130731</v>
      </c>
      <c r="G171" s="163">
        <f>'Budget Detail FY 2013-18'!R404</f>
        <v>-450456</v>
      </c>
      <c r="H171" s="163">
        <f>'Budget Detail FY 2013-18'!S404</f>
        <v>-152112</v>
      </c>
      <c r="I171" s="163">
        <f>'Budget Detail FY 2013-18'!T404</f>
        <v>-197367</v>
      </c>
      <c r="J171" s="163">
        <f>'Budget Detail FY 2013-18'!U404</f>
        <v>-222769</v>
      </c>
      <c r="K171" s="163">
        <f>'Budget Detail FY 2013-18'!V404</f>
        <v>-32884</v>
      </c>
      <c r="L171" s="166" t="s">
        <v>1462</v>
      </c>
    </row>
    <row r="172" spans="1:12" s="158" customFormat="1" ht="15" hidden="1">
      <c r="A172" s="196"/>
      <c r="B172" s="202"/>
      <c r="C172" s="211">
        <f>C170-C171</f>
        <v>0</v>
      </c>
      <c r="D172" s="211">
        <f t="shared" ref="D172:K172" si="29">D170-D171</f>
        <v>0</v>
      </c>
      <c r="E172" s="211">
        <f t="shared" si="29"/>
        <v>0</v>
      </c>
      <c r="F172" s="211">
        <f t="shared" si="29"/>
        <v>0</v>
      </c>
      <c r="G172" s="211">
        <f t="shared" si="29"/>
        <v>0</v>
      </c>
      <c r="H172" s="211">
        <f t="shared" si="29"/>
        <v>0</v>
      </c>
      <c r="I172" s="211">
        <f t="shared" si="29"/>
        <v>0</v>
      </c>
      <c r="J172" s="211">
        <f t="shared" si="29"/>
        <v>0</v>
      </c>
      <c r="K172" s="211">
        <f t="shared" si="29"/>
        <v>0</v>
      </c>
      <c r="L172" s="167" t="s">
        <v>1463</v>
      </c>
    </row>
    <row r="173" spans="1:12" ht="7.5" customHeight="1">
      <c r="A173" s="190"/>
      <c r="B173" s="204"/>
      <c r="C173" s="3"/>
      <c r="D173" s="2"/>
      <c r="E173" s="2"/>
      <c r="F173" s="2"/>
      <c r="G173" s="2"/>
      <c r="H173" s="2"/>
      <c r="I173" s="2"/>
      <c r="J173" s="2"/>
      <c r="K173" s="2"/>
    </row>
    <row r="174" spans="1:12" ht="20.100000000000001" customHeight="1" thickBot="1">
      <c r="A174" s="190"/>
      <c r="B174" s="191" t="s">
        <v>1066</v>
      </c>
      <c r="C174" s="99">
        <v>640399</v>
      </c>
      <c r="D174" s="99">
        <v>924857</v>
      </c>
      <c r="E174" s="99">
        <v>465255</v>
      </c>
      <c r="F174" s="99">
        <f>D174+F170</f>
        <v>1055588</v>
      </c>
      <c r="G174" s="99">
        <f>F174+G170</f>
        <v>605132</v>
      </c>
      <c r="H174" s="99">
        <f>G174+H170</f>
        <v>453020</v>
      </c>
      <c r="I174" s="99">
        <f>H174+I170</f>
        <v>255653</v>
      </c>
      <c r="J174" s="99">
        <f>I174+J170</f>
        <v>32884</v>
      </c>
      <c r="K174" s="99">
        <f>J174+K170</f>
        <v>0</v>
      </c>
    </row>
    <row r="175" spans="1:12" s="152" customFormat="1" ht="15.75" hidden="1" thickTop="1">
      <c r="A175" s="194"/>
      <c r="B175" s="195"/>
      <c r="C175" s="163">
        <f>'Budget Detail FY 2013-18'!N406</f>
        <v>640399</v>
      </c>
      <c r="D175" s="163">
        <f>'Budget Detail FY 2013-18'!O406</f>
        <v>924857</v>
      </c>
      <c r="E175" s="163">
        <f>'Budget Detail FY 2013-18'!P406</f>
        <v>465255</v>
      </c>
      <c r="F175" s="163">
        <f>'Budget Detail FY 2013-18'!Q406</f>
        <v>1055588</v>
      </c>
      <c r="G175" s="163">
        <f>'Budget Detail FY 2013-18'!R406</f>
        <v>605132</v>
      </c>
      <c r="H175" s="163">
        <f>'Budget Detail FY 2013-18'!S406</f>
        <v>453020</v>
      </c>
      <c r="I175" s="163">
        <f>'Budget Detail FY 2013-18'!T406</f>
        <v>255653</v>
      </c>
      <c r="J175" s="163">
        <f>'Budget Detail FY 2013-18'!U406</f>
        <v>32884</v>
      </c>
      <c r="K175" s="163">
        <f>'Budget Detail FY 2013-18'!V406</f>
        <v>0</v>
      </c>
      <c r="L175" s="166" t="s">
        <v>1462</v>
      </c>
    </row>
    <row r="176" spans="1:12" s="158" customFormat="1" ht="14.25" hidden="1">
      <c r="A176" s="196"/>
      <c r="B176" s="197"/>
      <c r="C176" s="164">
        <f>C174-C175</f>
        <v>0</v>
      </c>
      <c r="D176" s="164">
        <f t="shared" ref="D176:K176" si="30">D174-D175</f>
        <v>0</v>
      </c>
      <c r="E176" s="164">
        <f t="shared" si="30"/>
        <v>0</v>
      </c>
      <c r="F176" s="164">
        <f t="shared" si="30"/>
        <v>0</v>
      </c>
      <c r="G176" s="164">
        <f t="shared" si="30"/>
        <v>0</v>
      </c>
      <c r="H176" s="164">
        <f t="shared" si="30"/>
        <v>0</v>
      </c>
      <c r="I176" s="164">
        <f t="shared" si="30"/>
        <v>0</v>
      </c>
      <c r="J176" s="164">
        <f t="shared" si="30"/>
        <v>0</v>
      </c>
      <c r="K176" s="164">
        <f t="shared" si="30"/>
        <v>0</v>
      </c>
      <c r="L176" s="167" t="s">
        <v>1463</v>
      </c>
    </row>
    <row r="177" spans="1:11" ht="15.75" thickTop="1">
      <c r="A177" s="190"/>
      <c r="B177" s="205"/>
      <c r="C177" s="213"/>
      <c r="D177" s="213"/>
      <c r="E177" s="213"/>
      <c r="F177" s="213"/>
      <c r="G177" s="213"/>
      <c r="H177" s="213"/>
      <c r="I177" s="213"/>
      <c r="J177" s="213"/>
      <c r="K177" s="213"/>
    </row>
    <row r="178" spans="1:11" ht="15">
      <c r="A178" s="190"/>
      <c r="B178" s="1"/>
      <c r="C178" s="2"/>
      <c r="D178" s="2"/>
      <c r="E178" s="2"/>
      <c r="F178" s="2"/>
      <c r="G178" s="2"/>
      <c r="H178" s="2"/>
      <c r="I178" s="2"/>
      <c r="J178" s="2"/>
      <c r="K178" s="2"/>
    </row>
    <row r="179" spans="1:11" ht="15">
      <c r="A179" s="190"/>
      <c r="B179" s="1"/>
      <c r="C179" s="2"/>
      <c r="D179" s="2"/>
      <c r="E179" s="2"/>
      <c r="F179" s="2"/>
      <c r="G179" s="2"/>
      <c r="H179" s="2"/>
      <c r="I179" s="2"/>
      <c r="J179" s="2"/>
      <c r="K179" s="2"/>
    </row>
    <row r="180" spans="1:11" ht="15">
      <c r="A180" s="190"/>
      <c r="B180" s="1"/>
      <c r="C180" s="2"/>
      <c r="D180" s="2"/>
      <c r="E180" s="2"/>
      <c r="F180" s="2"/>
      <c r="G180" s="2"/>
      <c r="H180" s="2"/>
      <c r="I180" s="2"/>
      <c r="J180" s="2"/>
      <c r="K180" s="2"/>
    </row>
    <row r="181" spans="1:11" ht="15">
      <c r="A181" s="190"/>
      <c r="B181" s="1"/>
      <c r="C181" s="2"/>
      <c r="D181" s="2"/>
      <c r="E181" s="2"/>
      <c r="F181" s="2"/>
      <c r="G181" s="2"/>
      <c r="H181" s="2"/>
      <c r="I181" s="2"/>
      <c r="J181" s="2"/>
      <c r="K181" s="2"/>
    </row>
    <row r="182" spans="1:11" ht="15">
      <c r="A182" s="190"/>
      <c r="B182" s="1"/>
      <c r="C182" s="2"/>
      <c r="D182" s="2"/>
      <c r="E182" s="2"/>
      <c r="F182" s="2"/>
      <c r="G182" s="2"/>
      <c r="H182" s="2"/>
      <c r="I182" s="2"/>
      <c r="J182" s="2"/>
      <c r="K182" s="2"/>
    </row>
    <row r="183" spans="1:11" ht="15">
      <c r="A183" s="190"/>
      <c r="B183" s="1"/>
      <c r="C183" s="2"/>
      <c r="D183" s="2"/>
      <c r="E183" s="2"/>
      <c r="F183" s="2"/>
      <c r="G183" s="2"/>
      <c r="H183" s="2"/>
      <c r="I183" s="2"/>
      <c r="J183" s="2"/>
      <c r="K183" s="2"/>
    </row>
    <row r="184" spans="1:11" ht="15">
      <c r="A184" s="190"/>
      <c r="B184" s="1"/>
      <c r="C184" s="2"/>
      <c r="D184" s="2"/>
      <c r="E184" s="2"/>
      <c r="F184" s="2"/>
      <c r="G184" s="2"/>
      <c r="H184" s="2"/>
      <c r="I184" s="2"/>
      <c r="J184" s="2"/>
      <c r="K184" s="2"/>
    </row>
    <row r="185" spans="1:11" ht="15">
      <c r="A185" s="190"/>
      <c r="B185" s="1"/>
      <c r="C185" s="2"/>
      <c r="D185" s="2"/>
      <c r="E185" s="2"/>
      <c r="F185" s="2"/>
      <c r="G185" s="2"/>
      <c r="H185" s="2"/>
      <c r="I185" s="2"/>
      <c r="J185" s="2"/>
      <c r="K185" s="2"/>
    </row>
    <row r="186" spans="1:11" ht="15">
      <c r="A186" s="190"/>
      <c r="B186" s="1"/>
      <c r="C186" s="2"/>
      <c r="D186" s="2"/>
      <c r="E186" s="2"/>
      <c r="F186" s="2"/>
      <c r="G186" s="2"/>
      <c r="H186" s="2"/>
      <c r="I186" s="2"/>
      <c r="J186" s="2"/>
      <c r="K186" s="2"/>
    </row>
    <row r="187" spans="1:11" ht="15">
      <c r="A187" s="190"/>
      <c r="B187" s="1"/>
      <c r="C187" s="2"/>
      <c r="D187" s="2"/>
      <c r="E187" s="2"/>
      <c r="F187" s="2"/>
      <c r="G187" s="2"/>
      <c r="H187" s="2"/>
      <c r="I187" s="2"/>
      <c r="J187" s="2"/>
      <c r="K187" s="2"/>
    </row>
    <row r="188" spans="1:11" ht="15">
      <c r="A188" s="190"/>
      <c r="B188" s="1"/>
      <c r="C188" s="2"/>
      <c r="D188" s="2"/>
      <c r="E188" s="2"/>
      <c r="F188" s="2"/>
      <c r="G188" s="2"/>
      <c r="H188" s="2"/>
      <c r="I188" s="2"/>
      <c r="J188" s="2"/>
      <c r="K188" s="2"/>
    </row>
    <row r="189" spans="1:11">
      <c r="A189" s="190"/>
      <c r="B189" s="190"/>
      <c r="C189" s="207"/>
      <c r="D189" s="207"/>
      <c r="E189" s="208"/>
      <c r="F189" s="208"/>
      <c r="G189" s="208"/>
      <c r="H189" s="208"/>
      <c r="I189" s="208"/>
      <c r="J189" s="208"/>
      <c r="K189" s="208"/>
    </row>
    <row r="190" spans="1:11">
      <c r="A190" s="190"/>
      <c r="B190" s="190"/>
      <c r="C190" s="207"/>
      <c r="D190" s="207"/>
      <c r="E190" s="208"/>
      <c r="F190" s="208"/>
      <c r="G190" s="208"/>
      <c r="H190" s="208"/>
      <c r="I190" s="208"/>
      <c r="J190" s="208"/>
      <c r="K190" s="208"/>
    </row>
    <row r="191" spans="1:11" ht="18.75" customHeight="1">
      <c r="A191" s="190"/>
      <c r="B191" s="523" t="s">
        <v>1072</v>
      </c>
      <c r="C191" s="523"/>
      <c r="D191" s="523"/>
      <c r="E191" s="523"/>
      <c r="F191" s="523"/>
      <c r="G191" s="523"/>
      <c r="H191" s="523"/>
      <c r="I191" s="523"/>
      <c r="J191" s="523"/>
      <c r="K191" s="523"/>
    </row>
    <row r="192" spans="1:11" ht="15">
      <c r="A192" s="190"/>
      <c r="B192" s="80"/>
      <c r="C192" s="3"/>
      <c r="D192" s="2"/>
      <c r="E192" s="2"/>
      <c r="F192" s="2"/>
      <c r="G192" s="2"/>
      <c r="H192" s="2"/>
      <c r="I192" s="2"/>
      <c r="J192" s="2"/>
      <c r="K192" s="2"/>
    </row>
    <row r="193" spans="1:12" ht="15" customHeight="1">
      <c r="A193" s="190"/>
      <c r="B193" s="529" t="s">
        <v>1517</v>
      </c>
      <c r="C193" s="529"/>
      <c r="D193" s="529"/>
      <c r="E193" s="529"/>
      <c r="F193" s="529"/>
      <c r="G193" s="529"/>
      <c r="H193" s="529"/>
      <c r="I193" s="529"/>
      <c r="J193" s="529"/>
      <c r="K193" s="529"/>
    </row>
    <row r="194" spans="1:12" ht="15" customHeight="1">
      <c r="A194" s="190"/>
      <c r="B194" s="529"/>
      <c r="C194" s="529"/>
      <c r="D194" s="529"/>
      <c r="E194" s="529"/>
      <c r="F194" s="529"/>
      <c r="G194" s="529"/>
      <c r="H194" s="529"/>
      <c r="I194" s="529"/>
      <c r="J194" s="529"/>
      <c r="K194" s="529"/>
    </row>
    <row r="195" spans="1:12" ht="15">
      <c r="A195" s="190"/>
      <c r="B195" s="187"/>
      <c r="C195" s="31"/>
      <c r="D195" s="31"/>
      <c r="E195" s="31"/>
      <c r="F195" s="31"/>
      <c r="G195" s="31"/>
      <c r="H195" s="2"/>
      <c r="I195" s="2"/>
      <c r="J195" s="2"/>
      <c r="K195" s="2"/>
    </row>
    <row r="196" spans="1:12" ht="15">
      <c r="A196" s="190"/>
      <c r="B196" s="5"/>
      <c r="C196" s="80"/>
      <c r="D196" s="81"/>
      <c r="E196" s="80" t="s">
        <v>312</v>
      </c>
      <c r="F196" s="1"/>
      <c r="G196" s="1"/>
      <c r="H196" s="1"/>
      <c r="I196" s="1"/>
      <c r="J196" s="1"/>
      <c r="K196" s="1"/>
    </row>
    <row r="197" spans="1:12" ht="15">
      <c r="A197" s="190"/>
      <c r="B197" s="81"/>
      <c r="C197" s="80" t="s">
        <v>23</v>
      </c>
      <c r="D197" s="104" t="s">
        <v>253</v>
      </c>
      <c r="E197" s="81" t="s">
        <v>1045</v>
      </c>
      <c r="F197" s="81" t="s">
        <v>312</v>
      </c>
      <c r="G197" s="81" t="s">
        <v>313</v>
      </c>
      <c r="H197" s="81" t="s">
        <v>329</v>
      </c>
      <c r="I197" s="81" t="s">
        <v>332</v>
      </c>
      <c r="J197" s="81" t="s">
        <v>333</v>
      </c>
      <c r="K197" s="81" t="s">
        <v>1224</v>
      </c>
    </row>
    <row r="198" spans="1:12" ht="15.75" thickBot="1">
      <c r="A198" s="190"/>
      <c r="B198" s="209"/>
      <c r="C198" s="83" t="s">
        <v>1</v>
      </c>
      <c r="D198" s="83" t="s">
        <v>1</v>
      </c>
      <c r="E198" s="83" t="s">
        <v>987</v>
      </c>
      <c r="F198" s="83" t="s">
        <v>24</v>
      </c>
      <c r="G198" s="83" t="s">
        <v>1045</v>
      </c>
      <c r="H198" s="83" t="s">
        <v>24</v>
      </c>
      <c r="I198" s="83" t="s">
        <v>24</v>
      </c>
      <c r="J198" s="83" t="s">
        <v>24</v>
      </c>
      <c r="K198" s="83" t="s">
        <v>24</v>
      </c>
    </row>
    <row r="199" spans="1:12" ht="15">
      <c r="A199" s="190"/>
      <c r="B199" s="79"/>
      <c r="C199" s="210"/>
      <c r="D199" s="2"/>
      <c r="E199" s="2"/>
      <c r="F199" s="2"/>
      <c r="G199" s="2"/>
      <c r="H199" s="2"/>
      <c r="I199" s="2"/>
      <c r="J199" s="2"/>
      <c r="K199" s="2"/>
    </row>
    <row r="200" spans="1:12" ht="15">
      <c r="A200" s="190"/>
      <c r="B200" s="198" t="s">
        <v>1046</v>
      </c>
      <c r="C200" s="2"/>
      <c r="D200" s="2"/>
      <c r="E200" s="2"/>
      <c r="F200" s="2"/>
      <c r="G200" s="2"/>
      <c r="H200" s="2"/>
      <c r="I200" s="2"/>
      <c r="J200" s="2"/>
      <c r="K200" s="2"/>
    </row>
    <row r="201" spans="1:12" ht="20.100000000000001" customHeight="1">
      <c r="A201" s="190"/>
      <c r="B201" s="5" t="s">
        <v>1049</v>
      </c>
      <c r="C201" s="2">
        <f>SUM('Budget Detail FY 2013-18'!N410:N411)</f>
        <v>20700</v>
      </c>
      <c r="D201" s="2">
        <f>SUM('Budget Detail FY 2013-18'!O410:O411)</f>
        <v>8400</v>
      </c>
      <c r="E201" s="2">
        <f>SUM('Budget Detail FY 2013-18'!P410:P411)</f>
        <v>5250</v>
      </c>
      <c r="F201" s="2">
        <f>SUM('Budget Detail FY 2013-18'!Q410:Q411)</f>
        <v>9150</v>
      </c>
      <c r="G201" s="2">
        <f>SUM('Budget Detail FY 2013-18'!R410:R411)</f>
        <v>0</v>
      </c>
      <c r="H201" s="2">
        <f>SUM('Budget Detail FY 2013-18'!S410:S411)</f>
        <v>0</v>
      </c>
      <c r="I201" s="2">
        <f>SUM('Budget Detail FY 2013-18'!T410:T411)</f>
        <v>0</v>
      </c>
      <c r="J201" s="2">
        <f>SUM('Budget Detail FY 2013-18'!U410:U411)</f>
        <v>0</v>
      </c>
      <c r="K201" s="2">
        <f>SUM('Budget Detail FY 2013-18'!V410:V411)</f>
        <v>0</v>
      </c>
    </row>
    <row r="202" spans="1:12" ht="20.100000000000001" customHeight="1">
      <c r="A202" s="190"/>
      <c r="B202" s="5" t="s">
        <v>1055</v>
      </c>
      <c r="C202" s="2">
        <f>'Budget Detail FY 2013-18'!N412</f>
        <v>0</v>
      </c>
      <c r="D202" s="2">
        <f>'Budget Detail FY 2013-18'!O412</f>
        <v>0</v>
      </c>
      <c r="E202" s="2">
        <f>'Budget Detail FY 2013-18'!P412</f>
        <v>0</v>
      </c>
      <c r="F202" s="2">
        <f>'Budget Detail FY 2013-18'!Q412</f>
        <v>0</v>
      </c>
      <c r="G202" s="2">
        <f>'Budget Detail FY 2013-18'!R412</f>
        <v>573374</v>
      </c>
      <c r="H202" s="2">
        <f>'Budget Detail FY 2013-18'!S412</f>
        <v>0</v>
      </c>
      <c r="I202" s="2">
        <f>'Budget Detail FY 2013-18'!T412</f>
        <v>0</v>
      </c>
      <c r="J202" s="2">
        <f>'Budget Detail FY 2013-18'!U412</f>
        <v>0</v>
      </c>
      <c r="K202" s="2">
        <f>'Budget Detail FY 2013-18'!V412</f>
        <v>0</v>
      </c>
    </row>
    <row r="203" spans="1:12" ht="20.100000000000001" customHeight="1" thickBot="1">
      <c r="A203" s="190"/>
      <c r="B203" s="193" t="s">
        <v>1056</v>
      </c>
      <c r="C203" s="188">
        <f>SUM(C201:C202)</f>
        <v>20700</v>
      </c>
      <c r="D203" s="188">
        <f t="shared" ref="D203:K203" si="31">SUM(D201:D202)</f>
        <v>8400</v>
      </c>
      <c r="E203" s="188">
        <f t="shared" si="31"/>
        <v>5250</v>
      </c>
      <c r="F203" s="188">
        <f t="shared" si="31"/>
        <v>9150</v>
      </c>
      <c r="G203" s="188">
        <f t="shared" si="31"/>
        <v>573374</v>
      </c>
      <c r="H203" s="188">
        <f t="shared" si="31"/>
        <v>0</v>
      </c>
      <c r="I203" s="188">
        <f t="shared" si="31"/>
        <v>0</v>
      </c>
      <c r="J203" s="188">
        <f t="shared" si="31"/>
        <v>0</v>
      </c>
      <c r="K203" s="188">
        <f t="shared" si="31"/>
        <v>0</v>
      </c>
    </row>
    <row r="204" spans="1:12" s="152" customFormat="1" ht="15" hidden="1">
      <c r="A204" s="194"/>
      <c r="B204" s="195"/>
      <c r="C204" s="163">
        <f>'Budget Detail FY 2013-18'!N414</f>
        <v>20700</v>
      </c>
      <c r="D204" s="163">
        <f>'Budget Detail FY 2013-18'!O414</f>
        <v>8400</v>
      </c>
      <c r="E204" s="163">
        <f>'Budget Detail FY 2013-18'!P414</f>
        <v>5250</v>
      </c>
      <c r="F204" s="163">
        <f>'Budget Detail FY 2013-18'!Q414</f>
        <v>9150</v>
      </c>
      <c r="G204" s="163">
        <f>'Budget Detail FY 2013-18'!R414</f>
        <v>573374</v>
      </c>
      <c r="H204" s="163">
        <f>'Budget Detail FY 2013-18'!S414</f>
        <v>0</v>
      </c>
      <c r="I204" s="163">
        <f>'Budget Detail FY 2013-18'!T414</f>
        <v>0</v>
      </c>
      <c r="J204" s="163">
        <f>'Budget Detail FY 2013-18'!U414</f>
        <v>0</v>
      </c>
      <c r="K204" s="163">
        <f>'Budget Detail FY 2013-18'!V414</f>
        <v>0</v>
      </c>
      <c r="L204" s="166" t="s">
        <v>1462</v>
      </c>
    </row>
    <row r="205" spans="1:12" s="158" customFormat="1" ht="14.25" hidden="1">
      <c r="A205" s="196"/>
      <c r="B205" s="197"/>
      <c r="C205" s="164">
        <f>C203-C204</f>
        <v>0</v>
      </c>
      <c r="D205" s="164">
        <f t="shared" ref="D205:K205" si="32">D203-D204</f>
        <v>0</v>
      </c>
      <c r="E205" s="164">
        <f t="shared" si="32"/>
        <v>0</v>
      </c>
      <c r="F205" s="164">
        <f t="shared" si="32"/>
        <v>0</v>
      </c>
      <c r="G205" s="164">
        <f t="shared" si="32"/>
        <v>0</v>
      </c>
      <c r="H205" s="164">
        <f t="shared" si="32"/>
        <v>0</v>
      </c>
      <c r="I205" s="164">
        <f t="shared" si="32"/>
        <v>0</v>
      </c>
      <c r="J205" s="164">
        <f t="shared" si="32"/>
        <v>0</v>
      </c>
      <c r="K205" s="164">
        <f t="shared" si="32"/>
        <v>0</v>
      </c>
      <c r="L205" s="167" t="s">
        <v>1463</v>
      </c>
    </row>
    <row r="206" spans="1:12" ht="15">
      <c r="A206" s="190"/>
      <c r="B206" s="1"/>
      <c r="C206" s="2"/>
      <c r="D206" s="2"/>
      <c r="E206" s="2"/>
      <c r="F206" s="2"/>
      <c r="G206" s="2"/>
      <c r="H206" s="2"/>
      <c r="I206" s="2"/>
      <c r="J206" s="2"/>
      <c r="K206" s="2"/>
    </row>
    <row r="207" spans="1:12" ht="15">
      <c r="A207" s="190"/>
      <c r="B207" s="198" t="s">
        <v>761</v>
      </c>
      <c r="C207" s="2"/>
      <c r="D207" s="2"/>
      <c r="E207" s="2"/>
      <c r="F207" s="2"/>
      <c r="G207" s="2"/>
      <c r="H207" s="2"/>
      <c r="I207" s="2"/>
      <c r="J207" s="2"/>
      <c r="K207" s="2"/>
    </row>
    <row r="208" spans="1:12" ht="20.100000000000001" customHeight="1">
      <c r="A208" s="190"/>
      <c r="B208" s="199" t="s">
        <v>1059</v>
      </c>
      <c r="C208" s="2">
        <f>'Budget Detail FY 2013-18'!N416</f>
        <v>0</v>
      </c>
      <c r="D208" s="2">
        <f>'Budget Detail FY 2013-18'!O416</f>
        <v>750</v>
      </c>
      <c r="E208" s="2">
        <f>'Budget Detail FY 2013-18'!P416</f>
        <v>0</v>
      </c>
      <c r="F208" s="2">
        <f>'Budget Detail FY 2013-18'!Q416</f>
        <v>3150</v>
      </c>
      <c r="G208" s="2">
        <f>'Budget Detail FY 2013-18'!R416</f>
        <v>0</v>
      </c>
      <c r="H208" s="2">
        <f>'Budget Detail FY 2013-18'!S416</f>
        <v>0</v>
      </c>
      <c r="I208" s="2">
        <f>'Budget Detail FY 2013-18'!T416</f>
        <v>0</v>
      </c>
      <c r="J208" s="2">
        <f>'Budget Detail FY 2013-18'!U416</f>
        <v>0</v>
      </c>
      <c r="K208" s="2">
        <f>'Budget Detail FY 2013-18'!V416</f>
        <v>0</v>
      </c>
    </row>
    <row r="209" spans="1:12" ht="20.100000000000001" customHeight="1" thickBot="1">
      <c r="A209" s="190"/>
      <c r="B209" s="193" t="s">
        <v>1064</v>
      </c>
      <c r="C209" s="188">
        <f t="shared" ref="C209:K209" si="33">SUM(C208:C208)</f>
        <v>0</v>
      </c>
      <c r="D209" s="188">
        <f t="shared" si="33"/>
        <v>750</v>
      </c>
      <c r="E209" s="188">
        <f t="shared" si="33"/>
        <v>0</v>
      </c>
      <c r="F209" s="188">
        <f t="shared" si="33"/>
        <v>3150</v>
      </c>
      <c r="G209" s="188">
        <f t="shared" si="33"/>
        <v>0</v>
      </c>
      <c r="H209" s="188">
        <f t="shared" si="33"/>
        <v>0</v>
      </c>
      <c r="I209" s="188">
        <f t="shared" si="33"/>
        <v>0</v>
      </c>
      <c r="J209" s="188">
        <f t="shared" si="33"/>
        <v>0</v>
      </c>
      <c r="K209" s="188">
        <f t="shared" si="33"/>
        <v>0</v>
      </c>
    </row>
    <row r="210" spans="1:12" s="152" customFormat="1" ht="15" hidden="1">
      <c r="A210" s="194"/>
      <c r="B210" s="195"/>
      <c r="C210" s="163">
        <f>'Budget Detail FY 2013-18'!N418</f>
        <v>0</v>
      </c>
      <c r="D210" s="163">
        <f>'Budget Detail FY 2013-18'!O418</f>
        <v>750</v>
      </c>
      <c r="E210" s="163">
        <f>'Budget Detail FY 2013-18'!P418</f>
        <v>0</v>
      </c>
      <c r="F210" s="163">
        <f>'Budget Detail FY 2013-18'!Q418</f>
        <v>3150</v>
      </c>
      <c r="G210" s="163">
        <f>'Budget Detail FY 2013-18'!R418</f>
        <v>0</v>
      </c>
      <c r="H210" s="163">
        <f>'Budget Detail FY 2013-18'!S418</f>
        <v>0</v>
      </c>
      <c r="I210" s="163">
        <f>'Budget Detail FY 2013-18'!T418</f>
        <v>0</v>
      </c>
      <c r="J210" s="163">
        <f>'Budget Detail FY 2013-18'!U418</f>
        <v>0</v>
      </c>
      <c r="K210" s="163">
        <f>'Budget Detail FY 2013-18'!V418</f>
        <v>0</v>
      </c>
      <c r="L210" s="166" t="s">
        <v>1462</v>
      </c>
    </row>
    <row r="211" spans="1:12" s="158" customFormat="1" ht="14.25" hidden="1">
      <c r="A211" s="196"/>
      <c r="B211" s="197"/>
      <c r="C211" s="164">
        <f>C209-C210</f>
        <v>0</v>
      </c>
      <c r="D211" s="164">
        <f t="shared" ref="D211:K211" si="34">D209-D210</f>
        <v>0</v>
      </c>
      <c r="E211" s="164">
        <f t="shared" si="34"/>
        <v>0</v>
      </c>
      <c r="F211" s="164">
        <f t="shared" si="34"/>
        <v>0</v>
      </c>
      <c r="G211" s="164">
        <f t="shared" si="34"/>
        <v>0</v>
      </c>
      <c r="H211" s="164">
        <f t="shared" si="34"/>
        <v>0</v>
      </c>
      <c r="I211" s="164">
        <f t="shared" si="34"/>
        <v>0</v>
      </c>
      <c r="J211" s="164">
        <f t="shared" si="34"/>
        <v>0</v>
      </c>
      <c r="K211" s="164">
        <f t="shared" si="34"/>
        <v>0</v>
      </c>
      <c r="L211" s="167" t="s">
        <v>1463</v>
      </c>
    </row>
    <row r="212" spans="1:12" ht="15">
      <c r="A212" s="190"/>
      <c r="B212" s="200"/>
      <c r="C212" s="3"/>
      <c r="D212" s="2"/>
      <c r="E212" s="2"/>
      <c r="F212" s="2"/>
      <c r="G212" s="2"/>
      <c r="H212" s="2"/>
      <c r="I212" s="2"/>
      <c r="J212" s="2"/>
      <c r="K212" s="2"/>
    </row>
    <row r="213" spans="1:12" ht="20.100000000000001" customHeight="1">
      <c r="A213" s="190"/>
      <c r="B213" s="189" t="s">
        <v>1065</v>
      </c>
      <c r="C213" s="3">
        <f t="shared" ref="C213:K213" si="35">+C203-C209</f>
        <v>20700</v>
      </c>
      <c r="D213" s="3">
        <f>+D203-D209</f>
        <v>7650</v>
      </c>
      <c r="E213" s="3">
        <f t="shared" si="35"/>
        <v>5250</v>
      </c>
      <c r="F213" s="3">
        <f t="shared" si="35"/>
        <v>6000</v>
      </c>
      <c r="G213" s="3">
        <f t="shared" si="35"/>
        <v>573374</v>
      </c>
      <c r="H213" s="3">
        <f t="shared" si="35"/>
        <v>0</v>
      </c>
      <c r="I213" s="3">
        <f t="shared" si="35"/>
        <v>0</v>
      </c>
      <c r="J213" s="3">
        <f t="shared" si="35"/>
        <v>0</v>
      </c>
      <c r="K213" s="3">
        <f t="shared" si="35"/>
        <v>0</v>
      </c>
    </row>
    <row r="214" spans="1:12" s="152" customFormat="1" ht="15" hidden="1">
      <c r="A214" s="194"/>
      <c r="B214" s="201"/>
      <c r="C214" s="163">
        <f>'Budget Detail FY 2013-18'!N420</f>
        <v>20700</v>
      </c>
      <c r="D214" s="163">
        <f>'Budget Detail FY 2013-18'!O420</f>
        <v>7650</v>
      </c>
      <c r="E214" s="163">
        <f>'Budget Detail FY 2013-18'!P420</f>
        <v>5250</v>
      </c>
      <c r="F214" s="163">
        <f>'Budget Detail FY 2013-18'!Q420</f>
        <v>6000</v>
      </c>
      <c r="G214" s="163">
        <f>'Budget Detail FY 2013-18'!R420</f>
        <v>573374</v>
      </c>
      <c r="H214" s="163">
        <f>'Budget Detail FY 2013-18'!S420</f>
        <v>0</v>
      </c>
      <c r="I214" s="163">
        <f>'Budget Detail FY 2013-18'!T420</f>
        <v>0</v>
      </c>
      <c r="J214" s="163">
        <f>'Budget Detail FY 2013-18'!U420</f>
        <v>0</v>
      </c>
      <c r="K214" s="163">
        <f>'Budget Detail FY 2013-18'!V420</f>
        <v>0</v>
      </c>
      <c r="L214" s="166" t="s">
        <v>1462</v>
      </c>
    </row>
    <row r="215" spans="1:12" s="158" customFormat="1" ht="15" hidden="1">
      <c r="A215" s="196"/>
      <c r="B215" s="202"/>
      <c r="C215" s="211">
        <f>C213-C214</f>
        <v>0</v>
      </c>
      <c r="D215" s="211">
        <f t="shared" ref="D215:K215" si="36">D213-D214</f>
        <v>0</v>
      </c>
      <c r="E215" s="211">
        <f t="shared" si="36"/>
        <v>0</v>
      </c>
      <c r="F215" s="211">
        <f t="shared" si="36"/>
        <v>0</v>
      </c>
      <c r="G215" s="211">
        <f t="shared" si="36"/>
        <v>0</v>
      </c>
      <c r="H215" s="211">
        <f t="shared" si="36"/>
        <v>0</v>
      </c>
      <c r="I215" s="211">
        <f t="shared" si="36"/>
        <v>0</v>
      </c>
      <c r="J215" s="211">
        <f t="shared" si="36"/>
        <v>0</v>
      </c>
      <c r="K215" s="211">
        <f t="shared" si="36"/>
        <v>0</v>
      </c>
      <c r="L215" s="167" t="s">
        <v>1463</v>
      </c>
    </row>
    <row r="216" spans="1:12" ht="15">
      <c r="A216" s="190"/>
      <c r="B216" s="204"/>
      <c r="C216" s="3"/>
      <c r="D216" s="2"/>
      <c r="E216" s="2"/>
      <c r="F216" s="2"/>
      <c r="G216" s="2"/>
      <c r="H216" s="2"/>
      <c r="I216" s="2"/>
      <c r="J216" s="2"/>
      <c r="K216" s="2"/>
    </row>
    <row r="217" spans="1:12" ht="20.100000000000001" customHeight="1" thickBot="1">
      <c r="A217" s="190"/>
      <c r="B217" s="191" t="s">
        <v>1066</v>
      </c>
      <c r="C217" s="99">
        <v>-587024</v>
      </c>
      <c r="D217" s="99">
        <v>-579374</v>
      </c>
      <c r="E217" s="99">
        <v>-575774</v>
      </c>
      <c r="F217" s="99">
        <f>D217+F213</f>
        <v>-573374</v>
      </c>
      <c r="G217" s="99">
        <f>F217+G213</f>
        <v>0</v>
      </c>
      <c r="H217" s="99">
        <f>G217+H213</f>
        <v>0</v>
      </c>
      <c r="I217" s="99">
        <f>H217+I213</f>
        <v>0</v>
      </c>
      <c r="J217" s="99">
        <f>I217+J213</f>
        <v>0</v>
      </c>
      <c r="K217" s="99">
        <f>J217+K213</f>
        <v>0</v>
      </c>
    </row>
    <row r="218" spans="1:12" s="152" customFormat="1" ht="15.75" hidden="1" thickTop="1">
      <c r="A218" s="194"/>
      <c r="B218" s="195"/>
      <c r="C218" s="163">
        <f>'Budget Detail FY 2013-18'!N422</f>
        <v>-587024</v>
      </c>
      <c r="D218" s="163">
        <f>'Budget Detail FY 2013-18'!O422</f>
        <v>-579374</v>
      </c>
      <c r="E218" s="163">
        <f>'Budget Detail FY 2013-18'!P422</f>
        <v>-575774</v>
      </c>
      <c r="F218" s="163">
        <f>'Budget Detail FY 2013-18'!Q422</f>
        <v>-573374</v>
      </c>
      <c r="G218" s="163">
        <f>'Budget Detail FY 2013-18'!R422</f>
        <v>0</v>
      </c>
      <c r="H218" s="163">
        <f>'Budget Detail FY 2013-18'!S422</f>
        <v>0</v>
      </c>
      <c r="I218" s="163">
        <f>'Budget Detail FY 2013-18'!T422</f>
        <v>0</v>
      </c>
      <c r="J218" s="163">
        <f>'Budget Detail FY 2013-18'!U422</f>
        <v>0</v>
      </c>
      <c r="K218" s="163">
        <f>'Budget Detail FY 2013-18'!V422</f>
        <v>0</v>
      </c>
      <c r="L218" s="166" t="s">
        <v>1462</v>
      </c>
    </row>
    <row r="219" spans="1:12" s="158" customFormat="1" ht="14.25" hidden="1">
      <c r="A219" s="196"/>
      <c r="B219" s="197"/>
      <c r="C219" s="164">
        <f>C217-C218</f>
        <v>0</v>
      </c>
      <c r="D219" s="164">
        <f t="shared" ref="D219:K219" si="37">D217-D218</f>
        <v>0</v>
      </c>
      <c r="E219" s="164">
        <f t="shared" si="37"/>
        <v>0</v>
      </c>
      <c r="F219" s="164">
        <f t="shared" si="37"/>
        <v>0</v>
      </c>
      <c r="G219" s="164">
        <f t="shared" si="37"/>
        <v>0</v>
      </c>
      <c r="H219" s="164">
        <f t="shared" si="37"/>
        <v>0</v>
      </c>
      <c r="I219" s="164">
        <f t="shared" si="37"/>
        <v>0</v>
      </c>
      <c r="J219" s="164">
        <f t="shared" si="37"/>
        <v>0</v>
      </c>
      <c r="K219" s="164">
        <f t="shared" si="37"/>
        <v>0</v>
      </c>
      <c r="L219" s="167" t="s">
        <v>1463</v>
      </c>
    </row>
    <row r="220" spans="1:12" ht="15.75" thickTop="1">
      <c r="A220" s="190"/>
      <c r="B220" s="205"/>
      <c r="C220" s="213"/>
      <c r="D220" s="213"/>
      <c r="E220" s="213"/>
      <c r="F220" s="213"/>
      <c r="G220" s="213"/>
      <c r="H220" s="213"/>
      <c r="I220" s="213"/>
      <c r="J220" s="213"/>
      <c r="K220" s="213"/>
    </row>
    <row r="221" spans="1:12" ht="15">
      <c r="A221" s="190"/>
      <c r="B221" s="1"/>
      <c r="C221" s="2"/>
      <c r="D221" s="2"/>
      <c r="E221" s="2"/>
      <c r="F221" s="2"/>
      <c r="G221" s="2"/>
      <c r="H221" s="2"/>
      <c r="I221" s="2"/>
      <c r="J221" s="2"/>
      <c r="K221" s="2"/>
    </row>
    <row r="222" spans="1:12" ht="15">
      <c r="A222" s="190"/>
      <c r="B222" s="1"/>
      <c r="C222" s="2"/>
      <c r="D222" s="2"/>
      <c r="E222" s="2"/>
      <c r="F222" s="2"/>
      <c r="G222" s="2"/>
      <c r="H222" s="2"/>
      <c r="I222" s="2"/>
      <c r="J222" s="2"/>
      <c r="K222" s="2"/>
    </row>
    <row r="223" spans="1:12" ht="15">
      <c r="A223" s="190"/>
      <c r="B223" s="1"/>
      <c r="C223" s="2"/>
      <c r="D223" s="2"/>
      <c r="E223" s="2"/>
      <c r="F223" s="2"/>
      <c r="G223" s="2"/>
      <c r="H223" s="2"/>
      <c r="I223" s="2"/>
      <c r="J223" s="2"/>
      <c r="K223" s="2"/>
    </row>
    <row r="224" spans="1:12" ht="15">
      <c r="A224" s="190"/>
      <c r="B224" s="1"/>
      <c r="C224" s="2"/>
      <c r="D224" s="2"/>
      <c r="E224" s="2"/>
      <c r="F224" s="2"/>
      <c r="G224" s="2"/>
      <c r="H224" s="2"/>
      <c r="I224" s="2"/>
      <c r="J224" s="2"/>
      <c r="K224" s="2"/>
    </row>
    <row r="225" spans="1:11" ht="15">
      <c r="A225" s="190"/>
      <c r="B225" s="1"/>
      <c r="C225" s="2"/>
      <c r="D225" s="2"/>
      <c r="E225" s="2"/>
      <c r="F225" s="2"/>
      <c r="G225" s="2"/>
      <c r="H225" s="2"/>
      <c r="I225" s="2"/>
      <c r="J225" s="2"/>
      <c r="K225" s="2"/>
    </row>
    <row r="226" spans="1:11" ht="15">
      <c r="A226" s="190"/>
      <c r="B226" s="1"/>
      <c r="C226" s="2"/>
      <c r="D226" s="2"/>
      <c r="E226" s="2"/>
      <c r="F226" s="2"/>
      <c r="G226" s="2"/>
      <c r="H226" s="2"/>
      <c r="I226" s="2"/>
      <c r="J226" s="2"/>
      <c r="K226" s="2"/>
    </row>
    <row r="227" spans="1:11" ht="15">
      <c r="A227" s="190"/>
      <c r="B227" s="1"/>
      <c r="C227" s="2"/>
      <c r="D227" s="2"/>
      <c r="E227" s="2"/>
      <c r="F227" s="2"/>
      <c r="G227" s="2"/>
      <c r="H227" s="2"/>
      <c r="I227" s="2"/>
      <c r="J227" s="2"/>
      <c r="K227" s="2"/>
    </row>
    <row r="228" spans="1:11" ht="15">
      <c r="A228" s="190"/>
      <c r="B228" s="1"/>
      <c r="C228" s="2"/>
      <c r="D228" s="2"/>
      <c r="E228" s="2"/>
      <c r="F228" s="2"/>
      <c r="G228" s="2"/>
      <c r="H228" s="2"/>
      <c r="I228" s="2"/>
      <c r="J228" s="2"/>
      <c r="K228" s="2"/>
    </row>
    <row r="229" spans="1:11" ht="15">
      <c r="A229" s="190"/>
      <c r="B229" s="1"/>
      <c r="C229" s="2"/>
      <c r="D229" s="2"/>
      <c r="E229" s="2"/>
      <c r="F229" s="2"/>
      <c r="G229" s="2"/>
      <c r="H229" s="2"/>
      <c r="I229" s="2"/>
      <c r="J229" s="2"/>
      <c r="K229" s="2"/>
    </row>
    <row r="230" spans="1:11" ht="15">
      <c r="A230" s="190"/>
      <c r="B230" s="1"/>
      <c r="C230" s="2"/>
      <c r="D230" s="2"/>
      <c r="E230" s="2"/>
      <c r="F230" s="2"/>
      <c r="G230" s="2"/>
      <c r="H230" s="2"/>
      <c r="I230" s="2"/>
      <c r="J230" s="2"/>
      <c r="K230" s="2"/>
    </row>
    <row r="231" spans="1:11">
      <c r="A231" s="190"/>
      <c r="B231" s="190"/>
      <c r="C231" s="207"/>
      <c r="D231" s="207"/>
      <c r="E231" s="208"/>
      <c r="F231" s="208"/>
      <c r="G231" s="208"/>
      <c r="H231" s="208"/>
      <c r="I231" s="208"/>
      <c r="J231" s="208"/>
      <c r="K231" s="208"/>
    </row>
    <row r="232" spans="1:11">
      <c r="A232" s="190"/>
      <c r="B232" s="190"/>
      <c r="C232" s="207"/>
      <c r="D232" s="207"/>
      <c r="E232" s="208"/>
      <c r="F232" s="208"/>
      <c r="G232" s="208"/>
      <c r="H232" s="208"/>
      <c r="I232" s="208"/>
      <c r="J232" s="208"/>
      <c r="K232" s="208"/>
    </row>
    <row r="233" spans="1:11">
      <c r="A233" s="190"/>
      <c r="B233" s="190"/>
      <c r="C233" s="207"/>
      <c r="D233" s="207"/>
      <c r="E233" s="208"/>
      <c r="F233" s="208"/>
      <c r="G233" s="208"/>
      <c r="H233" s="208"/>
      <c r="I233" s="208"/>
      <c r="J233" s="208"/>
      <c r="K233" s="208"/>
    </row>
    <row r="234" spans="1:11" ht="18.75">
      <c r="A234" s="190"/>
      <c r="B234" s="523" t="s">
        <v>1073</v>
      </c>
      <c r="C234" s="523"/>
      <c r="D234" s="523"/>
      <c r="E234" s="523"/>
      <c r="F234" s="523"/>
      <c r="G234" s="523"/>
      <c r="H234" s="523"/>
      <c r="I234" s="523"/>
      <c r="J234" s="523"/>
      <c r="K234" s="523"/>
    </row>
    <row r="235" spans="1:11" ht="15">
      <c r="A235" s="190"/>
      <c r="B235" s="80"/>
      <c r="C235" s="3"/>
      <c r="D235" s="2"/>
      <c r="E235" s="2"/>
      <c r="F235" s="2"/>
      <c r="G235" s="2"/>
      <c r="H235" s="2"/>
      <c r="I235" s="2"/>
      <c r="J235" s="2"/>
      <c r="K235" s="2"/>
    </row>
    <row r="236" spans="1:11" ht="15" customHeight="1">
      <c r="A236" s="190"/>
      <c r="B236" s="529" t="s">
        <v>1321</v>
      </c>
      <c r="C236" s="529"/>
      <c r="D236" s="529"/>
      <c r="E236" s="529"/>
      <c r="F236" s="529"/>
      <c r="G236" s="529"/>
      <c r="H236" s="529"/>
      <c r="I236" s="529"/>
      <c r="J236" s="529"/>
      <c r="K236" s="529"/>
    </row>
    <row r="237" spans="1:11" ht="15" customHeight="1">
      <c r="A237" s="190"/>
      <c r="B237" s="529"/>
      <c r="C237" s="529"/>
      <c r="D237" s="529"/>
      <c r="E237" s="529"/>
      <c r="F237" s="529"/>
      <c r="G237" s="529"/>
      <c r="H237" s="529"/>
      <c r="I237" s="529"/>
      <c r="J237" s="529"/>
      <c r="K237" s="529"/>
    </row>
    <row r="238" spans="1:11" ht="7.5" customHeight="1">
      <c r="A238" s="190"/>
      <c r="B238" s="187"/>
      <c r="C238" s="31"/>
      <c r="D238" s="31"/>
      <c r="E238" s="31"/>
      <c r="F238" s="31"/>
      <c r="G238" s="31"/>
      <c r="H238" s="2"/>
      <c r="I238" s="2"/>
      <c r="J238" s="2"/>
      <c r="K238" s="2"/>
    </row>
    <row r="239" spans="1:11" ht="15">
      <c r="A239" s="190"/>
      <c r="B239" s="5"/>
      <c r="C239" s="80"/>
      <c r="D239" s="81"/>
      <c r="E239" s="80" t="s">
        <v>312</v>
      </c>
      <c r="F239" s="1"/>
      <c r="G239" s="1"/>
      <c r="H239" s="1"/>
      <c r="I239" s="1"/>
      <c r="J239" s="1"/>
      <c r="K239" s="1"/>
    </row>
    <row r="240" spans="1:11" ht="15">
      <c r="A240" s="190"/>
      <c r="B240" s="81"/>
      <c r="C240" s="80" t="s">
        <v>23</v>
      </c>
      <c r="D240" s="104" t="s">
        <v>253</v>
      </c>
      <c r="E240" s="81" t="s">
        <v>1045</v>
      </c>
      <c r="F240" s="81" t="s">
        <v>312</v>
      </c>
      <c r="G240" s="81" t="s">
        <v>313</v>
      </c>
      <c r="H240" s="81" t="s">
        <v>329</v>
      </c>
      <c r="I240" s="81" t="s">
        <v>332</v>
      </c>
      <c r="J240" s="81" t="s">
        <v>333</v>
      </c>
      <c r="K240" s="81" t="s">
        <v>1224</v>
      </c>
    </row>
    <row r="241" spans="1:12" ht="15.75" thickBot="1">
      <c r="A241" s="190"/>
      <c r="B241" s="209"/>
      <c r="C241" s="83" t="s">
        <v>1</v>
      </c>
      <c r="D241" s="83" t="s">
        <v>1</v>
      </c>
      <c r="E241" s="83" t="s">
        <v>987</v>
      </c>
      <c r="F241" s="83" t="s">
        <v>24</v>
      </c>
      <c r="G241" s="83" t="s">
        <v>1045</v>
      </c>
      <c r="H241" s="83" t="s">
        <v>24</v>
      </c>
      <c r="I241" s="83" t="s">
        <v>24</v>
      </c>
      <c r="J241" s="83" t="s">
        <v>24</v>
      </c>
      <c r="K241" s="83" t="s">
        <v>24</v>
      </c>
    </row>
    <row r="242" spans="1:12" ht="15">
      <c r="A242" s="190"/>
      <c r="B242" s="79"/>
      <c r="C242" s="210"/>
      <c r="D242" s="2"/>
      <c r="E242" s="2"/>
      <c r="F242" s="2"/>
      <c r="G242" s="2"/>
      <c r="H242" s="2"/>
      <c r="I242" s="2"/>
      <c r="J242" s="2"/>
      <c r="K242" s="2"/>
    </row>
    <row r="243" spans="1:12" ht="15">
      <c r="A243" s="190"/>
      <c r="B243" s="198" t="s">
        <v>1046</v>
      </c>
      <c r="C243" s="2"/>
      <c r="D243" s="2"/>
      <c r="E243" s="2"/>
      <c r="F243" s="2"/>
      <c r="G243" s="2"/>
      <c r="H243" s="2"/>
      <c r="I243" s="2"/>
      <c r="J243" s="2"/>
      <c r="K243" s="2"/>
    </row>
    <row r="244" spans="1:12" ht="20.100000000000001" customHeight="1">
      <c r="A244" s="190"/>
      <c r="B244" s="5" t="s">
        <v>1048</v>
      </c>
      <c r="C244" s="2">
        <f>SUM('Budget Detail FY 2013-18'!N426:N430)</f>
        <v>64000</v>
      </c>
      <c r="D244" s="2">
        <f>SUM('Budget Detail FY 2013-18'!O426:O430)</f>
        <v>0</v>
      </c>
      <c r="E244" s="2">
        <f>SUM('Budget Detail FY 2013-18'!P426:P430)</f>
        <v>231000</v>
      </c>
      <c r="F244" s="2">
        <f>SUM('Budget Detail FY 2013-18'!Q426:Q430)</f>
        <v>0</v>
      </c>
      <c r="G244" s="2">
        <f>SUM('Budget Detail FY 2013-18'!R426:R430)</f>
        <v>327600</v>
      </c>
      <c r="H244" s="2">
        <f>SUM('Budget Detail FY 2013-18'!S426:S430)</f>
        <v>93760</v>
      </c>
      <c r="I244" s="2">
        <f>SUM('Budget Detail FY 2013-18'!T426:T430)</f>
        <v>218200</v>
      </c>
      <c r="J244" s="2">
        <f>SUM('Budget Detail FY 2013-18'!U426:U430)</f>
        <v>147160</v>
      </c>
      <c r="K244" s="2">
        <f>SUM('Budget Detail FY 2013-18'!V426:V430)</f>
        <v>512720</v>
      </c>
    </row>
    <row r="245" spans="1:12" ht="20.100000000000001" customHeight="1">
      <c r="A245" s="190"/>
      <c r="B245" s="5" t="s">
        <v>1049</v>
      </c>
      <c r="C245" s="2">
        <f>SUM('Budget Detail FY 2013-18'!N431:N436)</f>
        <v>25100</v>
      </c>
      <c r="D245" s="2">
        <f>SUM('Budget Detail FY 2013-18'!O431:O436)</f>
        <v>92417</v>
      </c>
      <c r="E245" s="2">
        <f>SUM('Budget Detail FY 2013-18'!P431:P436)</f>
        <v>53400</v>
      </c>
      <c r="F245" s="2">
        <f>SUM('Budget Detail FY 2013-18'!Q431:Q436)</f>
        <v>62620</v>
      </c>
      <c r="G245" s="2">
        <f>SUM('Budget Detail FY 2013-18'!R431:R436)</f>
        <v>20250</v>
      </c>
      <c r="H245" s="2">
        <f>SUM('Budget Detail FY 2013-18'!S431:S436)</f>
        <v>20250</v>
      </c>
      <c r="I245" s="2">
        <f>SUM('Budget Detail FY 2013-18'!T431:T436)</f>
        <v>20250</v>
      </c>
      <c r="J245" s="2">
        <f>SUM('Budget Detail FY 2013-18'!U431:U436)</f>
        <v>20250</v>
      </c>
      <c r="K245" s="2">
        <f>SUM('Budget Detail FY 2013-18'!V431:V436)</f>
        <v>20250</v>
      </c>
    </row>
    <row r="246" spans="1:12" ht="20.100000000000001" customHeight="1">
      <c r="A246" s="190"/>
      <c r="B246" s="5" t="s">
        <v>1051</v>
      </c>
      <c r="C246" s="2">
        <f>'Budget Detail FY 2013-18'!N437</f>
        <v>0</v>
      </c>
      <c r="D246" s="2">
        <f>'Budget Detail FY 2013-18'!O437</f>
        <v>0</v>
      </c>
      <c r="E246" s="2">
        <f>'Budget Detail FY 2013-18'!P437</f>
        <v>0</v>
      </c>
      <c r="F246" s="2">
        <f>'Budget Detail FY 2013-18'!Q437</f>
        <v>0</v>
      </c>
      <c r="G246" s="2">
        <f>'Budget Detail FY 2013-18'!R437</f>
        <v>669120</v>
      </c>
      <c r="H246" s="2">
        <f>'Budget Detail FY 2013-18'!S437</f>
        <v>669120</v>
      </c>
      <c r="I246" s="2">
        <f>'Budget Detail FY 2013-18'!T437</f>
        <v>669120</v>
      </c>
      <c r="J246" s="2">
        <f>'Budget Detail FY 2013-18'!U437</f>
        <v>669120</v>
      </c>
      <c r="K246" s="2">
        <f>'Budget Detail FY 2013-18'!V437</f>
        <v>669120</v>
      </c>
    </row>
    <row r="247" spans="1:12" ht="20.100000000000001" customHeight="1">
      <c r="A247" s="190"/>
      <c r="B247" s="5" t="s">
        <v>1052</v>
      </c>
      <c r="C247" s="2">
        <f>'Budget Detail FY 2013-18'!N438</f>
        <v>19</v>
      </c>
      <c r="D247" s="2">
        <f>'Budget Detail FY 2013-18'!O438</f>
        <v>114</v>
      </c>
      <c r="E247" s="2">
        <f>'Budget Detail FY 2013-18'!P438</f>
        <v>0</v>
      </c>
      <c r="F247" s="2">
        <f>'Budget Detail FY 2013-18'!Q438</f>
        <v>250</v>
      </c>
      <c r="G247" s="2">
        <f>'Budget Detail FY 2013-18'!R438</f>
        <v>250</v>
      </c>
      <c r="H247" s="2">
        <f>'Budget Detail FY 2013-18'!S438</f>
        <v>500</v>
      </c>
      <c r="I247" s="2">
        <f>'Budget Detail FY 2013-18'!T438</f>
        <v>250</v>
      </c>
      <c r="J247" s="2">
        <f>'Budget Detail FY 2013-18'!U438</f>
        <v>100</v>
      </c>
      <c r="K247" s="2">
        <f>'Budget Detail FY 2013-18'!V438</f>
        <v>0</v>
      </c>
    </row>
    <row r="248" spans="1:12" ht="20.100000000000001" customHeight="1">
      <c r="A248" s="190"/>
      <c r="B248" s="5" t="s">
        <v>1053</v>
      </c>
      <c r="C248" s="2">
        <f>'Budget Detail FY 2013-18'!N439</f>
        <v>1200</v>
      </c>
      <c r="D248" s="2">
        <f>'Budget Detail FY 2013-18'!O439</f>
        <v>9586</v>
      </c>
      <c r="E248" s="2">
        <f>'Budget Detail FY 2013-18'!P439</f>
        <v>0</v>
      </c>
      <c r="F248" s="2">
        <f>'Budget Detail FY 2013-18'!Q439</f>
        <v>0</v>
      </c>
      <c r="G248" s="2">
        <f>'Budget Detail FY 2013-18'!R439</f>
        <v>0</v>
      </c>
      <c r="H248" s="2">
        <f>'Budget Detail FY 2013-18'!S439</f>
        <v>0</v>
      </c>
      <c r="I248" s="2">
        <f>'Budget Detail FY 2013-18'!T439</f>
        <v>0</v>
      </c>
      <c r="J248" s="2">
        <f>'Budget Detail FY 2013-18'!U439</f>
        <v>0</v>
      </c>
      <c r="K248" s="2">
        <f>'Budget Detail FY 2013-18'!V439</f>
        <v>0</v>
      </c>
    </row>
    <row r="249" spans="1:12" ht="20.100000000000001" customHeight="1">
      <c r="A249" s="190"/>
      <c r="B249" s="5" t="s">
        <v>1054</v>
      </c>
      <c r="C249" s="2">
        <f>SUM('Budget Detail FY 2013-18'!N440:N441)</f>
        <v>0</v>
      </c>
      <c r="D249" s="2">
        <f>SUM('Budget Detail FY 2013-18'!O440:O441)</f>
        <v>0</v>
      </c>
      <c r="E249" s="2">
        <f>SUM('Budget Detail FY 2013-18'!P440:P441)</f>
        <v>0</v>
      </c>
      <c r="F249" s="2">
        <f>SUM('Budget Detail FY 2013-18'!Q440:Q441)</f>
        <v>13500</v>
      </c>
      <c r="G249" s="2">
        <f>SUM('Budget Detail FY 2013-18'!R440:R441)</f>
        <v>126441</v>
      </c>
      <c r="H249" s="2">
        <f>SUM('Budget Detail FY 2013-18'!S440:S441)</f>
        <v>0</v>
      </c>
      <c r="I249" s="2">
        <f>SUM('Budget Detail FY 2013-18'!T440:T441)</f>
        <v>0</v>
      </c>
      <c r="J249" s="2">
        <f>SUM('Budget Detail FY 2013-18'!U440:U441)</f>
        <v>0</v>
      </c>
      <c r="K249" s="2">
        <f>SUM('Budget Detail FY 2013-18'!V440:V441)</f>
        <v>0</v>
      </c>
    </row>
    <row r="250" spans="1:12" ht="20.100000000000001" customHeight="1">
      <c r="A250" s="190"/>
      <c r="B250" s="5" t="s">
        <v>1055</v>
      </c>
      <c r="C250" s="2">
        <f>SUM('Budget Detail FY 2013-18'!N442:N445)</f>
        <v>231484</v>
      </c>
      <c r="D250" s="2">
        <f>SUM('Budget Detail FY 2013-18'!O442:O445)</f>
        <v>125000</v>
      </c>
      <c r="E250" s="2">
        <f>SUM('Budget Detail FY 2013-18'!P442:P445)</f>
        <v>1019332</v>
      </c>
      <c r="F250" s="2">
        <f>SUM('Budget Detail FY 2013-18'!Q442:Q445)</f>
        <v>754332</v>
      </c>
      <c r="G250" s="2">
        <f>SUM('Budget Detail FY 2013-18'!R442:R445)</f>
        <v>435401</v>
      </c>
      <c r="H250" s="2">
        <f>SUM('Budget Detail FY 2013-18'!S442:S445)</f>
        <v>4750000</v>
      </c>
      <c r="I250" s="2">
        <f>SUM('Budget Detail FY 2013-18'!T442:T445)</f>
        <v>0</v>
      </c>
      <c r="J250" s="2">
        <f>SUM('Budget Detail FY 2013-18'!U442:U445)</f>
        <v>1117994</v>
      </c>
      <c r="K250" s="2">
        <f>SUM('Budget Detail FY 2013-18'!V442:V445)</f>
        <v>300890</v>
      </c>
    </row>
    <row r="251" spans="1:12" ht="20.100000000000001" customHeight="1" thickBot="1">
      <c r="A251" s="190"/>
      <c r="B251" s="193" t="s">
        <v>1056</v>
      </c>
      <c r="C251" s="188">
        <f t="shared" ref="C251:K251" si="38">SUM(C244:C250)</f>
        <v>321803</v>
      </c>
      <c r="D251" s="188">
        <f t="shared" si="38"/>
        <v>227117</v>
      </c>
      <c r="E251" s="188">
        <f t="shared" si="38"/>
        <v>1303732</v>
      </c>
      <c r="F251" s="188">
        <f t="shared" si="38"/>
        <v>830702</v>
      </c>
      <c r="G251" s="188">
        <f t="shared" si="38"/>
        <v>1579062</v>
      </c>
      <c r="H251" s="188">
        <f t="shared" si="38"/>
        <v>5533630</v>
      </c>
      <c r="I251" s="188">
        <f t="shared" si="38"/>
        <v>907820</v>
      </c>
      <c r="J251" s="188">
        <f t="shared" si="38"/>
        <v>1954624</v>
      </c>
      <c r="K251" s="188">
        <f t="shared" si="38"/>
        <v>1502980</v>
      </c>
    </row>
    <row r="252" spans="1:12" s="152" customFormat="1" ht="15" hidden="1">
      <c r="A252" s="194"/>
      <c r="B252" s="195"/>
      <c r="C252" s="163">
        <f>'Budget Detail FY 2013-18'!N447</f>
        <v>321803</v>
      </c>
      <c r="D252" s="163">
        <f>'Budget Detail FY 2013-18'!O447</f>
        <v>227117</v>
      </c>
      <c r="E252" s="163">
        <f>'Budget Detail FY 2013-18'!P447</f>
        <v>1303732</v>
      </c>
      <c r="F252" s="163">
        <f>'Budget Detail FY 2013-18'!Q447</f>
        <v>830702</v>
      </c>
      <c r="G252" s="163">
        <f>'Budget Detail FY 2013-18'!R447</f>
        <v>1579062</v>
      </c>
      <c r="H252" s="163">
        <f>'Budget Detail FY 2013-18'!S447</f>
        <v>5533630</v>
      </c>
      <c r="I252" s="163">
        <f>'Budget Detail FY 2013-18'!T447</f>
        <v>907820</v>
      </c>
      <c r="J252" s="163">
        <f>'Budget Detail FY 2013-18'!U447</f>
        <v>1954624</v>
      </c>
      <c r="K252" s="163">
        <f>'Budget Detail FY 2013-18'!V447</f>
        <v>1502980</v>
      </c>
      <c r="L252" s="166" t="s">
        <v>1462</v>
      </c>
    </row>
    <row r="253" spans="1:12" s="158" customFormat="1" ht="14.25" hidden="1">
      <c r="A253" s="196"/>
      <c r="B253" s="197"/>
      <c r="C253" s="164">
        <f>C251-C252</f>
        <v>0</v>
      </c>
      <c r="D253" s="164">
        <f t="shared" ref="D253:K253" si="39">D251-D252</f>
        <v>0</v>
      </c>
      <c r="E253" s="164">
        <f t="shared" si="39"/>
        <v>0</v>
      </c>
      <c r="F253" s="164">
        <f t="shared" si="39"/>
        <v>0</v>
      </c>
      <c r="G253" s="164">
        <f t="shared" si="39"/>
        <v>0</v>
      </c>
      <c r="H253" s="164">
        <f t="shared" si="39"/>
        <v>0</v>
      </c>
      <c r="I253" s="164">
        <f t="shared" si="39"/>
        <v>0</v>
      </c>
      <c r="J253" s="164">
        <f t="shared" si="39"/>
        <v>0</v>
      </c>
      <c r="K253" s="164">
        <f t="shared" si="39"/>
        <v>0</v>
      </c>
      <c r="L253" s="167" t="s">
        <v>1463</v>
      </c>
    </row>
    <row r="254" spans="1:12" ht="7.5" customHeight="1">
      <c r="A254" s="190"/>
      <c r="B254" s="1"/>
      <c r="C254" s="2"/>
      <c r="D254" s="2"/>
      <c r="E254" s="2"/>
      <c r="F254" s="2"/>
      <c r="G254" s="2"/>
      <c r="H254" s="2"/>
      <c r="I254" s="2"/>
      <c r="J254" s="2"/>
      <c r="K254" s="2"/>
    </row>
    <row r="255" spans="1:12" ht="15">
      <c r="A255" s="190"/>
      <c r="B255" s="198" t="s">
        <v>761</v>
      </c>
      <c r="C255" s="2"/>
      <c r="D255" s="2"/>
      <c r="E255" s="2"/>
      <c r="F255" s="2"/>
      <c r="G255" s="2"/>
      <c r="H255" s="2"/>
      <c r="I255" s="2"/>
      <c r="J255" s="2"/>
      <c r="K255" s="2"/>
    </row>
    <row r="256" spans="1:12" ht="20.100000000000001" customHeight="1">
      <c r="A256" s="190"/>
      <c r="B256" s="199" t="s">
        <v>1059</v>
      </c>
      <c r="C256" s="2">
        <f>SUM('Budget Detail FY 2013-18'!N455:N457)</f>
        <v>5740</v>
      </c>
      <c r="D256" s="2">
        <f>SUM('Budget Detail FY 2013-18'!O455:O457)</f>
        <v>14780</v>
      </c>
      <c r="E256" s="2">
        <f>SUM('Budget Detail FY 2013-18'!P455:P457)</f>
        <v>100000</v>
      </c>
      <c r="F256" s="2">
        <f>SUM('Budget Detail FY 2013-18'!Q455:Q457)</f>
        <v>144220</v>
      </c>
      <c r="G256" s="2">
        <f>SUM('Budget Detail FY 2013-18'!R455:R457)</f>
        <v>50000</v>
      </c>
      <c r="H256" s="2">
        <f>SUM('Budget Detail FY 2013-18'!S455:S457)</f>
        <v>50000</v>
      </c>
      <c r="I256" s="2">
        <f>SUM('Budget Detail FY 2013-18'!T455:T457)</f>
        <v>50000</v>
      </c>
      <c r="J256" s="2">
        <f>SUM('Budget Detail FY 2013-18'!U455:U457)</f>
        <v>50000</v>
      </c>
      <c r="K256" s="2">
        <f>SUM('Budget Detail FY 2013-18'!V455:V457)</f>
        <v>50000</v>
      </c>
    </row>
    <row r="257" spans="1:12" ht="20.100000000000001" customHeight="1">
      <c r="A257" s="190"/>
      <c r="B257" s="199" t="s">
        <v>1061</v>
      </c>
      <c r="C257" s="2">
        <f>SUM('Budget Detail FY 2013-18'!N458:N467)</f>
        <v>172033</v>
      </c>
      <c r="D257" s="2">
        <f>SUM('Budget Detail FY 2013-18'!O458:O467)</f>
        <v>6793</v>
      </c>
      <c r="E257" s="2">
        <f>SUM('Budget Detail FY 2013-18'!P458:P467)</f>
        <v>940500</v>
      </c>
      <c r="F257" s="2">
        <f>SUM('Budget Detail FY 2013-18'!Q458:Q467)</f>
        <v>394241</v>
      </c>
      <c r="G257" s="2">
        <f>SUM('Budget Detail FY 2013-18'!R458:R467)</f>
        <v>1122863</v>
      </c>
      <c r="H257" s="2">
        <f>SUM('Budget Detail FY 2013-18'!S458:S467)</f>
        <v>1202221</v>
      </c>
      <c r="I257" s="2">
        <f>SUM('Budget Detail FY 2013-18'!T458:T467)</f>
        <v>4618022</v>
      </c>
      <c r="J257" s="2">
        <f>SUM('Budget Detail FY 2013-18'!U458:U467)</f>
        <v>2185916</v>
      </c>
      <c r="K257" s="2">
        <f>SUM('Budget Detail FY 2013-18'!V458:V467)</f>
        <v>1029692</v>
      </c>
    </row>
    <row r="258" spans="1:12" ht="20.100000000000001" customHeight="1">
      <c r="A258" s="190"/>
      <c r="B258" s="199" t="s">
        <v>967</v>
      </c>
      <c r="C258" s="2">
        <f>SUM('Budget Detail FY 2013-18'!N469:N474)</f>
        <v>125000</v>
      </c>
      <c r="D258" s="2">
        <f>SUM('Budget Detail FY 2013-18'!O469:O474)</f>
        <v>125000</v>
      </c>
      <c r="E258" s="2">
        <f>SUM('Budget Detail FY 2013-18'!P469:P474)</f>
        <v>0</v>
      </c>
      <c r="F258" s="2">
        <f>SUM('Budget Detail FY 2013-18'!Q469:Q474)</f>
        <v>0</v>
      </c>
      <c r="G258" s="2">
        <f>SUM('Budget Detail FY 2013-18'!R469:R474)</f>
        <v>83333</v>
      </c>
      <c r="H258" s="2">
        <f>SUM('Budget Detail FY 2013-18'!S469:S474)</f>
        <v>83333</v>
      </c>
      <c r="I258" s="2">
        <f>SUM('Budget Detail FY 2013-18'!T469:T474)</f>
        <v>414887</v>
      </c>
      <c r="J258" s="2">
        <f>SUM('Budget Detail FY 2013-18'!U469:U474)</f>
        <v>416998</v>
      </c>
      <c r="K258" s="2">
        <f>SUM('Budget Detail FY 2013-18'!V469:V474)</f>
        <v>418038</v>
      </c>
    </row>
    <row r="259" spans="1:12" ht="20.100000000000001" customHeight="1">
      <c r="A259" s="190"/>
      <c r="B259" s="5" t="s">
        <v>1063</v>
      </c>
      <c r="C259" s="2">
        <f>'Budget Detail FY 2013-18'!N451</f>
        <v>0</v>
      </c>
      <c r="D259" s="2">
        <f>'Budget Detail FY 2013-18'!O451</f>
        <v>0</v>
      </c>
      <c r="E259" s="2">
        <f>'Budget Detail FY 2013-18'!P451</f>
        <v>0</v>
      </c>
      <c r="F259" s="2">
        <f>'Budget Detail FY 2013-18'!Q451</f>
        <v>0</v>
      </c>
      <c r="G259" s="2">
        <f>'Budget Detail FY 2013-18'!R451</f>
        <v>5250</v>
      </c>
      <c r="H259" s="2">
        <f>'Budget Detail FY 2013-18'!S451</f>
        <v>5250</v>
      </c>
      <c r="I259" s="2">
        <f>'Budget Detail FY 2013-18'!T451</f>
        <v>5250</v>
      </c>
      <c r="J259" s="2">
        <f>'Budget Detail FY 2013-18'!U451</f>
        <v>5250</v>
      </c>
      <c r="K259" s="2">
        <f>'Budget Detail FY 2013-18'!V451</f>
        <v>5250</v>
      </c>
    </row>
    <row r="260" spans="1:12" ht="20.100000000000001" customHeight="1" thickBot="1">
      <c r="A260" s="190"/>
      <c r="B260" s="193" t="s">
        <v>1064</v>
      </c>
      <c r="C260" s="188">
        <f>SUM(C256:C259)</f>
        <v>302773</v>
      </c>
      <c r="D260" s="188">
        <f t="shared" ref="D260:K260" si="40">SUM(D256:D259)</f>
        <v>146573</v>
      </c>
      <c r="E260" s="188">
        <f t="shared" si="40"/>
        <v>1040500</v>
      </c>
      <c r="F260" s="188">
        <f t="shared" si="40"/>
        <v>538461</v>
      </c>
      <c r="G260" s="188">
        <f t="shared" si="40"/>
        <v>1261446</v>
      </c>
      <c r="H260" s="188">
        <f t="shared" si="40"/>
        <v>1340804</v>
      </c>
      <c r="I260" s="188">
        <f t="shared" si="40"/>
        <v>5088159</v>
      </c>
      <c r="J260" s="188">
        <f t="shared" si="40"/>
        <v>2658164</v>
      </c>
      <c r="K260" s="188">
        <f t="shared" si="40"/>
        <v>1502980</v>
      </c>
    </row>
    <row r="261" spans="1:12" s="152" customFormat="1" ht="15" hidden="1">
      <c r="A261" s="194"/>
      <c r="B261" s="195"/>
      <c r="C261" s="163">
        <f>'Budget Detail FY 2013-18'!N477</f>
        <v>302773</v>
      </c>
      <c r="D261" s="163">
        <f>'Budget Detail FY 2013-18'!O477</f>
        <v>146573</v>
      </c>
      <c r="E261" s="163">
        <f>'Budget Detail FY 2013-18'!P477</f>
        <v>1040500</v>
      </c>
      <c r="F261" s="163">
        <f>'Budget Detail FY 2013-18'!Q477</f>
        <v>538461</v>
      </c>
      <c r="G261" s="163">
        <f>'Budget Detail FY 2013-18'!R477</f>
        <v>1261446</v>
      </c>
      <c r="H261" s="163">
        <f>'Budget Detail FY 2013-18'!S477</f>
        <v>1340804</v>
      </c>
      <c r="I261" s="163">
        <f>'Budget Detail FY 2013-18'!T477</f>
        <v>5088159</v>
      </c>
      <c r="J261" s="163">
        <f>'Budget Detail FY 2013-18'!U477</f>
        <v>2658164</v>
      </c>
      <c r="K261" s="163">
        <f>'Budget Detail FY 2013-18'!V477</f>
        <v>1502980</v>
      </c>
      <c r="L261" s="166" t="s">
        <v>1462</v>
      </c>
    </row>
    <row r="262" spans="1:12" s="158" customFormat="1" ht="14.25" hidden="1">
      <c r="A262" s="196"/>
      <c r="B262" s="197"/>
      <c r="C262" s="164">
        <f>C260-C261</f>
        <v>0</v>
      </c>
      <c r="D262" s="164">
        <f t="shared" ref="D262:K262" si="41">D260-D261</f>
        <v>0</v>
      </c>
      <c r="E262" s="164">
        <f t="shared" si="41"/>
        <v>0</v>
      </c>
      <c r="F262" s="164">
        <f t="shared" si="41"/>
        <v>0</v>
      </c>
      <c r="G262" s="164">
        <f t="shared" si="41"/>
        <v>0</v>
      </c>
      <c r="H262" s="164">
        <f t="shared" si="41"/>
        <v>0</v>
      </c>
      <c r="I262" s="164">
        <f t="shared" si="41"/>
        <v>0</v>
      </c>
      <c r="J262" s="164">
        <f t="shared" si="41"/>
        <v>0</v>
      </c>
      <c r="K262" s="164">
        <f t="shared" si="41"/>
        <v>0</v>
      </c>
      <c r="L262" s="167" t="s">
        <v>1463</v>
      </c>
    </row>
    <row r="263" spans="1:12" ht="7.5" customHeight="1">
      <c r="A263" s="190"/>
      <c r="B263" s="200"/>
      <c r="C263" s="3"/>
      <c r="D263" s="2"/>
      <c r="E263" s="2"/>
      <c r="F263" s="2"/>
      <c r="G263" s="2"/>
      <c r="H263" s="2"/>
      <c r="I263" s="2"/>
      <c r="J263" s="2"/>
      <c r="K263" s="2"/>
    </row>
    <row r="264" spans="1:12" ht="20.100000000000001" customHeight="1">
      <c r="A264" s="190"/>
      <c r="B264" s="189" t="s">
        <v>1065</v>
      </c>
      <c r="C264" s="3">
        <f t="shared" ref="C264:J264" si="42">+C251-C260</f>
        <v>19030</v>
      </c>
      <c r="D264" s="3">
        <f t="shared" si="42"/>
        <v>80544</v>
      </c>
      <c r="E264" s="3">
        <f>+E251-E260</f>
        <v>263232</v>
      </c>
      <c r="F264" s="3">
        <f t="shared" si="42"/>
        <v>292241</v>
      </c>
      <c r="G264" s="3">
        <f t="shared" si="42"/>
        <v>317616</v>
      </c>
      <c r="H264" s="3">
        <f t="shared" si="42"/>
        <v>4192826</v>
      </c>
      <c r="I264" s="3">
        <f t="shared" si="42"/>
        <v>-4180339</v>
      </c>
      <c r="J264" s="3">
        <f t="shared" si="42"/>
        <v>-703540</v>
      </c>
      <c r="K264" s="3">
        <f>+K251-K260</f>
        <v>0</v>
      </c>
    </row>
    <row r="265" spans="1:12" s="152" customFormat="1" ht="15" hidden="1">
      <c r="A265" s="194"/>
      <c r="B265" s="201"/>
      <c r="C265" s="163">
        <f>'Budget Detail FY 2013-18'!N479</f>
        <v>19030</v>
      </c>
      <c r="D265" s="163">
        <f>'Budget Detail FY 2013-18'!O479</f>
        <v>80544</v>
      </c>
      <c r="E265" s="163">
        <f>'Budget Detail FY 2013-18'!P479</f>
        <v>263232</v>
      </c>
      <c r="F265" s="163">
        <f>'Budget Detail FY 2013-18'!Q479</f>
        <v>292241</v>
      </c>
      <c r="G265" s="163">
        <f>'Budget Detail FY 2013-18'!R479</f>
        <v>317616</v>
      </c>
      <c r="H265" s="163">
        <f>'Budget Detail FY 2013-18'!S479</f>
        <v>4192826</v>
      </c>
      <c r="I265" s="163">
        <f>'Budget Detail FY 2013-18'!T479</f>
        <v>-4180339</v>
      </c>
      <c r="J265" s="163">
        <f>'Budget Detail FY 2013-18'!U479</f>
        <v>-703540</v>
      </c>
      <c r="K265" s="163">
        <f>'Budget Detail FY 2013-18'!V479</f>
        <v>0</v>
      </c>
      <c r="L265" s="166" t="s">
        <v>1462</v>
      </c>
    </row>
    <row r="266" spans="1:12" s="158" customFormat="1" ht="15" hidden="1">
      <c r="A266" s="196"/>
      <c r="B266" s="202"/>
      <c r="C266" s="211">
        <f>C264-C265</f>
        <v>0</v>
      </c>
      <c r="D266" s="211">
        <f t="shared" ref="D266:K266" si="43">D264-D265</f>
        <v>0</v>
      </c>
      <c r="E266" s="211">
        <f t="shared" si="43"/>
        <v>0</v>
      </c>
      <c r="F266" s="211">
        <f t="shared" si="43"/>
        <v>0</v>
      </c>
      <c r="G266" s="211">
        <f t="shared" si="43"/>
        <v>0</v>
      </c>
      <c r="H266" s="211">
        <f t="shared" si="43"/>
        <v>0</v>
      </c>
      <c r="I266" s="211">
        <f t="shared" si="43"/>
        <v>0</v>
      </c>
      <c r="J266" s="211">
        <f t="shared" si="43"/>
        <v>0</v>
      </c>
      <c r="K266" s="211">
        <f t="shared" si="43"/>
        <v>0</v>
      </c>
      <c r="L266" s="167" t="s">
        <v>1463</v>
      </c>
    </row>
    <row r="267" spans="1:12" ht="7.5" customHeight="1">
      <c r="A267" s="190"/>
      <c r="B267" s="214"/>
      <c r="C267" s="128"/>
      <c r="D267" s="128"/>
      <c r="E267" s="128"/>
      <c r="F267" s="128"/>
      <c r="G267" s="128"/>
      <c r="H267" s="128"/>
      <c r="I267" s="128"/>
      <c r="J267" s="128"/>
      <c r="K267" s="128"/>
    </row>
    <row r="268" spans="1:12" ht="20.100000000000001" customHeight="1">
      <c r="A268" s="190"/>
      <c r="B268" s="215" t="s">
        <v>1322</v>
      </c>
      <c r="C268" s="115">
        <f>'Budget Detail FY 2013-18'!N481</f>
        <v>0</v>
      </c>
      <c r="D268" s="115">
        <f>'Budget Detail FY 2013-18'!O481</f>
        <v>0</v>
      </c>
      <c r="E268" s="115">
        <f>'Budget Detail FY 2013-18'!P481</f>
        <v>0</v>
      </c>
      <c r="F268" s="115">
        <f>'Budget Detail FY 2013-18'!Q481</f>
        <v>0</v>
      </c>
      <c r="G268" s="115">
        <f>'Budget Detail FY 2013-18'!R481</f>
        <v>0</v>
      </c>
      <c r="H268" s="115">
        <f>'Budget Detail FY 2013-18'!S481</f>
        <v>0</v>
      </c>
      <c r="I268" s="115">
        <f>'Budget Detail FY 2013-18'!T481</f>
        <v>0</v>
      </c>
      <c r="J268" s="115">
        <f>'Budget Detail FY 2013-18'!U481</f>
        <v>0</v>
      </c>
      <c r="K268" s="115">
        <f>'Budget Detail FY 2013-18'!V481</f>
        <v>0</v>
      </c>
    </row>
    <row r="269" spans="1:12" s="152" customFormat="1" ht="15" hidden="1">
      <c r="A269" s="194"/>
      <c r="B269" s="216"/>
      <c r="C269" s="163">
        <f>'Budget Detail FY 2013-18'!N481</f>
        <v>0</v>
      </c>
      <c r="D269" s="163">
        <f>'Budget Detail FY 2013-18'!O481</f>
        <v>0</v>
      </c>
      <c r="E269" s="163">
        <f>'Budget Detail FY 2013-18'!P481</f>
        <v>0</v>
      </c>
      <c r="F269" s="163">
        <f>'Budget Detail FY 2013-18'!Q481</f>
        <v>0</v>
      </c>
      <c r="G269" s="163">
        <f>'Budget Detail FY 2013-18'!R481</f>
        <v>0</v>
      </c>
      <c r="H269" s="163">
        <f>'Budget Detail FY 2013-18'!S481</f>
        <v>0</v>
      </c>
      <c r="I269" s="163">
        <f>'Budget Detail FY 2013-18'!T481</f>
        <v>0</v>
      </c>
      <c r="J269" s="163">
        <f>'Budget Detail FY 2013-18'!U481</f>
        <v>0</v>
      </c>
      <c r="K269" s="163">
        <f>'Budget Detail FY 2013-18'!V481</f>
        <v>0</v>
      </c>
      <c r="L269" s="166" t="s">
        <v>1462</v>
      </c>
    </row>
    <row r="270" spans="1:12" s="158" customFormat="1" ht="15" hidden="1">
      <c r="A270" s="196"/>
      <c r="B270" s="217"/>
      <c r="C270" s="203">
        <f>C268-C269</f>
        <v>0</v>
      </c>
      <c r="D270" s="203">
        <f t="shared" ref="D270:K270" si="44">D268-D269</f>
        <v>0</v>
      </c>
      <c r="E270" s="203">
        <f t="shared" si="44"/>
        <v>0</v>
      </c>
      <c r="F270" s="203">
        <f t="shared" si="44"/>
        <v>0</v>
      </c>
      <c r="G270" s="203">
        <f t="shared" si="44"/>
        <v>0</v>
      </c>
      <c r="H270" s="203">
        <f t="shared" si="44"/>
        <v>0</v>
      </c>
      <c r="I270" s="203">
        <f t="shared" si="44"/>
        <v>0</v>
      </c>
      <c r="J270" s="203">
        <f t="shared" si="44"/>
        <v>0</v>
      </c>
      <c r="K270" s="203">
        <f t="shared" si="44"/>
        <v>0</v>
      </c>
      <c r="L270" s="167" t="s">
        <v>1463</v>
      </c>
    </row>
    <row r="271" spans="1:12" ht="7.5" customHeight="1">
      <c r="A271" s="190"/>
      <c r="B271" s="215"/>
      <c r="C271" s="115"/>
      <c r="D271" s="115"/>
      <c r="E271" s="115"/>
      <c r="F271" s="115"/>
      <c r="G271" s="115"/>
      <c r="H271" s="115"/>
      <c r="I271" s="115"/>
      <c r="J271" s="115"/>
      <c r="K271" s="115"/>
    </row>
    <row r="272" spans="1:12" ht="20.100000000000001" customHeight="1">
      <c r="A272" s="190"/>
      <c r="B272" s="215" t="s">
        <v>1323</v>
      </c>
      <c r="C272" s="115">
        <f>'Budget Detail FY 2013-18'!N483</f>
        <v>652</v>
      </c>
      <c r="D272" s="115">
        <f>'Budget Detail FY 2013-18'!O483</f>
        <v>81196</v>
      </c>
      <c r="E272" s="115">
        <f>'Budget Detail FY 2013-18'!P483</f>
        <v>332500</v>
      </c>
      <c r="F272" s="115">
        <f>'Budget Detail FY 2013-18'!Q483</f>
        <v>373437</v>
      </c>
      <c r="G272" s="115">
        <f>'Budget Detail FY 2013-18'!R483</f>
        <v>691053</v>
      </c>
      <c r="H272" s="115">
        <f>'Budget Detail FY 2013-18'!S483</f>
        <v>4883879</v>
      </c>
      <c r="I272" s="115">
        <f>'Budget Detail FY 2013-18'!T483</f>
        <v>703540</v>
      </c>
      <c r="J272" s="115">
        <f>'Budget Detail FY 2013-18'!U483</f>
        <v>0</v>
      </c>
      <c r="K272" s="115">
        <f>'Budget Detail FY 2013-18'!V483</f>
        <v>0</v>
      </c>
    </row>
    <row r="273" spans="1:12" s="152" customFormat="1" ht="15" hidden="1">
      <c r="A273" s="194"/>
      <c r="B273" s="216"/>
      <c r="C273" s="163">
        <f>'Budget Detail FY 2013-18'!N483</f>
        <v>652</v>
      </c>
      <c r="D273" s="163">
        <f>'Budget Detail FY 2013-18'!O483</f>
        <v>81196</v>
      </c>
      <c r="E273" s="163">
        <f>'Budget Detail FY 2013-18'!P483</f>
        <v>332500</v>
      </c>
      <c r="F273" s="163">
        <f>'Budget Detail FY 2013-18'!Q483</f>
        <v>373437</v>
      </c>
      <c r="G273" s="163">
        <f>'Budget Detail FY 2013-18'!R483</f>
        <v>691053</v>
      </c>
      <c r="H273" s="163">
        <f>'Budget Detail FY 2013-18'!S483</f>
        <v>4883879</v>
      </c>
      <c r="I273" s="163">
        <f>'Budget Detail FY 2013-18'!T483</f>
        <v>703540</v>
      </c>
      <c r="J273" s="163">
        <f>'Budget Detail FY 2013-18'!U483</f>
        <v>0</v>
      </c>
      <c r="K273" s="163">
        <f>'Budget Detail FY 2013-18'!V483</f>
        <v>0</v>
      </c>
      <c r="L273" s="166" t="s">
        <v>1462</v>
      </c>
    </row>
    <row r="274" spans="1:12" s="158" customFormat="1" ht="15" hidden="1">
      <c r="A274" s="196"/>
      <c r="B274" s="217"/>
      <c r="C274" s="203">
        <f>C272-C273</f>
        <v>0</v>
      </c>
      <c r="D274" s="203">
        <f t="shared" ref="D274:K274" si="45">D272-D273</f>
        <v>0</v>
      </c>
      <c r="E274" s="203">
        <f t="shared" si="45"/>
        <v>0</v>
      </c>
      <c r="F274" s="203">
        <f t="shared" si="45"/>
        <v>0</v>
      </c>
      <c r="G274" s="203">
        <f t="shared" si="45"/>
        <v>0</v>
      </c>
      <c r="H274" s="203">
        <f t="shared" si="45"/>
        <v>0</v>
      </c>
      <c r="I274" s="203">
        <f t="shared" si="45"/>
        <v>0</v>
      </c>
      <c r="J274" s="203">
        <f t="shared" si="45"/>
        <v>0</v>
      </c>
      <c r="K274" s="203">
        <f t="shared" si="45"/>
        <v>0</v>
      </c>
      <c r="L274" s="167" t="s">
        <v>1463</v>
      </c>
    </row>
    <row r="275" spans="1:12" ht="7.5" customHeight="1">
      <c r="A275" s="190"/>
      <c r="B275" s="215"/>
      <c r="C275" s="115"/>
      <c r="D275" s="115"/>
      <c r="E275" s="115"/>
      <c r="F275" s="115"/>
      <c r="G275" s="115"/>
      <c r="H275" s="115"/>
      <c r="I275" s="115"/>
      <c r="J275" s="115"/>
      <c r="K275" s="115"/>
    </row>
    <row r="276" spans="1:12" ht="20.100000000000001" customHeight="1" thickBot="1">
      <c r="A276" s="190"/>
      <c r="B276" s="191" t="s">
        <v>1066</v>
      </c>
      <c r="C276" s="99">
        <v>652</v>
      </c>
      <c r="D276" s="99">
        <v>81196</v>
      </c>
      <c r="E276" s="99">
        <v>332500</v>
      </c>
      <c r="F276" s="99">
        <f>D276+F264</f>
        <v>373437</v>
      </c>
      <c r="G276" s="99">
        <f>F276+G264</f>
        <v>691053</v>
      </c>
      <c r="H276" s="99">
        <f>G276+H264</f>
        <v>4883879</v>
      </c>
      <c r="I276" s="99">
        <f>H276+I264</f>
        <v>703540</v>
      </c>
      <c r="J276" s="99">
        <f>I276+J264</f>
        <v>0</v>
      </c>
      <c r="K276" s="99">
        <f>J276+K264</f>
        <v>0</v>
      </c>
    </row>
    <row r="277" spans="1:12" s="152" customFormat="1" ht="15.75" hidden="1" thickTop="1">
      <c r="A277" s="194"/>
      <c r="B277" s="195"/>
      <c r="C277" s="163">
        <f>'Budget Detail FY 2013-18'!N485</f>
        <v>652</v>
      </c>
      <c r="D277" s="163">
        <f>'Budget Detail FY 2013-18'!O485</f>
        <v>81196</v>
      </c>
      <c r="E277" s="163">
        <f>'Budget Detail FY 2013-18'!P485</f>
        <v>332500</v>
      </c>
      <c r="F277" s="163">
        <f>'Budget Detail FY 2013-18'!Q485</f>
        <v>373437</v>
      </c>
      <c r="G277" s="163">
        <f>'Budget Detail FY 2013-18'!R485</f>
        <v>691053</v>
      </c>
      <c r="H277" s="163">
        <f>'Budget Detail FY 2013-18'!S485</f>
        <v>4883879</v>
      </c>
      <c r="I277" s="163">
        <f>'Budget Detail FY 2013-18'!T485</f>
        <v>703540</v>
      </c>
      <c r="J277" s="163">
        <f>'Budget Detail FY 2013-18'!U485</f>
        <v>0</v>
      </c>
      <c r="K277" s="163">
        <f>'Budget Detail FY 2013-18'!V485</f>
        <v>0</v>
      </c>
      <c r="L277" s="166" t="s">
        <v>1462</v>
      </c>
    </row>
    <row r="278" spans="1:12" s="158" customFormat="1" ht="14.25" hidden="1">
      <c r="A278" s="196"/>
      <c r="B278" s="197"/>
      <c r="C278" s="164">
        <f>C276-C277</f>
        <v>0</v>
      </c>
      <c r="D278" s="164">
        <f t="shared" ref="D278:K278" si="46">D276-D277</f>
        <v>0</v>
      </c>
      <c r="E278" s="164">
        <f t="shared" si="46"/>
        <v>0</v>
      </c>
      <c r="F278" s="164">
        <f t="shared" si="46"/>
        <v>0</v>
      </c>
      <c r="G278" s="164">
        <f t="shared" si="46"/>
        <v>0</v>
      </c>
      <c r="H278" s="164">
        <f t="shared" si="46"/>
        <v>0</v>
      </c>
      <c r="I278" s="164">
        <f t="shared" si="46"/>
        <v>0</v>
      </c>
      <c r="J278" s="164">
        <f t="shared" si="46"/>
        <v>0</v>
      </c>
      <c r="K278" s="164">
        <f t="shared" si="46"/>
        <v>0</v>
      </c>
      <c r="L278" s="167" t="s">
        <v>1463</v>
      </c>
    </row>
    <row r="279" spans="1:12" ht="13.5" thickTop="1">
      <c r="A279" s="190"/>
      <c r="B279" s="190"/>
      <c r="C279" s="207"/>
      <c r="D279" s="207"/>
      <c r="E279" s="208"/>
      <c r="F279" s="208"/>
      <c r="G279" s="208"/>
      <c r="H279" s="208"/>
      <c r="I279" s="208"/>
      <c r="J279" s="208"/>
      <c r="K279" s="208"/>
    </row>
    <row r="280" spans="1:12">
      <c r="A280" s="190"/>
      <c r="B280" s="190"/>
      <c r="C280" s="207"/>
      <c r="D280" s="207"/>
      <c r="E280" s="208"/>
      <c r="F280" s="208"/>
      <c r="G280" s="208"/>
      <c r="H280" s="208"/>
      <c r="I280" s="208"/>
      <c r="J280" s="208"/>
      <c r="K280" s="208"/>
    </row>
    <row r="281" spans="1:12">
      <c r="A281" s="190"/>
      <c r="B281" s="190"/>
      <c r="C281" s="207"/>
      <c r="D281" s="207"/>
      <c r="E281" s="208"/>
      <c r="F281" s="208"/>
      <c r="G281" s="208"/>
      <c r="H281" s="208"/>
      <c r="I281" s="208"/>
      <c r="J281" s="208"/>
      <c r="K281" s="208"/>
    </row>
    <row r="282" spans="1:12">
      <c r="A282" s="190"/>
      <c r="B282" s="190"/>
      <c r="C282" s="207"/>
      <c r="D282" s="207"/>
      <c r="E282" s="208"/>
      <c r="F282" s="208"/>
      <c r="G282" s="208"/>
      <c r="H282" s="208"/>
      <c r="I282" s="208"/>
      <c r="J282" s="208"/>
      <c r="K282" s="208"/>
    </row>
    <row r="283" spans="1:12">
      <c r="A283" s="190"/>
      <c r="B283" s="190"/>
      <c r="C283" s="207"/>
      <c r="D283" s="207"/>
      <c r="E283" s="208"/>
      <c r="F283" s="208"/>
      <c r="G283" s="208"/>
      <c r="H283" s="208"/>
      <c r="I283" s="208"/>
      <c r="J283" s="208"/>
      <c r="K283" s="208"/>
    </row>
    <row r="284" spans="1:12">
      <c r="A284" s="190"/>
      <c r="B284" s="190"/>
      <c r="C284" s="207"/>
      <c r="D284" s="207"/>
      <c r="E284" s="208"/>
      <c r="F284" s="208"/>
      <c r="G284" s="208"/>
      <c r="H284" s="208"/>
      <c r="I284" s="208"/>
      <c r="J284" s="208"/>
      <c r="K284" s="208"/>
    </row>
    <row r="285" spans="1:12">
      <c r="A285" s="190"/>
      <c r="B285" s="190"/>
      <c r="C285" s="207"/>
      <c r="D285" s="207"/>
      <c r="E285" s="208"/>
      <c r="F285" s="208"/>
      <c r="G285" s="208"/>
      <c r="H285" s="208"/>
      <c r="I285" s="208"/>
      <c r="J285" s="208"/>
      <c r="K285" s="208"/>
    </row>
    <row r="286" spans="1:12">
      <c r="A286" s="190"/>
      <c r="B286" s="190"/>
      <c r="C286" s="207"/>
      <c r="D286" s="207"/>
      <c r="E286" s="208"/>
      <c r="F286" s="208"/>
      <c r="G286" s="208"/>
      <c r="H286" s="208"/>
      <c r="I286" s="208"/>
      <c r="J286" s="208"/>
      <c r="K286" s="208"/>
    </row>
    <row r="287" spans="1:12">
      <c r="A287" s="190"/>
      <c r="B287" s="190"/>
      <c r="C287" s="207"/>
      <c r="D287" s="207"/>
      <c r="E287" s="208"/>
      <c r="F287" s="208"/>
      <c r="G287" s="208"/>
      <c r="H287" s="208"/>
      <c r="I287" s="208"/>
      <c r="J287" s="208"/>
      <c r="K287" s="208"/>
    </row>
    <row r="288" spans="1:12">
      <c r="A288" s="190"/>
      <c r="B288" s="190"/>
      <c r="C288" s="207"/>
      <c r="D288" s="207"/>
      <c r="E288" s="208"/>
      <c r="F288" s="208"/>
      <c r="G288" s="208"/>
      <c r="H288" s="208"/>
      <c r="I288" s="208"/>
      <c r="J288" s="208"/>
      <c r="K288" s="208"/>
    </row>
    <row r="289" spans="1:11">
      <c r="A289" s="190"/>
      <c r="B289" s="190"/>
      <c r="C289" s="207"/>
      <c r="D289" s="207"/>
      <c r="E289" s="208"/>
      <c r="F289" s="208"/>
      <c r="G289" s="208"/>
      <c r="H289" s="208"/>
      <c r="I289" s="208"/>
      <c r="J289" s="208"/>
      <c r="K289" s="208"/>
    </row>
    <row r="290" spans="1:11">
      <c r="A290" s="190"/>
      <c r="B290" s="190"/>
      <c r="C290" s="207"/>
      <c r="D290" s="207"/>
      <c r="E290" s="208"/>
      <c r="F290" s="208"/>
      <c r="G290" s="208"/>
      <c r="H290" s="208"/>
      <c r="I290" s="208"/>
      <c r="J290" s="208"/>
      <c r="K290" s="208"/>
    </row>
    <row r="291" spans="1:11">
      <c r="A291" s="190"/>
      <c r="B291" s="190"/>
      <c r="C291" s="207"/>
      <c r="D291" s="207"/>
      <c r="E291" s="208"/>
      <c r="F291" s="208"/>
      <c r="G291" s="208"/>
      <c r="H291" s="208"/>
      <c r="I291" s="208"/>
      <c r="J291" s="208"/>
      <c r="K291" s="208"/>
    </row>
    <row r="292" spans="1:11">
      <c r="A292" s="190"/>
      <c r="B292" s="190"/>
      <c r="C292" s="207"/>
      <c r="D292" s="207"/>
      <c r="E292" s="208"/>
      <c r="F292" s="208"/>
      <c r="G292" s="208"/>
      <c r="H292" s="208"/>
      <c r="I292" s="208"/>
      <c r="J292" s="208"/>
      <c r="K292" s="208"/>
    </row>
    <row r="293" spans="1:11" ht="7.5" customHeight="1">
      <c r="A293" s="190"/>
      <c r="B293" s="190"/>
      <c r="C293" s="207"/>
      <c r="D293" s="207"/>
      <c r="E293" s="208"/>
      <c r="F293" s="208"/>
      <c r="G293" s="208"/>
      <c r="H293" s="208"/>
      <c r="I293" s="208"/>
      <c r="J293" s="208"/>
      <c r="K293" s="208"/>
    </row>
    <row r="294" spans="1:11" ht="18.75">
      <c r="A294" s="190"/>
      <c r="B294" s="523" t="s">
        <v>1306</v>
      </c>
      <c r="C294" s="523"/>
      <c r="D294" s="523"/>
      <c r="E294" s="523"/>
      <c r="F294" s="523"/>
      <c r="G294" s="523"/>
      <c r="H294" s="523"/>
      <c r="I294" s="523"/>
      <c r="J294" s="523"/>
      <c r="K294" s="523"/>
    </row>
    <row r="295" spans="1:11" ht="15" customHeight="1">
      <c r="A295" s="190"/>
      <c r="B295" s="80"/>
      <c r="C295" s="3"/>
      <c r="D295" s="2"/>
      <c r="E295" s="2"/>
      <c r="F295" s="2"/>
      <c r="G295" s="2"/>
      <c r="H295" s="2"/>
      <c r="I295" s="2"/>
      <c r="J295" s="2"/>
      <c r="K295" s="2"/>
    </row>
    <row r="296" spans="1:11" ht="12.75" customHeight="1">
      <c r="A296" s="190"/>
      <c r="B296" s="529" t="s">
        <v>1307</v>
      </c>
      <c r="C296" s="529"/>
      <c r="D296" s="529"/>
      <c r="E296" s="529"/>
      <c r="F296" s="529"/>
      <c r="G296" s="529"/>
      <c r="H296" s="529"/>
      <c r="I296" s="529"/>
      <c r="J296" s="529"/>
      <c r="K296" s="529"/>
    </row>
    <row r="297" spans="1:11" ht="12.75" customHeight="1">
      <c r="A297" s="190"/>
      <c r="B297" s="529"/>
      <c r="C297" s="529"/>
      <c r="D297" s="529"/>
      <c r="E297" s="529"/>
      <c r="F297" s="529"/>
      <c r="G297" s="529"/>
      <c r="H297" s="529"/>
      <c r="I297" s="529"/>
      <c r="J297" s="529"/>
      <c r="K297" s="529"/>
    </row>
    <row r="298" spans="1:11" ht="12.75" customHeight="1">
      <c r="A298" s="190"/>
      <c r="B298" s="529"/>
      <c r="C298" s="529"/>
      <c r="D298" s="529"/>
      <c r="E298" s="529"/>
      <c r="F298" s="529"/>
      <c r="G298" s="529"/>
      <c r="H298" s="529"/>
      <c r="I298" s="529"/>
      <c r="J298" s="529"/>
      <c r="K298" s="529"/>
    </row>
    <row r="299" spans="1:11" ht="15" customHeight="1">
      <c r="A299" s="190"/>
      <c r="B299" s="529"/>
      <c r="C299" s="529"/>
      <c r="D299" s="529"/>
      <c r="E299" s="529"/>
      <c r="F299" s="529"/>
      <c r="G299" s="529"/>
      <c r="H299" s="529"/>
      <c r="I299" s="529"/>
      <c r="J299" s="529"/>
      <c r="K299" s="529"/>
    </row>
    <row r="300" spans="1:11" ht="12" customHeight="1">
      <c r="A300" s="190"/>
      <c r="B300" s="187"/>
      <c r="C300" s="31"/>
      <c r="D300" s="31"/>
      <c r="E300" s="31"/>
      <c r="F300" s="31"/>
      <c r="G300" s="31"/>
      <c r="H300" s="2"/>
      <c r="I300" s="2"/>
      <c r="J300" s="2"/>
      <c r="K300" s="2"/>
    </row>
    <row r="301" spans="1:11" ht="15">
      <c r="A301" s="190"/>
      <c r="B301" s="5"/>
      <c r="C301" s="80"/>
      <c r="D301" s="81"/>
      <c r="E301" s="80" t="s">
        <v>312</v>
      </c>
      <c r="F301" s="1"/>
      <c r="G301" s="1"/>
      <c r="H301" s="1"/>
      <c r="I301" s="1"/>
      <c r="J301" s="1"/>
      <c r="K301" s="1"/>
    </row>
    <row r="302" spans="1:11" ht="15">
      <c r="A302" s="190"/>
      <c r="B302" s="81"/>
      <c r="C302" s="80" t="s">
        <v>23</v>
      </c>
      <c r="D302" s="104" t="s">
        <v>253</v>
      </c>
      <c r="E302" s="81" t="s">
        <v>1045</v>
      </c>
      <c r="F302" s="81" t="s">
        <v>312</v>
      </c>
      <c r="G302" s="81" t="s">
        <v>313</v>
      </c>
      <c r="H302" s="81" t="s">
        <v>329</v>
      </c>
      <c r="I302" s="81" t="s">
        <v>332</v>
      </c>
      <c r="J302" s="81" t="s">
        <v>333</v>
      </c>
      <c r="K302" s="81" t="s">
        <v>1224</v>
      </c>
    </row>
    <row r="303" spans="1:11" ht="15.75" thickBot="1">
      <c r="A303" s="190"/>
      <c r="B303" s="209"/>
      <c r="C303" s="83" t="s">
        <v>1</v>
      </c>
      <c r="D303" s="83" t="s">
        <v>1</v>
      </c>
      <c r="E303" s="83" t="s">
        <v>987</v>
      </c>
      <c r="F303" s="83" t="s">
        <v>24</v>
      </c>
      <c r="G303" s="83" t="s">
        <v>1045</v>
      </c>
      <c r="H303" s="83" t="s">
        <v>24</v>
      </c>
      <c r="I303" s="83" t="s">
        <v>24</v>
      </c>
      <c r="J303" s="83" t="s">
        <v>24</v>
      </c>
      <c r="K303" s="83" t="s">
        <v>24</v>
      </c>
    </row>
    <row r="304" spans="1:11" ht="7.5" customHeight="1">
      <c r="A304" s="190"/>
      <c r="B304" s="79"/>
      <c r="C304" s="210"/>
      <c r="D304" s="2"/>
      <c r="E304" s="2"/>
      <c r="F304" s="2"/>
      <c r="G304" s="2"/>
      <c r="H304" s="2"/>
      <c r="I304" s="2"/>
      <c r="J304" s="2"/>
      <c r="K304" s="2"/>
    </row>
    <row r="305" spans="1:12" ht="15">
      <c r="A305" s="190"/>
      <c r="B305" s="198" t="s">
        <v>1046</v>
      </c>
      <c r="C305" s="2"/>
      <c r="D305" s="2"/>
      <c r="E305" s="2"/>
      <c r="F305" s="2"/>
      <c r="G305" s="2"/>
      <c r="H305" s="2"/>
      <c r="I305" s="2"/>
      <c r="J305" s="2"/>
      <c r="K305" s="2"/>
    </row>
    <row r="306" spans="1:12" ht="20.100000000000001" customHeight="1">
      <c r="A306" s="190"/>
      <c r="B306" s="5" t="s">
        <v>1049</v>
      </c>
      <c r="C306" s="2">
        <f>SUM('Budget Detail FY 2013-18'!N489:N494)</f>
        <v>43167</v>
      </c>
      <c r="D306" s="2">
        <f>SUM('Budget Detail FY 2013-18'!O489:O494)</f>
        <v>55000</v>
      </c>
      <c r="E306" s="2">
        <f>SUM('Budget Detail FY 2013-18'!P489:P494)</f>
        <v>50750</v>
      </c>
      <c r="F306" s="2">
        <f>SUM('Budget Detail FY 2013-18'!Q489:Q494)</f>
        <v>64315</v>
      </c>
      <c r="G306" s="2">
        <f>SUM('Budget Detail FY 2013-18'!R489:R494)</f>
        <v>49275</v>
      </c>
      <c r="H306" s="2">
        <f>SUM('Budget Detail FY 2013-18'!S489:S494)</f>
        <v>49275</v>
      </c>
      <c r="I306" s="2">
        <f>SUM('Budget Detail FY 2013-18'!T489:T494)</f>
        <v>49275</v>
      </c>
      <c r="J306" s="2">
        <f>SUM('Budget Detail FY 2013-18'!U489:U494)</f>
        <v>49275</v>
      </c>
      <c r="K306" s="2">
        <f>SUM('Budget Detail FY 2013-18'!V489:V494)</f>
        <v>49275</v>
      </c>
    </row>
    <row r="307" spans="1:12" ht="20.100000000000001" customHeight="1">
      <c r="A307" s="190"/>
      <c r="B307" s="5" t="s">
        <v>1050</v>
      </c>
      <c r="C307" s="2">
        <f>SUM('Budget Detail FY 2013-18'!N495:N497)</f>
        <v>12612</v>
      </c>
      <c r="D307" s="2">
        <f>SUM('Budget Detail FY 2013-18'!O495:O497)</f>
        <v>6233</v>
      </c>
      <c r="E307" s="2">
        <f>SUM('Budget Detail FY 2013-18'!P495:P497)</f>
        <v>11650</v>
      </c>
      <c r="F307" s="2">
        <f>SUM('Budget Detail FY 2013-18'!Q495:Q497)</f>
        <v>12850</v>
      </c>
      <c r="G307" s="2">
        <f>SUM('Budget Detail FY 2013-18'!R495:R497)</f>
        <v>8850</v>
      </c>
      <c r="H307" s="2">
        <f>SUM('Budget Detail FY 2013-18'!S495:S497)</f>
        <v>8850</v>
      </c>
      <c r="I307" s="2">
        <f>SUM('Budget Detail FY 2013-18'!T495:T497)</f>
        <v>8850</v>
      </c>
      <c r="J307" s="2">
        <f>SUM('Budget Detail FY 2013-18'!U495:U497)</f>
        <v>8850</v>
      </c>
      <c r="K307" s="2">
        <f>SUM('Budget Detail FY 2013-18'!V495:V497)</f>
        <v>8850</v>
      </c>
    </row>
    <row r="308" spans="1:12" ht="20.100000000000001" customHeight="1">
      <c r="A308" s="190"/>
      <c r="B308" s="5" t="s">
        <v>1051</v>
      </c>
      <c r="C308" s="2">
        <f>SUM('Budget Detail FY 2013-18'!N498:N500)</f>
        <v>4897</v>
      </c>
      <c r="D308" s="2">
        <f>SUM('Budget Detail FY 2013-18'!O498:O500)</f>
        <v>6040</v>
      </c>
      <c r="E308" s="2">
        <f>SUM('Budget Detail FY 2013-18'!P498:P500)</f>
        <v>20000</v>
      </c>
      <c r="F308" s="2">
        <f>SUM('Budget Detail FY 2013-18'!Q498:Q500)</f>
        <v>5632</v>
      </c>
      <c r="G308" s="2">
        <f>SUM('Budget Detail FY 2013-18'!R498:R500)</f>
        <v>150150</v>
      </c>
      <c r="H308" s="2">
        <f>SUM('Budget Detail FY 2013-18'!S498:S500)</f>
        <v>113452</v>
      </c>
      <c r="I308" s="2">
        <f>SUM('Budget Detail FY 2013-18'!T498:T500)</f>
        <v>136087</v>
      </c>
      <c r="J308" s="2">
        <f>SUM('Budget Detail FY 2013-18'!U498:U500)</f>
        <v>136087</v>
      </c>
      <c r="K308" s="2">
        <f>SUM('Budget Detail FY 2013-18'!V498:V500)</f>
        <v>136087</v>
      </c>
    </row>
    <row r="309" spans="1:12" ht="20.100000000000001" customHeight="1">
      <c r="A309" s="190"/>
      <c r="B309" s="5" t="s">
        <v>1052</v>
      </c>
      <c r="C309" s="2">
        <f>SUM('Budget Detail FY 2013-18'!N501:N503)</f>
        <v>99</v>
      </c>
      <c r="D309" s="2">
        <f>SUM('Budget Detail FY 2013-18'!O501:O503)</f>
        <v>405</v>
      </c>
      <c r="E309" s="2">
        <f>SUM('Budget Detail FY 2013-18'!P501:P503)</f>
        <v>300</v>
      </c>
      <c r="F309" s="2">
        <f>SUM('Budget Detail FY 2013-18'!Q501:Q503)</f>
        <v>520</v>
      </c>
      <c r="G309" s="2">
        <f>SUM('Budget Detail FY 2013-18'!R501:R503)</f>
        <v>475</v>
      </c>
      <c r="H309" s="2">
        <f>SUM('Budget Detail FY 2013-18'!S501:S503)</f>
        <v>475</v>
      </c>
      <c r="I309" s="2">
        <f>SUM('Budget Detail FY 2013-18'!T501:T503)</f>
        <v>475</v>
      </c>
      <c r="J309" s="2">
        <f>SUM('Budget Detail FY 2013-18'!U501:U503)</f>
        <v>475</v>
      </c>
      <c r="K309" s="2">
        <f>SUM('Budget Detail FY 2013-18'!V501:V503)</f>
        <v>475</v>
      </c>
    </row>
    <row r="310" spans="1:12" ht="20.100000000000001" customHeight="1">
      <c r="A310" s="190"/>
      <c r="B310" s="5" t="s">
        <v>1053</v>
      </c>
      <c r="C310" s="2">
        <f>'Budget Detail FY 2013-18'!N504</f>
        <v>7500</v>
      </c>
      <c r="D310" s="2">
        <f>'Budget Detail FY 2013-18'!O504</f>
        <v>10702</v>
      </c>
      <c r="E310" s="2">
        <f>'Budget Detail FY 2013-18'!P504</f>
        <v>40000</v>
      </c>
      <c r="F310" s="2">
        <f>'Budget Detail FY 2013-18'!Q504</f>
        <v>40000</v>
      </c>
      <c r="G310" s="2">
        <f>'Budget Detail FY 2013-18'!R504</f>
        <v>50000</v>
      </c>
      <c r="H310" s="2">
        <f>'Budget Detail FY 2013-18'!S504</f>
        <v>0</v>
      </c>
      <c r="I310" s="2">
        <f>'Budget Detail FY 2013-18'!T504</f>
        <v>0</v>
      </c>
      <c r="J310" s="2">
        <f>'Budget Detail FY 2013-18'!U504</f>
        <v>0</v>
      </c>
      <c r="K310" s="2">
        <f>'Budget Detail FY 2013-18'!V504</f>
        <v>0</v>
      </c>
    </row>
    <row r="311" spans="1:12" ht="20.100000000000001" customHeight="1">
      <c r="A311" s="190"/>
      <c r="B311" s="5" t="s">
        <v>1054</v>
      </c>
      <c r="C311" s="2">
        <f>SUM('Budget Detail FY 2013-18'!N505:N508)</f>
        <v>16183</v>
      </c>
      <c r="D311" s="2">
        <f>SUM('Budget Detail FY 2013-18'!O505:O508)</f>
        <v>16100</v>
      </c>
      <c r="E311" s="2">
        <f>SUM('Budget Detail FY 2013-18'!P505:P508)</f>
        <v>1000</v>
      </c>
      <c r="F311" s="2">
        <f>SUM('Budget Detail FY 2013-18'!Q505:Q508)</f>
        <v>966</v>
      </c>
      <c r="G311" s="2">
        <f>SUM('Budget Detail FY 2013-18'!R505:R508)</f>
        <v>1000</v>
      </c>
      <c r="H311" s="2">
        <f>SUM('Budget Detail FY 2013-18'!S505:S508)</f>
        <v>1000</v>
      </c>
      <c r="I311" s="2">
        <f>SUM('Budget Detail FY 2013-18'!T505:T508)</f>
        <v>1000</v>
      </c>
      <c r="J311" s="2">
        <f>SUM('Budget Detail FY 2013-18'!U505:U508)</f>
        <v>1000</v>
      </c>
      <c r="K311" s="2">
        <f>SUM('Budget Detail FY 2013-18'!V505:V508)</f>
        <v>1000</v>
      </c>
    </row>
    <row r="312" spans="1:12" ht="20.100000000000001" customHeight="1">
      <c r="A312" s="190"/>
      <c r="B312" s="5" t="s">
        <v>1055</v>
      </c>
      <c r="C312" s="2">
        <f>'Budget Detail FY 2013-18'!N509</f>
        <v>0</v>
      </c>
      <c r="D312" s="2">
        <f>'Budget Detail FY 2013-18'!O509</f>
        <v>3500</v>
      </c>
      <c r="E312" s="2">
        <f>'Budget Detail FY 2013-18'!P509</f>
        <v>2500</v>
      </c>
      <c r="F312" s="2">
        <f>'Budget Detail FY 2013-18'!Q509</f>
        <v>2500</v>
      </c>
      <c r="G312" s="2">
        <f>'Budget Detail FY 2013-18'!R509</f>
        <v>0</v>
      </c>
      <c r="H312" s="2">
        <f>'Budget Detail FY 2013-18'!S509</f>
        <v>0</v>
      </c>
      <c r="I312" s="2">
        <f>'Budget Detail FY 2013-18'!T509</f>
        <v>0</v>
      </c>
      <c r="J312" s="2">
        <f>'Budget Detail FY 2013-18'!U509</f>
        <v>0</v>
      </c>
      <c r="K312" s="2">
        <f>'Budget Detail FY 2013-18'!V509</f>
        <v>0</v>
      </c>
    </row>
    <row r="313" spans="1:12" ht="20.100000000000001" customHeight="1" thickBot="1">
      <c r="A313" s="190"/>
      <c r="B313" s="193" t="s">
        <v>1056</v>
      </c>
      <c r="C313" s="188">
        <f>SUM(C306:C312)</f>
        <v>84458</v>
      </c>
      <c r="D313" s="188">
        <f t="shared" ref="D313:K313" si="47">SUM(D306:D312)</f>
        <v>97980</v>
      </c>
      <c r="E313" s="188">
        <f t="shared" si="47"/>
        <v>126200</v>
      </c>
      <c r="F313" s="188">
        <f t="shared" si="47"/>
        <v>126783</v>
      </c>
      <c r="G313" s="188">
        <f t="shared" si="47"/>
        <v>259750</v>
      </c>
      <c r="H313" s="188">
        <f t="shared" si="47"/>
        <v>173052</v>
      </c>
      <c r="I313" s="188">
        <f t="shared" si="47"/>
        <v>195687</v>
      </c>
      <c r="J313" s="188">
        <f t="shared" si="47"/>
        <v>195687</v>
      </c>
      <c r="K313" s="188">
        <f t="shared" si="47"/>
        <v>195687</v>
      </c>
    </row>
    <row r="314" spans="1:12" s="152" customFormat="1" ht="15" hidden="1">
      <c r="A314" s="194"/>
      <c r="B314" s="195"/>
      <c r="C314" s="163">
        <f>'Budget Detail FY 2013-18'!N511</f>
        <v>84458</v>
      </c>
      <c r="D314" s="163">
        <f>'Budget Detail FY 2013-18'!O511</f>
        <v>97980</v>
      </c>
      <c r="E314" s="163">
        <f>'Budget Detail FY 2013-18'!P511</f>
        <v>126200</v>
      </c>
      <c r="F314" s="163">
        <f>'Budget Detail FY 2013-18'!Q511</f>
        <v>126783</v>
      </c>
      <c r="G314" s="163">
        <f>'Budget Detail FY 2013-18'!R511</f>
        <v>259750</v>
      </c>
      <c r="H314" s="163">
        <f>'Budget Detail FY 2013-18'!S511</f>
        <v>173052</v>
      </c>
      <c r="I314" s="163">
        <f>'Budget Detail FY 2013-18'!T511</f>
        <v>195687</v>
      </c>
      <c r="J314" s="163">
        <f>'Budget Detail FY 2013-18'!U511</f>
        <v>195687</v>
      </c>
      <c r="K314" s="163">
        <f>'Budget Detail FY 2013-18'!V511</f>
        <v>195687</v>
      </c>
      <c r="L314" s="166" t="s">
        <v>1462</v>
      </c>
    </row>
    <row r="315" spans="1:12" s="158" customFormat="1" ht="14.25" hidden="1">
      <c r="A315" s="196"/>
      <c r="B315" s="197"/>
      <c r="C315" s="164">
        <f>C313-C314</f>
        <v>0</v>
      </c>
      <c r="D315" s="164">
        <f t="shared" ref="D315:K315" si="48">D313-D314</f>
        <v>0</v>
      </c>
      <c r="E315" s="164">
        <f t="shared" si="48"/>
        <v>0</v>
      </c>
      <c r="F315" s="164">
        <f t="shared" si="48"/>
        <v>0</v>
      </c>
      <c r="G315" s="164">
        <f t="shared" si="48"/>
        <v>0</v>
      </c>
      <c r="H315" s="164">
        <f t="shared" si="48"/>
        <v>0</v>
      </c>
      <c r="I315" s="164">
        <f t="shared" si="48"/>
        <v>0</v>
      </c>
      <c r="J315" s="164">
        <f t="shared" si="48"/>
        <v>0</v>
      </c>
      <c r="K315" s="164">
        <f t="shared" si="48"/>
        <v>0</v>
      </c>
      <c r="L315" s="167" t="s">
        <v>1463</v>
      </c>
    </row>
    <row r="316" spans="1:12" ht="7.5" customHeight="1">
      <c r="A316" s="190"/>
      <c r="B316" s="1"/>
      <c r="C316" s="2"/>
      <c r="D316" s="2"/>
      <c r="E316" s="2"/>
      <c r="F316" s="2"/>
      <c r="G316" s="2"/>
      <c r="H316" s="2"/>
      <c r="I316" s="2"/>
      <c r="J316" s="2"/>
      <c r="K316" s="2"/>
    </row>
    <row r="317" spans="1:12" ht="15">
      <c r="A317" s="190"/>
      <c r="B317" s="198" t="s">
        <v>1311</v>
      </c>
      <c r="C317" s="2"/>
      <c r="D317" s="2"/>
      <c r="E317" s="2"/>
      <c r="F317" s="2"/>
      <c r="G317" s="2"/>
      <c r="H317" s="2"/>
      <c r="I317" s="2"/>
      <c r="J317" s="2"/>
      <c r="K317" s="2"/>
    </row>
    <row r="318" spans="1:12" ht="20.100000000000001" customHeight="1">
      <c r="A318" s="190"/>
      <c r="B318" s="199" t="s">
        <v>1059</v>
      </c>
      <c r="C318" s="2">
        <f>SUM('Budget Detail FY 2013-18'!N514:N515)</f>
        <v>9493</v>
      </c>
      <c r="D318" s="2">
        <f>SUM('Budget Detail FY 2013-18'!O514:O515)</f>
        <v>2647</v>
      </c>
      <c r="E318" s="2">
        <f>SUM('Budget Detail FY 2013-18'!P514:P515)</f>
        <v>12500</v>
      </c>
      <c r="F318" s="2">
        <f>SUM('Budget Detail FY 2013-18'!Q514:Q515)</f>
        <v>17270</v>
      </c>
      <c r="G318" s="2">
        <f>SUM('Budget Detail FY 2013-18'!R514:R515)</f>
        <v>11667</v>
      </c>
      <c r="H318" s="2">
        <f>SUM('Budget Detail FY 2013-18'!S514:S515)</f>
        <v>11667</v>
      </c>
      <c r="I318" s="2">
        <f>SUM('Budget Detail FY 2013-18'!T514:T515)</f>
        <v>11667</v>
      </c>
      <c r="J318" s="2">
        <f>SUM('Budget Detail FY 2013-18'!U514:U515)</f>
        <v>11667</v>
      </c>
      <c r="K318" s="2">
        <f>SUM('Budget Detail FY 2013-18'!V514:V515)</f>
        <v>11667</v>
      </c>
    </row>
    <row r="319" spans="1:12" ht="20.100000000000001" customHeight="1">
      <c r="A319" s="190"/>
      <c r="B319" s="199" t="s">
        <v>1060</v>
      </c>
      <c r="C319" s="2">
        <f>'Budget Detail FY 2013-18'!N516</f>
        <v>0</v>
      </c>
      <c r="D319" s="2">
        <f>'Budget Detail FY 2013-18'!O516</f>
        <v>0</v>
      </c>
      <c r="E319" s="2">
        <f>'Budget Detail FY 2013-18'!P516</f>
        <v>2500</v>
      </c>
      <c r="F319" s="2">
        <f>'Budget Detail FY 2013-18'!Q516</f>
        <v>0</v>
      </c>
      <c r="G319" s="2">
        <f>'Budget Detail FY 2013-18'!R516</f>
        <v>0</v>
      </c>
      <c r="H319" s="2">
        <f>'Budget Detail FY 2013-18'!S516</f>
        <v>0</v>
      </c>
      <c r="I319" s="2">
        <f>'Budget Detail FY 2013-18'!T516</f>
        <v>0</v>
      </c>
      <c r="J319" s="2">
        <f>'Budget Detail FY 2013-18'!U516</f>
        <v>0</v>
      </c>
      <c r="K319" s="2">
        <f>'Budget Detail FY 2013-18'!V516</f>
        <v>0</v>
      </c>
    </row>
    <row r="320" spans="1:12" ht="20.100000000000001" customHeight="1">
      <c r="A320" s="190"/>
      <c r="B320" s="199" t="s">
        <v>1061</v>
      </c>
      <c r="C320" s="2">
        <f>SUM('Budget Detail FY 2013-18'!N517:N518)</f>
        <v>43772</v>
      </c>
      <c r="D320" s="2">
        <f>SUM('Budget Detail FY 2013-18'!O517:O518)</f>
        <v>0</v>
      </c>
      <c r="E320" s="2">
        <f>SUM('Budget Detail FY 2013-18'!P517:P518)</f>
        <v>45000</v>
      </c>
      <c r="F320" s="2">
        <f>SUM('Budget Detail FY 2013-18'!Q517:Q518)</f>
        <v>139641</v>
      </c>
      <c r="G320" s="2">
        <f>SUM('Budget Detail FY 2013-18'!R517:R518)</f>
        <v>93000</v>
      </c>
      <c r="H320" s="2">
        <f>SUM('Budget Detail FY 2013-18'!S517:S518)</f>
        <v>93000</v>
      </c>
      <c r="I320" s="2">
        <f>SUM('Budget Detail FY 2013-18'!T517:T518)</f>
        <v>93000</v>
      </c>
      <c r="J320" s="2">
        <f>SUM('Budget Detail FY 2013-18'!U517:U518)</f>
        <v>93000</v>
      </c>
      <c r="K320" s="2">
        <f>SUM('Budget Detail FY 2013-18'!V517:V518)</f>
        <v>93000</v>
      </c>
    </row>
    <row r="321" spans="1:12" ht="20.100000000000001" customHeight="1" thickBot="1">
      <c r="A321" s="190"/>
      <c r="B321" s="193" t="s">
        <v>1318</v>
      </c>
      <c r="C321" s="218">
        <f>SUM(C318:C320)</f>
        <v>53265</v>
      </c>
      <c r="D321" s="218">
        <f t="shared" ref="D321:K321" si="49">SUM(D318:D320)</f>
        <v>2647</v>
      </c>
      <c r="E321" s="218">
        <f t="shared" si="49"/>
        <v>60000</v>
      </c>
      <c r="F321" s="218">
        <f t="shared" si="49"/>
        <v>156911</v>
      </c>
      <c r="G321" s="218">
        <f t="shared" si="49"/>
        <v>104667</v>
      </c>
      <c r="H321" s="218">
        <f t="shared" si="49"/>
        <v>104667</v>
      </c>
      <c r="I321" s="218">
        <f t="shared" si="49"/>
        <v>104667</v>
      </c>
      <c r="J321" s="218">
        <f t="shared" si="49"/>
        <v>104667</v>
      </c>
      <c r="K321" s="218">
        <f t="shared" si="49"/>
        <v>104667</v>
      </c>
    </row>
    <row r="322" spans="1:12" s="152" customFormat="1" ht="15" hidden="1">
      <c r="A322" s="194"/>
      <c r="B322" s="195"/>
      <c r="C322" s="163">
        <f>'Budget Detail FY 2013-18'!N519</f>
        <v>53265</v>
      </c>
      <c r="D322" s="163">
        <f>'Budget Detail FY 2013-18'!O519</f>
        <v>2647</v>
      </c>
      <c r="E322" s="163">
        <f>'Budget Detail FY 2013-18'!P519</f>
        <v>60000</v>
      </c>
      <c r="F322" s="163">
        <f>'Budget Detail FY 2013-18'!Q519</f>
        <v>156911</v>
      </c>
      <c r="G322" s="163">
        <f>'Budget Detail FY 2013-18'!R519</f>
        <v>104667</v>
      </c>
      <c r="H322" s="163">
        <f>'Budget Detail FY 2013-18'!S519</f>
        <v>104667</v>
      </c>
      <c r="I322" s="163">
        <f>'Budget Detail FY 2013-18'!T519</f>
        <v>104667</v>
      </c>
      <c r="J322" s="163">
        <f>'Budget Detail FY 2013-18'!U519</f>
        <v>104667</v>
      </c>
      <c r="K322" s="163">
        <f>'Budget Detail FY 2013-18'!V519</f>
        <v>104667</v>
      </c>
      <c r="L322" s="166" t="s">
        <v>1462</v>
      </c>
    </row>
    <row r="323" spans="1:12" s="158" customFormat="1" ht="15" hidden="1">
      <c r="A323" s="196"/>
      <c r="B323" s="197"/>
      <c r="C323" s="203">
        <f>C321-C322</f>
        <v>0</v>
      </c>
      <c r="D323" s="203">
        <f t="shared" ref="D323:K323" si="50">D321-D322</f>
        <v>0</v>
      </c>
      <c r="E323" s="203">
        <f t="shared" si="50"/>
        <v>0</v>
      </c>
      <c r="F323" s="203">
        <f t="shared" si="50"/>
        <v>0</v>
      </c>
      <c r="G323" s="203">
        <f t="shared" si="50"/>
        <v>0</v>
      </c>
      <c r="H323" s="203">
        <f t="shared" si="50"/>
        <v>0</v>
      </c>
      <c r="I323" s="203">
        <f t="shared" si="50"/>
        <v>0</v>
      </c>
      <c r="J323" s="203">
        <f t="shared" si="50"/>
        <v>0</v>
      </c>
      <c r="K323" s="203">
        <f t="shared" si="50"/>
        <v>0</v>
      </c>
      <c r="L323" s="167" t="s">
        <v>1463</v>
      </c>
    </row>
    <row r="324" spans="1:12" ht="7.5" customHeight="1">
      <c r="A324" s="190"/>
      <c r="B324" s="200"/>
      <c r="C324" s="4"/>
      <c r="D324" s="4"/>
      <c r="E324" s="4"/>
      <c r="F324" s="4"/>
      <c r="G324" s="4"/>
      <c r="H324" s="4"/>
      <c r="I324" s="4"/>
      <c r="J324" s="4"/>
      <c r="K324" s="4"/>
    </row>
    <row r="325" spans="1:12" ht="15">
      <c r="A325" s="190"/>
      <c r="B325" s="198" t="s">
        <v>1312</v>
      </c>
      <c r="C325" s="2"/>
      <c r="D325" s="2"/>
      <c r="E325" s="2"/>
      <c r="F325" s="2"/>
      <c r="G325" s="2"/>
      <c r="H325" s="2"/>
      <c r="I325" s="2"/>
      <c r="J325" s="2"/>
      <c r="K325" s="2"/>
    </row>
    <row r="326" spans="1:12" ht="20.100000000000001" customHeight="1">
      <c r="A326" s="190"/>
      <c r="B326" s="199" t="s">
        <v>1059</v>
      </c>
      <c r="C326" s="2">
        <f>SUM('Budget Detail FY 2013-18'!N522:N524)</f>
        <v>49</v>
      </c>
      <c r="D326" s="2">
        <f>SUM('Budget Detail FY 2013-18'!O522:O524)</f>
        <v>10076</v>
      </c>
      <c r="E326" s="2">
        <f>SUM('Budget Detail FY 2013-18'!P522:P524)</f>
        <v>10500</v>
      </c>
      <c r="F326" s="2">
        <f>SUM('Budget Detail FY 2013-18'!Q522:Q524)</f>
        <v>21402</v>
      </c>
      <c r="G326" s="2">
        <f>SUM('Budget Detail FY 2013-18'!R522:R524)</f>
        <v>6500</v>
      </c>
      <c r="H326" s="2">
        <f>SUM('Budget Detail FY 2013-18'!S522:S524)</f>
        <v>6500</v>
      </c>
      <c r="I326" s="2">
        <f>SUM('Budget Detail FY 2013-18'!T522:T524)</f>
        <v>6500</v>
      </c>
      <c r="J326" s="2">
        <f>SUM('Budget Detail FY 2013-18'!U522:U524)</f>
        <v>6500</v>
      </c>
      <c r="K326" s="2">
        <f>SUM('Budget Detail FY 2013-18'!V522:V524)</f>
        <v>6500</v>
      </c>
    </row>
    <row r="327" spans="1:12" ht="20.100000000000001" customHeight="1">
      <c r="A327" s="190"/>
      <c r="B327" s="199" t="s">
        <v>1060</v>
      </c>
      <c r="C327" s="2">
        <f>'Budget Detail FY 2013-18'!N525</f>
        <v>0</v>
      </c>
      <c r="D327" s="2">
        <f>'Budget Detail FY 2013-18'!O525</f>
        <v>0</v>
      </c>
      <c r="E327" s="2">
        <f>'Budget Detail FY 2013-18'!P525</f>
        <v>2000</v>
      </c>
      <c r="F327" s="2">
        <f>'Budget Detail FY 2013-18'!Q525</f>
        <v>2000</v>
      </c>
      <c r="G327" s="2">
        <f>'Budget Detail FY 2013-18'!R525</f>
        <v>2000</v>
      </c>
      <c r="H327" s="2">
        <f>'Budget Detail FY 2013-18'!S525</f>
        <v>2000</v>
      </c>
      <c r="I327" s="2">
        <f>'Budget Detail FY 2013-18'!T525</f>
        <v>2000</v>
      </c>
      <c r="J327" s="2">
        <f>'Budget Detail FY 2013-18'!U525</f>
        <v>2000</v>
      </c>
      <c r="K327" s="2">
        <f>'Budget Detail FY 2013-18'!V525</f>
        <v>2000</v>
      </c>
    </row>
    <row r="328" spans="1:12" ht="20.100000000000001" customHeight="1">
      <c r="A328" s="190"/>
      <c r="B328" s="199" t="s">
        <v>1061</v>
      </c>
      <c r="C328" s="2">
        <f>SUM('Budget Detail FY 2013-18'!N526:N527)</f>
        <v>4000</v>
      </c>
      <c r="D328" s="2">
        <f>SUM('Budget Detail FY 2013-18'!O526:O527)</f>
        <v>0</v>
      </c>
      <c r="E328" s="2">
        <f>SUM('Budget Detail FY 2013-18'!P526:P527)</f>
        <v>75000</v>
      </c>
      <c r="F328" s="2">
        <f>SUM('Budget Detail FY 2013-18'!Q526:Q527)</f>
        <v>75000</v>
      </c>
      <c r="G328" s="2">
        <f>SUM('Budget Detail FY 2013-18'!R526:R527)</f>
        <v>30000</v>
      </c>
      <c r="H328" s="2">
        <f>SUM('Budget Detail FY 2013-18'!S526:S527)</f>
        <v>0</v>
      </c>
      <c r="I328" s="2">
        <f>SUM('Budget Detail FY 2013-18'!T526:T527)</f>
        <v>0</v>
      </c>
      <c r="J328" s="2">
        <f>SUM('Budget Detail FY 2013-18'!U526:U527)</f>
        <v>0</v>
      </c>
      <c r="K328" s="2">
        <f>SUM('Budget Detail FY 2013-18'!V526:V527)</f>
        <v>0</v>
      </c>
    </row>
    <row r="329" spans="1:12" ht="20.100000000000001" customHeight="1">
      <c r="A329" s="190"/>
      <c r="B329" s="199" t="s">
        <v>967</v>
      </c>
      <c r="C329" s="2">
        <f>SUM('Budget Detail FY 2013-18'!N529:N530)</f>
        <v>82295</v>
      </c>
      <c r="D329" s="2">
        <f>SUM('Budget Detail FY 2013-18'!O529:O530)</f>
        <v>82295</v>
      </c>
      <c r="E329" s="2">
        <f>SUM('Budget Detail FY 2013-18'!P529:P530)</f>
        <v>82295</v>
      </c>
      <c r="F329" s="2">
        <f>SUM('Budget Detail FY 2013-18'!Q529:Q530)</f>
        <v>82295</v>
      </c>
      <c r="G329" s="2">
        <f>SUM('Budget Detail FY 2013-18'!R529:R530)</f>
        <v>79795</v>
      </c>
      <c r="H329" s="2">
        <f>SUM('Budget Detail FY 2013-18'!S529:S530)</f>
        <v>79795</v>
      </c>
      <c r="I329" s="2">
        <f>SUM('Budget Detail FY 2013-18'!T529:T530)</f>
        <v>79795</v>
      </c>
      <c r="J329" s="2">
        <f>SUM('Budget Detail FY 2013-18'!U529:U530)</f>
        <v>79795</v>
      </c>
      <c r="K329" s="2">
        <f>SUM('Budget Detail FY 2013-18'!V529:V530)</f>
        <v>79795</v>
      </c>
    </row>
    <row r="330" spans="1:12" ht="20.100000000000001" customHeight="1" thickBot="1">
      <c r="A330" s="190"/>
      <c r="B330" s="193" t="s">
        <v>1318</v>
      </c>
      <c r="C330" s="218">
        <f>SUM(C326:C329)</f>
        <v>86344</v>
      </c>
      <c r="D330" s="218">
        <f t="shared" ref="D330:K330" si="51">SUM(D326:D329)</f>
        <v>92371</v>
      </c>
      <c r="E330" s="218">
        <f t="shared" si="51"/>
        <v>169795</v>
      </c>
      <c r="F330" s="218">
        <f t="shared" si="51"/>
        <v>180697</v>
      </c>
      <c r="G330" s="218">
        <f t="shared" si="51"/>
        <v>118295</v>
      </c>
      <c r="H330" s="218">
        <f t="shared" si="51"/>
        <v>88295</v>
      </c>
      <c r="I330" s="218">
        <f t="shared" si="51"/>
        <v>88295</v>
      </c>
      <c r="J330" s="218">
        <f t="shared" si="51"/>
        <v>88295</v>
      </c>
      <c r="K330" s="218">
        <f t="shared" si="51"/>
        <v>88295</v>
      </c>
    </row>
    <row r="331" spans="1:12" s="152" customFormat="1" ht="15" hidden="1">
      <c r="A331" s="194"/>
      <c r="B331" s="195"/>
      <c r="C331" s="163">
        <f>'Budget Detail FY 2013-18'!N531</f>
        <v>86344</v>
      </c>
      <c r="D331" s="163">
        <f>'Budget Detail FY 2013-18'!O531</f>
        <v>92371</v>
      </c>
      <c r="E331" s="163">
        <f>'Budget Detail FY 2013-18'!P531</f>
        <v>169795</v>
      </c>
      <c r="F331" s="163">
        <f>'Budget Detail FY 2013-18'!Q531</f>
        <v>180697</v>
      </c>
      <c r="G331" s="163">
        <f>'Budget Detail FY 2013-18'!R531</f>
        <v>118295</v>
      </c>
      <c r="H331" s="163">
        <f>'Budget Detail FY 2013-18'!S531</f>
        <v>88295</v>
      </c>
      <c r="I331" s="163">
        <f>'Budget Detail FY 2013-18'!T531</f>
        <v>88295</v>
      </c>
      <c r="J331" s="163">
        <f>'Budget Detail FY 2013-18'!U531</f>
        <v>88295</v>
      </c>
      <c r="K331" s="163">
        <f>'Budget Detail FY 2013-18'!V531</f>
        <v>88295</v>
      </c>
      <c r="L331" s="166" t="s">
        <v>1462</v>
      </c>
    </row>
    <row r="332" spans="1:12" s="158" customFormat="1" ht="15" hidden="1">
      <c r="A332" s="196"/>
      <c r="B332" s="197"/>
      <c r="C332" s="203">
        <f>C330-C331</f>
        <v>0</v>
      </c>
      <c r="D332" s="203">
        <f t="shared" ref="D332:K332" si="52">D330-D331</f>
        <v>0</v>
      </c>
      <c r="E332" s="203">
        <f t="shared" si="52"/>
        <v>0</v>
      </c>
      <c r="F332" s="203">
        <f t="shared" si="52"/>
        <v>0</v>
      </c>
      <c r="G332" s="203">
        <f t="shared" si="52"/>
        <v>0</v>
      </c>
      <c r="H332" s="203">
        <f t="shared" si="52"/>
        <v>0</v>
      </c>
      <c r="I332" s="203">
        <f t="shared" si="52"/>
        <v>0</v>
      </c>
      <c r="J332" s="203">
        <f t="shared" si="52"/>
        <v>0</v>
      </c>
      <c r="K332" s="203">
        <f t="shared" si="52"/>
        <v>0</v>
      </c>
      <c r="L332" s="167" t="s">
        <v>1463</v>
      </c>
    </row>
    <row r="333" spans="1:12" ht="7.5" customHeight="1">
      <c r="A333" s="190"/>
      <c r="B333" s="200"/>
      <c r="C333" s="4"/>
      <c r="D333" s="4"/>
      <c r="E333" s="4"/>
      <c r="F333" s="4"/>
      <c r="G333" s="4"/>
      <c r="H333" s="4"/>
      <c r="I333" s="4"/>
      <c r="J333" s="4"/>
      <c r="K333" s="4"/>
    </row>
    <row r="334" spans="1:12" ht="15">
      <c r="A334" s="190"/>
      <c r="B334" s="198" t="s">
        <v>1313</v>
      </c>
      <c r="C334" s="2"/>
      <c r="D334" s="2"/>
      <c r="E334" s="2"/>
      <c r="F334" s="2"/>
      <c r="G334" s="2"/>
      <c r="H334" s="2"/>
      <c r="I334" s="2"/>
      <c r="J334" s="2"/>
      <c r="K334" s="2"/>
    </row>
    <row r="335" spans="1:12" ht="20.100000000000001" customHeight="1">
      <c r="A335" s="190"/>
      <c r="B335" s="199" t="s">
        <v>1061</v>
      </c>
      <c r="C335" s="2">
        <f>SUM('Budget Detail FY 2013-18'!N534:N536)</f>
        <v>24658</v>
      </c>
      <c r="D335" s="2">
        <f>SUM('Budget Detail FY 2013-18'!O534:O536)</f>
        <v>0</v>
      </c>
      <c r="E335" s="2">
        <f>SUM('Budget Detail FY 2013-18'!P534:P536)</f>
        <v>50000</v>
      </c>
      <c r="F335" s="2">
        <f>SUM('Budget Detail FY 2013-18'!Q534:Q536)</f>
        <v>12000</v>
      </c>
      <c r="G335" s="2">
        <f>SUM('Budget Detail FY 2013-18'!R534:R536)</f>
        <v>17000</v>
      </c>
      <c r="H335" s="2">
        <f>SUM('Budget Detail FY 2013-18'!S534:S536)</f>
        <v>16000</v>
      </c>
      <c r="I335" s="2">
        <f>SUM('Budget Detail FY 2013-18'!T534:T536)</f>
        <v>0</v>
      </c>
      <c r="J335" s="2">
        <f>SUM('Budget Detail FY 2013-18'!U534:U536)</f>
        <v>0</v>
      </c>
      <c r="K335" s="2">
        <f>SUM('Budget Detail FY 2013-18'!V534:V536)</f>
        <v>0</v>
      </c>
    </row>
    <row r="336" spans="1:12" ht="20.100000000000001" customHeight="1">
      <c r="A336" s="190"/>
      <c r="B336" s="199" t="s">
        <v>967</v>
      </c>
      <c r="C336" s="2">
        <f>SUM('Budget Detail FY 2013-18'!N538:N539)</f>
        <v>0</v>
      </c>
      <c r="D336" s="2">
        <f>SUM('Budget Detail FY 2013-18'!O538:O539)</f>
        <v>0</v>
      </c>
      <c r="E336" s="2">
        <f>SUM('Budget Detail FY 2013-18'!P538:P539)</f>
        <v>0</v>
      </c>
      <c r="F336" s="2">
        <f>SUM('Budget Detail FY 2013-18'!Q538:Q539)</f>
        <v>0</v>
      </c>
      <c r="G336" s="2">
        <f>SUM('Budget Detail FY 2013-18'!R538:R539)</f>
        <v>2500</v>
      </c>
      <c r="H336" s="2">
        <f>SUM('Budget Detail FY 2013-18'!S538:S539)</f>
        <v>2500</v>
      </c>
      <c r="I336" s="2">
        <f>SUM('Budget Detail FY 2013-18'!T538:T539)</f>
        <v>2500</v>
      </c>
      <c r="J336" s="2">
        <f>SUM('Budget Detail FY 2013-18'!U538:U539)</f>
        <v>2500</v>
      </c>
      <c r="K336" s="2">
        <f>SUM('Budget Detail FY 2013-18'!V538:V539)</f>
        <v>2500</v>
      </c>
    </row>
    <row r="337" spans="1:12" ht="20.100000000000001" customHeight="1">
      <c r="A337" s="190"/>
      <c r="B337" s="5" t="s">
        <v>1063</v>
      </c>
      <c r="C337" s="2">
        <f>SUM('Budget Detail FY 2013-18'!N540:N541)</f>
        <v>0</v>
      </c>
      <c r="D337" s="2">
        <f>SUM('Budget Detail FY 2013-18'!O540:O541)</f>
        <v>3500</v>
      </c>
      <c r="E337" s="2">
        <f>SUM('Budget Detail FY 2013-18'!P540:P541)</f>
        <v>2500</v>
      </c>
      <c r="F337" s="2">
        <f>SUM('Budget Detail FY 2013-18'!Q540:Q541)</f>
        <v>2500</v>
      </c>
      <c r="G337" s="2">
        <f>SUM('Budget Detail FY 2013-18'!R540:R541)</f>
        <v>50000</v>
      </c>
      <c r="H337" s="2">
        <f>SUM('Budget Detail FY 2013-18'!S540:S541)</f>
        <v>0</v>
      </c>
      <c r="I337" s="2">
        <f>SUM('Budget Detail FY 2013-18'!T540:T541)</f>
        <v>0</v>
      </c>
      <c r="J337" s="2">
        <f>SUM('Budget Detail FY 2013-18'!U540:U541)</f>
        <v>0</v>
      </c>
      <c r="K337" s="2">
        <f>SUM('Budget Detail FY 2013-18'!V540:V541)</f>
        <v>0</v>
      </c>
    </row>
    <row r="338" spans="1:12" ht="20.100000000000001" customHeight="1" thickBot="1">
      <c r="A338" s="190"/>
      <c r="B338" s="193" t="s">
        <v>1318</v>
      </c>
      <c r="C338" s="218">
        <f>SUM(C335:C337)</f>
        <v>24658</v>
      </c>
      <c r="D338" s="218">
        <f t="shared" ref="D338:K338" si="53">SUM(D335:D337)</f>
        <v>3500</v>
      </c>
      <c r="E338" s="218">
        <f t="shared" si="53"/>
        <v>52500</v>
      </c>
      <c r="F338" s="218">
        <f t="shared" si="53"/>
        <v>14500</v>
      </c>
      <c r="G338" s="218">
        <f t="shared" si="53"/>
        <v>69500</v>
      </c>
      <c r="H338" s="218">
        <f t="shared" si="53"/>
        <v>18500</v>
      </c>
      <c r="I338" s="218">
        <f t="shared" si="53"/>
        <v>2500</v>
      </c>
      <c r="J338" s="218">
        <f t="shared" si="53"/>
        <v>2500</v>
      </c>
      <c r="K338" s="218">
        <f t="shared" si="53"/>
        <v>2500</v>
      </c>
    </row>
    <row r="339" spans="1:12" s="152" customFormat="1" ht="15" hidden="1">
      <c r="A339" s="194"/>
      <c r="B339" s="195"/>
      <c r="C339" s="163">
        <f>'Budget Detail FY 2013-18'!N542</f>
        <v>24658</v>
      </c>
      <c r="D339" s="163">
        <f>'Budget Detail FY 2013-18'!O542</f>
        <v>3500</v>
      </c>
      <c r="E339" s="163">
        <f>'Budget Detail FY 2013-18'!P542</f>
        <v>52500</v>
      </c>
      <c r="F339" s="163">
        <f>'Budget Detail FY 2013-18'!Q542</f>
        <v>14500</v>
      </c>
      <c r="G339" s="163">
        <f>'Budget Detail FY 2013-18'!R542</f>
        <v>69500</v>
      </c>
      <c r="H339" s="163">
        <f>'Budget Detail FY 2013-18'!S542</f>
        <v>18500</v>
      </c>
      <c r="I339" s="163">
        <f>'Budget Detail FY 2013-18'!T542</f>
        <v>2500</v>
      </c>
      <c r="J339" s="163">
        <f>'Budget Detail FY 2013-18'!U542</f>
        <v>2500</v>
      </c>
      <c r="K339" s="163">
        <f>'Budget Detail FY 2013-18'!V542</f>
        <v>2500</v>
      </c>
      <c r="L339" s="166" t="s">
        <v>1462</v>
      </c>
    </row>
    <row r="340" spans="1:12" s="158" customFormat="1" ht="15" hidden="1">
      <c r="A340" s="196"/>
      <c r="B340" s="197"/>
      <c r="C340" s="203">
        <f>C338-C339</f>
        <v>0</v>
      </c>
      <c r="D340" s="203">
        <f t="shared" ref="D340:J340" si="54">D338-D339</f>
        <v>0</v>
      </c>
      <c r="E340" s="203">
        <f t="shared" si="54"/>
        <v>0</v>
      </c>
      <c r="F340" s="203">
        <f t="shared" si="54"/>
        <v>0</v>
      </c>
      <c r="G340" s="203">
        <f t="shared" si="54"/>
        <v>0</v>
      </c>
      <c r="H340" s="203">
        <f t="shared" si="54"/>
        <v>0</v>
      </c>
      <c r="I340" s="203">
        <f t="shared" si="54"/>
        <v>0</v>
      </c>
      <c r="J340" s="203">
        <f t="shared" si="54"/>
        <v>0</v>
      </c>
      <c r="K340" s="203">
        <f>K338-K339</f>
        <v>0</v>
      </c>
      <c r="L340" s="167" t="s">
        <v>1463</v>
      </c>
    </row>
    <row r="341" spans="1:12" ht="7.5" customHeight="1">
      <c r="A341" s="190"/>
      <c r="B341" s="200"/>
      <c r="C341" s="4"/>
      <c r="D341" s="4"/>
      <c r="E341" s="4"/>
      <c r="F341" s="4"/>
      <c r="G341" s="4"/>
      <c r="H341" s="4"/>
      <c r="I341" s="4"/>
      <c r="J341" s="4"/>
      <c r="K341" s="4"/>
    </row>
    <row r="342" spans="1:12" ht="20.100000000000001" customHeight="1" thickBot="1">
      <c r="A342" s="190"/>
      <c r="B342" s="193" t="s">
        <v>1064</v>
      </c>
      <c r="C342" s="188">
        <f>C321+C330+C338</f>
        <v>164267</v>
      </c>
      <c r="D342" s="188">
        <f t="shared" ref="D342:K342" si="55">D321+D330+D338</f>
        <v>98518</v>
      </c>
      <c r="E342" s="188">
        <f t="shared" si="55"/>
        <v>282295</v>
      </c>
      <c r="F342" s="188">
        <f t="shared" si="55"/>
        <v>352108</v>
      </c>
      <c r="G342" s="188">
        <f t="shared" si="55"/>
        <v>292462</v>
      </c>
      <c r="H342" s="188">
        <f t="shared" si="55"/>
        <v>211462</v>
      </c>
      <c r="I342" s="188">
        <f t="shared" si="55"/>
        <v>195462</v>
      </c>
      <c r="J342" s="188">
        <f t="shared" si="55"/>
        <v>195462</v>
      </c>
      <c r="K342" s="188">
        <f t="shared" si="55"/>
        <v>195462</v>
      </c>
    </row>
    <row r="343" spans="1:12" s="152" customFormat="1" ht="15" hidden="1">
      <c r="A343" s="194"/>
      <c r="B343" s="195"/>
      <c r="C343" s="163">
        <f>'Budget Detail FY 2013-18'!N544</f>
        <v>164267</v>
      </c>
      <c r="D343" s="163">
        <f>'Budget Detail FY 2013-18'!O544</f>
        <v>98518</v>
      </c>
      <c r="E343" s="163">
        <f>'Budget Detail FY 2013-18'!P544</f>
        <v>282295</v>
      </c>
      <c r="F343" s="163">
        <f>'Budget Detail FY 2013-18'!Q544</f>
        <v>352108</v>
      </c>
      <c r="G343" s="163">
        <f>'Budget Detail FY 2013-18'!R544</f>
        <v>292462</v>
      </c>
      <c r="H343" s="163">
        <f>'Budget Detail FY 2013-18'!S544</f>
        <v>211462</v>
      </c>
      <c r="I343" s="163">
        <f>'Budget Detail FY 2013-18'!T544</f>
        <v>195462</v>
      </c>
      <c r="J343" s="163">
        <f>'Budget Detail FY 2013-18'!U544</f>
        <v>195462</v>
      </c>
      <c r="K343" s="163">
        <f>'Budget Detail FY 2013-18'!V544</f>
        <v>195462</v>
      </c>
      <c r="L343" s="166" t="s">
        <v>1462</v>
      </c>
    </row>
    <row r="344" spans="1:12" s="158" customFormat="1" ht="14.25" hidden="1">
      <c r="A344" s="196"/>
      <c r="B344" s="197"/>
      <c r="C344" s="164">
        <f>C342-C343</f>
        <v>0</v>
      </c>
      <c r="D344" s="164">
        <f t="shared" ref="D344:K344" si="56">D342-D343</f>
        <v>0</v>
      </c>
      <c r="E344" s="164">
        <f t="shared" si="56"/>
        <v>0</v>
      </c>
      <c r="F344" s="164">
        <f t="shared" si="56"/>
        <v>0</v>
      </c>
      <c r="G344" s="164">
        <f t="shared" si="56"/>
        <v>0</v>
      </c>
      <c r="H344" s="164">
        <f t="shared" si="56"/>
        <v>0</v>
      </c>
      <c r="I344" s="164">
        <f t="shared" si="56"/>
        <v>0</v>
      </c>
      <c r="J344" s="164">
        <f t="shared" si="56"/>
        <v>0</v>
      </c>
      <c r="K344" s="164">
        <f t="shared" si="56"/>
        <v>0</v>
      </c>
      <c r="L344" s="167" t="s">
        <v>1463</v>
      </c>
    </row>
    <row r="345" spans="1:12" ht="7.5" customHeight="1">
      <c r="A345" s="190"/>
      <c r="B345" s="200"/>
      <c r="C345" s="4"/>
      <c r="D345" s="4"/>
      <c r="E345" s="4"/>
      <c r="F345" s="4"/>
      <c r="G345" s="4"/>
      <c r="H345" s="4"/>
      <c r="I345" s="4"/>
      <c r="J345" s="4"/>
      <c r="K345" s="4"/>
    </row>
    <row r="346" spans="1:12" ht="20.100000000000001" customHeight="1">
      <c r="A346" s="190"/>
      <c r="B346" s="189" t="s">
        <v>1065</v>
      </c>
      <c r="C346" s="3">
        <f>C313-C342</f>
        <v>-79809</v>
      </c>
      <c r="D346" s="3">
        <f t="shared" ref="D346:K346" si="57">D313-D342</f>
        <v>-538</v>
      </c>
      <c r="E346" s="3">
        <f t="shared" si="57"/>
        <v>-156095</v>
      </c>
      <c r="F346" s="3">
        <f t="shared" si="57"/>
        <v>-225325</v>
      </c>
      <c r="G346" s="3">
        <f t="shared" si="57"/>
        <v>-32712</v>
      </c>
      <c r="H346" s="3">
        <f t="shared" si="57"/>
        <v>-38410</v>
      </c>
      <c r="I346" s="3">
        <f t="shared" si="57"/>
        <v>225</v>
      </c>
      <c r="J346" s="3">
        <f t="shared" si="57"/>
        <v>225</v>
      </c>
      <c r="K346" s="3">
        <f t="shared" si="57"/>
        <v>225</v>
      </c>
    </row>
    <row r="347" spans="1:12" s="152" customFormat="1" ht="15" hidden="1">
      <c r="A347" s="194"/>
      <c r="B347" s="201"/>
      <c r="C347" s="163">
        <f>'Budget Detail FY 2013-18'!N546</f>
        <v>-79809</v>
      </c>
      <c r="D347" s="163">
        <f>'Budget Detail FY 2013-18'!O546</f>
        <v>-538</v>
      </c>
      <c r="E347" s="163">
        <f>'Budget Detail FY 2013-18'!P546</f>
        <v>-156095</v>
      </c>
      <c r="F347" s="163">
        <f>'Budget Detail FY 2013-18'!Q546</f>
        <v>-225325</v>
      </c>
      <c r="G347" s="163">
        <f>'Budget Detail FY 2013-18'!R546</f>
        <v>-32712</v>
      </c>
      <c r="H347" s="163">
        <f>'Budget Detail FY 2013-18'!S546</f>
        <v>-38410</v>
      </c>
      <c r="I347" s="163">
        <f>'Budget Detail FY 2013-18'!T546</f>
        <v>225</v>
      </c>
      <c r="J347" s="163">
        <f>'Budget Detail FY 2013-18'!U546</f>
        <v>225</v>
      </c>
      <c r="K347" s="163">
        <f>'Budget Detail FY 2013-18'!V546</f>
        <v>225</v>
      </c>
      <c r="L347" s="166" t="s">
        <v>1462</v>
      </c>
    </row>
    <row r="348" spans="1:12" s="158" customFormat="1" ht="15" hidden="1">
      <c r="A348" s="196"/>
      <c r="B348" s="202"/>
      <c r="C348" s="211">
        <f>C346-C347</f>
        <v>0</v>
      </c>
      <c r="D348" s="211">
        <f t="shared" ref="D348:K348" si="58">D346-D347</f>
        <v>0</v>
      </c>
      <c r="E348" s="211">
        <f t="shared" si="58"/>
        <v>0</v>
      </c>
      <c r="F348" s="211">
        <f t="shared" si="58"/>
        <v>0</v>
      </c>
      <c r="G348" s="211">
        <f t="shared" si="58"/>
        <v>0</v>
      </c>
      <c r="H348" s="211">
        <f t="shared" si="58"/>
        <v>0</v>
      </c>
      <c r="I348" s="211">
        <f t="shared" si="58"/>
        <v>0</v>
      </c>
      <c r="J348" s="211">
        <f t="shared" si="58"/>
        <v>0</v>
      </c>
      <c r="K348" s="211">
        <f t="shared" si="58"/>
        <v>0</v>
      </c>
      <c r="L348" s="167" t="s">
        <v>1463</v>
      </c>
    </row>
    <row r="349" spans="1:12" ht="7.5" customHeight="1">
      <c r="A349" s="190"/>
      <c r="B349" s="214"/>
      <c r="C349" s="128"/>
      <c r="D349" s="128"/>
      <c r="E349" s="128"/>
      <c r="F349" s="128"/>
      <c r="G349" s="128"/>
      <c r="H349" s="128"/>
      <c r="I349" s="128"/>
      <c r="J349" s="128"/>
      <c r="K349" s="128"/>
    </row>
    <row r="350" spans="1:12" ht="15">
      <c r="A350" s="190"/>
      <c r="B350" s="215" t="s">
        <v>1314</v>
      </c>
      <c r="C350" s="115">
        <f>'Budget Detail FY 2013-18'!N548</f>
        <v>194947</v>
      </c>
      <c r="D350" s="115">
        <f>'Budget Detail FY 2013-18'!O548</f>
        <v>229238</v>
      </c>
      <c r="E350" s="115">
        <f>'Budget Detail FY 2013-18'!P548</f>
        <v>104737</v>
      </c>
      <c r="F350" s="115">
        <f>'Budget Detail FY 2013-18'!Q548</f>
        <v>101427</v>
      </c>
      <c r="G350" s="115">
        <f>'Budget Detail FY 2013-18'!R548</f>
        <v>22635</v>
      </c>
      <c r="H350" s="115">
        <f>'Budget Detail FY 2013-18'!S548</f>
        <v>0</v>
      </c>
      <c r="I350" s="115">
        <f>'Budget Detail FY 2013-18'!T548</f>
        <v>0</v>
      </c>
      <c r="J350" s="115">
        <f>'Budget Detail FY 2013-18'!U548</f>
        <v>0</v>
      </c>
      <c r="K350" s="115">
        <f>'Budget Detail FY 2013-18'!V548</f>
        <v>0</v>
      </c>
    </row>
    <row r="351" spans="1:12" s="152" customFormat="1" ht="15" hidden="1">
      <c r="A351" s="194"/>
      <c r="B351" s="216"/>
      <c r="C351" s="163">
        <f>'Budget Detail FY 2013-18'!N548</f>
        <v>194947</v>
      </c>
      <c r="D351" s="163">
        <f>'Budget Detail FY 2013-18'!O548</f>
        <v>229238</v>
      </c>
      <c r="E351" s="163">
        <f>'Budget Detail FY 2013-18'!P548</f>
        <v>104737</v>
      </c>
      <c r="F351" s="163">
        <f>'Budget Detail FY 2013-18'!Q548</f>
        <v>101427</v>
      </c>
      <c r="G351" s="163">
        <f>'Budget Detail FY 2013-18'!R548</f>
        <v>22635</v>
      </c>
      <c r="H351" s="163">
        <f>'Budget Detail FY 2013-18'!S548</f>
        <v>0</v>
      </c>
      <c r="I351" s="163">
        <f>'Budget Detail FY 2013-18'!T548</f>
        <v>0</v>
      </c>
      <c r="J351" s="163">
        <f>'Budget Detail FY 2013-18'!U548</f>
        <v>0</v>
      </c>
      <c r="K351" s="163">
        <f>'Budget Detail FY 2013-18'!V548</f>
        <v>0</v>
      </c>
      <c r="L351" s="166" t="s">
        <v>1462</v>
      </c>
    </row>
    <row r="352" spans="1:12" s="158" customFormat="1" ht="15" hidden="1">
      <c r="A352" s="196"/>
      <c r="B352" s="217"/>
      <c r="C352" s="203">
        <f>C350-C351</f>
        <v>0</v>
      </c>
      <c r="D352" s="203">
        <f t="shared" ref="D352:K352" si="59">D350-D351</f>
        <v>0</v>
      </c>
      <c r="E352" s="203">
        <f t="shared" si="59"/>
        <v>0</v>
      </c>
      <c r="F352" s="203">
        <f t="shared" si="59"/>
        <v>0</v>
      </c>
      <c r="G352" s="203">
        <f t="shared" si="59"/>
        <v>0</v>
      </c>
      <c r="H352" s="203">
        <f t="shared" si="59"/>
        <v>0</v>
      </c>
      <c r="I352" s="203">
        <f t="shared" si="59"/>
        <v>0</v>
      </c>
      <c r="J352" s="203">
        <f t="shared" si="59"/>
        <v>0</v>
      </c>
      <c r="K352" s="203">
        <f t="shared" si="59"/>
        <v>0</v>
      </c>
      <c r="L352" s="167" t="s">
        <v>1463</v>
      </c>
    </row>
    <row r="353" spans="1:12" ht="7.5" customHeight="1">
      <c r="A353" s="190"/>
      <c r="B353" s="215"/>
      <c r="C353" s="115"/>
      <c r="D353" s="115"/>
      <c r="E353" s="115"/>
      <c r="F353" s="115"/>
      <c r="G353" s="115"/>
      <c r="H353" s="115"/>
      <c r="I353" s="115"/>
      <c r="J353" s="115"/>
      <c r="K353" s="115"/>
    </row>
    <row r="354" spans="1:12" ht="15">
      <c r="A354" s="190"/>
      <c r="B354" s="215" t="s">
        <v>1315</v>
      </c>
      <c r="C354" s="115">
        <f>'Budget Detail FY 2013-18'!N550</f>
        <v>108743</v>
      </c>
      <c r="D354" s="115">
        <f>'Budget Detail FY 2013-18'!O550</f>
        <v>62884</v>
      </c>
      <c r="E354" s="115">
        <f>'Budget Detail FY 2013-18'!P550</f>
        <v>-65159</v>
      </c>
      <c r="F354" s="115">
        <f>'Budget Detail FY 2013-18'!Q550</f>
        <v>-62855</v>
      </c>
      <c r="G354" s="115">
        <f>'Budget Detail FY 2013-18'!R550</f>
        <v>0</v>
      </c>
      <c r="H354" s="115">
        <f>'Budget Detail FY 2013-18'!S550</f>
        <v>0</v>
      </c>
      <c r="I354" s="115">
        <f>'Budget Detail FY 2013-18'!T550</f>
        <v>0</v>
      </c>
      <c r="J354" s="115">
        <f>'Budget Detail FY 2013-18'!U550</f>
        <v>0</v>
      </c>
      <c r="K354" s="115">
        <f>'Budget Detail FY 2013-18'!V550</f>
        <v>0</v>
      </c>
    </row>
    <row r="355" spans="1:12" s="152" customFormat="1" ht="15" hidden="1">
      <c r="A355" s="194"/>
      <c r="B355" s="216"/>
      <c r="C355" s="163">
        <f>'Budget Detail FY 2013-18'!N550</f>
        <v>108743</v>
      </c>
      <c r="D355" s="163">
        <f>'Budget Detail FY 2013-18'!O550</f>
        <v>62884</v>
      </c>
      <c r="E355" s="163">
        <f>'Budget Detail FY 2013-18'!P550</f>
        <v>-65159</v>
      </c>
      <c r="F355" s="163">
        <f>'Budget Detail FY 2013-18'!Q550</f>
        <v>-62855</v>
      </c>
      <c r="G355" s="163">
        <f>'Budget Detail FY 2013-18'!R550</f>
        <v>0</v>
      </c>
      <c r="H355" s="163">
        <f>'Budget Detail FY 2013-18'!S550</f>
        <v>0</v>
      </c>
      <c r="I355" s="163">
        <f>'Budget Detail FY 2013-18'!T550</f>
        <v>0</v>
      </c>
      <c r="J355" s="163">
        <f>'Budget Detail FY 2013-18'!U550</f>
        <v>0</v>
      </c>
      <c r="K355" s="163">
        <f>'Budget Detail FY 2013-18'!V550</f>
        <v>0</v>
      </c>
      <c r="L355" s="166" t="s">
        <v>1462</v>
      </c>
    </row>
    <row r="356" spans="1:12" s="158" customFormat="1" ht="15" hidden="1">
      <c r="A356" s="196"/>
      <c r="B356" s="217"/>
      <c r="C356" s="203">
        <f>C354-C355</f>
        <v>0</v>
      </c>
      <c r="D356" s="203">
        <f t="shared" ref="D356:K356" si="60">D354-D355</f>
        <v>0</v>
      </c>
      <c r="E356" s="203">
        <f t="shared" si="60"/>
        <v>0</v>
      </c>
      <c r="F356" s="203">
        <f t="shared" si="60"/>
        <v>0</v>
      </c>
      <c r="G356" s="203">
        <f t="shared" si="60"/>
        <v>0</v>
      </c>
      <c r="H356" s="203">
        <f t="shared" si="60"/>
        <v>0</v>
      </c>
      <c r="I356" s="203">
        <f t="shared" si="60"/>
        <v>0</v>
      </c>
      <c r="J356" s="203">
        <f t="shared" si="60"/>
        <v>0</v>
      </c>
      <c r="K356" s="203">
        <f t="shared" si="60"/>
        <v>0</v>
      </c>
      <c r="L356" s="167" t="s">
        <v>1463</v>
      </c>
    </row>
    <row r="357" spans="1:12" ht="7.5" customHeight="1">
      <c r="A357" s="190"/>
      <c r="B357" s="215"/>
      <c r="C357" s="115"/>
      <c r="D357" s="115"/>
      <c r="E357" s="115"/>
      <c r="F357" s="115"/>
      <c r="G357" s="115"/>
      <c r="H357" s="115"/>
      <c r="I357" s="115"/>
      <c r="J357" s="115"/>
      <c r="K357" s="115"/>
    </row>
    <row r="358" spans="1:12" ht="15">
      <c r="A358" s="190"/>
      <c r="B358" s="215" t="s">
        <v>1316</v>
      </c>
      <c r="C358" s="115">
        <f>'Budget Detail FY 2013-18'!N552</f>
        <v>51443</v>
      </c>
      <c r="D358" s="115">
        <f>'Budget Detail FY 2013-18'!O552</f>
        <v>62473</v>
      </c>
      <c r="E358" s="115">
        <f>'Budget Detail FY 2013-18'!P552</f>
        <v>22545</v>
      </c>
      <c r="F358" s="115">
        <f>'Budget Detail FY 2013-18'!Q552</f>
        <v>90698</v>
      </c>
      <c r="G358" s="115">
        <f>'Budget Detail FY 2013-18'!R552</f>
        <v>73923</v>
      </c>
      <c r="H358" s="115">
        <f>'Budget Detail FY 2013-18'!S552</f>
        <v>58148</v>
      </c>
      <c r="I358" s="115">
        <f>'Budget Detail FY 2013-18'!T552</f>
        <v>58373</v>
      </c>
      <c r="J358" s="115">
        <f>'Budget Detail FY 2013-18'!U552</f>
        <v>58598</v>
      </c>
      <c r="K358" s="115">
        <f>'Budget Detail FY 2013-18'!V552</f>
        <v>58823</v>
      </c>
    </row>
    <row r="359" spans="1:12" s="152" customFormat="1" ht="15" hidden="1">
      <c r="A359" s="194"/>
      <c r="B359" s="216"/>
      <c r="C359" s="163">
        <f>'Budget Detail FY 2013-18'!N552</f>
        <v>51443</v>
      </c>
      <c r="D359" s="163">
        <f>'Budget Detail FY 2013-18'!O552</f>
        <v>62473</v>
      </c>
      <c r="E359" s="163">
        <f>'Budget Detail FY 2013-18'!P552</f>
        <v>22545</v>
      </c>
      <c r="F359" s="163">
        <f>'Budget Detail FY 2013-18'!Q552</f>
        <v>90698</v>
      </c>
      <c r="G359" s="163">
        <f>'Budget Detail FY 2013-18'!R552</f>
        <v>73923</v>
      </c>
      <c r="H359" s="163">
        <f>'Budget Detail FY 2013-18'!S552</f>
        <v>58148</v>
      </c>
      <c r="I359" s="163">
        <f>'Budget Detail FY 2013-18'!T552</f>
        <v>58373</v>
      </c>
      <c r="J359" s="163">
        <f>'Budget Detail FY 2013-18'!U552</f>
        <v>58598</v>
      </c>
      <c r="K359" s="163">
        <f>'Budget Detail FY 2013-18'!V552</f>
        <v>58823</v>
      </c>
      <c r="L359" s="166" t="s">
        <v>1462</v>
      </c>
    </row>
    <row r="360" spans="1:12" s="158" customFormat="1" ht="15" hidden="1">
      <c r="A360" s="196"/>
      <c r="B360" s="217"/>
      <c r="C360" s="203">
        <f>C358-C359</f>
        <v>0</v>
      </c>
      <c r="D360" s="203">
        <f t="shared" ref="D360:K360" si="61">D358-D359</f>
        <v>0</v>
      </c>
      <c r="E360" s="203">
        <f t="shared" si="61"/>
        <v>0</v>
      </c>
      <c r="F360" s="203">
        <f t="shared" si="61"/>
        <v>0</v>
      </c>
      <c r="G360" s="203">
        <f t="shared" si="61"/>
        <v>0</v>
      </c>
      <c r="H360" s="203">
        <f t="shared" si="61"/>
        <v>0</v>
      </c>
      <c r="I360" s="203">
        <f t="shared" si="61"/>
        <v>0</v>
      </c>
      <c r="J360" s="203">
        <f t="shared" si="61"/>
        <v>0</v>
      </c>
      <c r="K360" s="203">
        <f t="shared" si="61"/>
        <v>0</v>
      </c>
      <c r="L360" s="167" t="s">
        <v>1463</v>
      </c>
    </row>
    <row r="361" spans="1:12" ht="7.5" customHeight="1">
      <c r="A361" s="190"/>
      <c r="B361" s="215"/>
      <c r="C361" s="115"/>
      <c r="D361" s="115"/>
      <c r="E361" s="115"/>
      <c r="F361" s="115"/>
      <c r="G361" s="115"/>
      <c r="H361" s="115"/>
      <c r="I361" s="115"/>
      <c r="J361" s="115"/>
      <c r="K361" s="115"/>
    </row>
    <row r="362" spans="1:12" ht="15" thickBot="1">
      <c r="A362" s="190"/>
      <c r="B362" s="191" t="s">
        <v>1066</v>
      </c>
      <c r="C362" s="99">
        <v>355133</v>
      </c>
      <c r="D362" s="99">
        <v>354595</v>
      </c>
      <c r="E362" s="99">
        <v>62123</v>
      </c>
      <c r="F362" s="99">
        <f>D362+F346</f>
        <v>129270</v>
      </c>
      <c r="G362" s="99">
        <f>F362+G346</f>
        <v>96558</v>
      </c>
      <c r="H362" s="99">
        <f>G362+H346</f>
        <v>58148</v>
      </c>
      <c r="I362" s="99">
        <f>H362+I346</f>
        <v>58373</v>
      </c>
      <c r="J362" s="99">
        <f>I362+J346</f>
        <v>58598</v>
      </c>
      <c r="K362" s="99">
        <f>J362+K346</f>
        <v>58823</v>
      </c>
    </row>
    <row r="363" spans="1:12" s="152" customFormat="1" ht="15.75" hidden="1" thickTop="1">
      <c r="A363" s="194"/>
      <c r="B363" s="195"/>
      <c r="C363" s="163">
        <f>'Budget Detail FY 2013-18'!N554</f>
        <v>355133</v>
      </c>
      <c r="D363" s="163">
        <f>'Budget Detail FY 2013-18'!O554</f>
        <v>354595</v>
      </c>
      <c r="E363" s="163">
        <f>'Budget Detail FY 2013-18'!P554</f>
        <v>62123</v>
      </c>
      <c r="F363" s="163">
        <f>'Budget Detail FY 2013-18'!Q554</f>
        <v>129270</v>
      </c>
      <c r="G363" s="163">
        <f>'Budget Detail FY 2013-18'!R554</f>
        <v>96558</v>
      </c>
      <c r="H363" s="163">
        <f>'Budget Detail FY 2013-18'!S554</f>
        <v>58148</v>
      </c>
      <c r="I363" s="163">
        <f>'Budget Detail FY 2013-18'!T554</f>
        <v>58373</v>
      </c>
      <c r="J363" s="163">
        <f>'Budget Detail FY 2013-18'!U554</f>
        <v>58598</v>
      </c>
      <c r="K363" s="163">
        <f>'Budget Detail FY 2013-18'!V554</f>
        <v>58823</v>
      </c>
      <c r="L363" s="166" t="s">
        <v>1462</v>
      </c>
    </row>
    <row r="364" spans="1:12" s="158" customFormat="1" ht="14.25" hidden="1">
      <c r="A364" s="196"/>
      <c r="B364" s="197"/>
      <c r="C364" s="164">
        <f>C362-C363</f>
        <v>0</v>
      </c>
      <c r="D364" s="164">
        <f t="shared" ref="D364:K364" si="62">D362-D363</f>
        <v>0</v>
      </c>
      <c r="E364" s="164">
        <f t="shared" si="62"/>
        <v>0</v>
      </c>
      <c r="F364" s="164">
        <f t="shared" si="62"/>
        <v>0</v>
      </c>
      <c r="G364" s="164">
        <f t="shared" si="62"/>
        <v>0</v>
      </c>
      <c r="H364" s="164">
        <f t="shared" si="62"/>
        <v>0</v>
      </c>
      <c r="I364" s="164">
        <f t="shared" si="62"/>
        <v>0</v>
      </c>
      <c r="J364" s="164">
        <f t="shared" si="62"/>
        <v>0</v>
      </c>
      <c r="K364" s="164">
        <f t="shared" si="62"/>
        <v>0</v>
      </c>
      <c r="L364" s="167" t="s">
        <v>1463</v>
      </c>
    </row>
    <row r="365" spans="1:12" ht="7.5" customHeight="1" thickTop="1">
      <c r="A365" s="190"/>
      <c r="B365" s="205"/>
      <c r="C365" s="3"/>
      <c r="D365" s="3"/>
      <c r="E365" s="3"/>
      <c r="F365" s="2"/>
      <c r="G365" s="2"/>
      <c r="H365" s="2"/>
      <c r="I365" s="2"/>
      <c r="J365" s="2"/>
      <c r="K365" s="2"/>
    </row>
    <row r="366" spans="1:12" ht="15">
      <c r="A366" s="190"/>
      <c r="B366" s="205"/>
      <c r="C366" s="2"/>
      <c r="D366" s="2"/>
      <c r="E366" s="2"/>
      <c r="F366" s="2"/>
      <c r="G366" s="2"/>
      <c r="H366" s="2"/>
      <c r="I366" s="2"/>
      <c r="J366" s="2"/>
      <c r="K366" s="2"/>
    </row>
    <row r="367" spans="1:12" ht="15">
      <c r="A367" s="190"/>
      <c r="B367" s="1"/>
      <c r="C367" s="2"/>
      <c r="D367" s="2"/>
      <c r="E367" s="2"/>
      <c r="F367" s="2"/>
      <c r="G367" s="2"/>
      <c r="H367" s="2"/>
      <c r="I367" s="2"/>
      <c r="J367" s="2"/>
      <c r="K367" s="2"/>
    </row>
    <row r="368" spans="1:12" ht="15">
      <c r="A368" s="190"/>
      <c r="B368" s="1"/>
      <c r="C368" s="2"/>
      <c r="D368" s="2"/>
      <c r="E368" s="2"/>
      <c r="F368" s="2"/>
      <c r="G368" s="2"/>
      <c r="H368" s="2"/>
      <c r="I368" s="2"/>
      <c r="J368" s="2"/>
      <c r="K368" s="2"/>
    </row>
    <row r="369" spans="1:11" ht="15">
      <c r="A369" s="190"/>
      <c r="B369" s="1"/>
      <c r="C369" s="2"/>
      <c r="D369" s="2"/>
      <c r="E369" s="2"/>
      <c r="F369" s="2"/>
      <c r="G369" s="2"/>
      <c r="H369" s="2"/>
      <c r="I369" s="2"/>
      <c r="J369" s="2"/>
      <c r="K369" s="2"/>
    </row>
    <row r="370" spans="1:11" ht="15">
      <c r="A370" s="190"/>
      <c r="B370" s="1"/>
      <c r="C370" s="2"/>
      <c r="D370" s="2"/>
      <c r="E370" s="2"/>
      <c r="F370" s="2"/>
      <c r="G370" s="2"/>
      <c r="H370" s="2"/>
      <c r="I370" s="2"/>
      <c r="J370" s="2"/>
      <c r="K370" s="2"/>
    </row>
    <row r="371" spans="1:11" ht="15">
      <c r="A371" s="190"/>
      <c r="B371" s="1"/>
      <c r="C371" s="2"/>
      <c r="D371" s="2"/>
      <c r="E371" s="2"/>
      <c r="F371" s="2"/>
      <c r="G371" s="2"/>
      <c r="H371" s="2"/>
      <c r="I371" s="2"/>
      <c r="J371" s="2"/>
      <c r="K371" s="2"/>
    </row>
    <row r="372" spans="1:11" ht="15">
      <c r="A372" s="190"/>
      <c r="B372" s="1"/>
      <c r="C372" s="2"/>
      <c r="D372" s="2"/>
      <c r="E372" s="2"/>
      <c r="F372" s="2"/>
      <c r="G372" s="2"/>
      <c r="H372" s="2"/>
      <c r="I372" s="2"/>
      <c r="J372" s="2"/>
      <c r="K372" s="2"/>
    </row>
    <row r="373" spans="1:11" ht="15">
      <c r="A373" s="190"/>
      <c r="B373" s="1"/>
      <c r="C373" s="2"/>
      <c r="D373" s="2"/>
      <c r="E373" s="2"/>
      <c r="F373" s="2"/>
      <c r="G373" s="2"/>
      <c r="H373" s="2"/>
      <c r="I373" s="2"/>
      <c r="J373" s="2"/>
      <c r="K373" s="2"/>
    </row>
    <row r="374" spans="1:11" ht="15">
      <c r="A374" s="190"/>
      <c r="B374" s="1"/>
      <c r="C374" s="2"/>
      <c r="D374" s="2"/>
      <c r="E374" s="2"/>
      <c r="F374" s="2"/>
      <c r="G374" s="2"/>
      <c r="H374" s="2"/>
      <c r="I374" s="2"/>
      <c r="J374" s="2"/>
      <c r="K374" s="2"/>
    </row>
    <row r="375" spans="1:11" ht="15">
      <c r="A375" s="190"/>
      <c r="B375" s="1"/>
      <c r="C375" s="2"/>
      <c r="D375" s="2"/>
      <c r="E375" s="2"/>
      <c r="F375" s="2"/>
      <c r="G375" s="2"/>
      <c r="H375" s="2"/>
      <c r="I375" s="2"/>
      <c r="J375" s="2"/>
      <c r="K375" s="2"/>
    </row>
    <row r="376" spans="1:11" ht="15">
      <c r="A376" s="190"/>
      <c r="B376" s="1"/>
      <c r="C376" s="2"/>
      <c r="D376" s="2"/>
      <c r="E376" s="2"/>
      <c r="F376" s="2"/>
      <c r="G376" s="2"/>
      <c r="H376" s="2"/>
      <c r="I376" s="2"/>
      <c r="J376" s="2"/>
      <c r="K376" s="2"/>
    </row>
    <row r="377" spans="1:11">
      <c r="A377" s="190"/>
      <c r="B377" s="190"/>
      <c r="C377" s="207"/>
      <c r="D377" s="207"/>
      <c r="E377" s="208"/>
      <c r="F377" s="208"/>
      <c r="G377" s="208"/>
      <c r="H377" s="208"/>
      <c r="I377" s="208"/>
      <c r="J377" s="208"/>
      <c r="K377" s="208"/>
    </row>
    <row r="378" spans="1:11" ht="18.75">
      <c r="A378" s="190"/>
      <c r="B378" s="523" t="s">
        <v>1074</v>
      </c>
      <c r="C378" s="523"/>
      <c r="D378" s="523"/>
      <c r="E378" s="523"/>
      <c r="F378" s="523"/>
      <c r="G378" s="523"/>
      <c r="H378" s="523"/>
      <c r="I378" s="523"/>
      <c r="J378" s="523"/>
      <c r="K378" s="523"/>
    </row>
    <row r="379" spans="1:11" ht="15">
      <c r="A379" s="190"/>
      <c r="B379" s="80"/>
      <c r="C379" s="3"/>
      <c r="D379" s="2"/>
      <c r="E379" s="2"/>
      <c r="F379" s="2"/>
      <c r="G379" s="2"/>
      <c r="H379" s="2"/>
      <c r="I379" s="2"/>
      <c r="J379" s="2"/>
      <c r="K379" s="2"/>
    </row>
    <row r="380" spans="1:11" ht="12.75" customHeight="1">
      <c r="A380" s="190"/>
      <c r="B380" s="529" t="s">
        <v>1470</v>
      </c>
      <c r="C380" s="529"/>
      <c r="D380" s="529"/>
      <c r="E380" s="529"/>
      <c r="F380" s="529"/>
      <c r="G380" s="529"/>
      <c r="H380" s="529"/>
      <c r="I380" s="529"/>
      <c r="J380" s="529"/>
      <c r="K380" s="529"/>
    </row>
    <row r="381" spans="1:11" ht="20.25" customHeight="1">
      <c r="A381" s="190"/>
      <c r="B381" s="529"/>
      <c r="C381" s="529"/>
      <c r="D381" s="529"/>
      <c r="E381" s="529"/>
      <c r="F381" s="529"/>
      <c r="G381" s="529"/>
      <c r="H381" s="529"/>
      <c r="I381" s="529"/>
      <c r="J381" s="529"/>
      <c r="K381" s="529"/>
    </row>
    <row r="382" spans="1:11" ht="15">
      <c r="A382" s="190"/>
      <c r="B382" s="187"/>
      <c r="C382" s="31"/>
      <c r="D382" s="31"/>
      <c r="E382" s="31"/>
      <c r="F382" s="31"/>
      <c r="G382" s="31"/>
      <c r="H382" s="31"/>
      <c r="I382" s="31"/>
      <c r="J382" s="31"/>
      <c r="K382" s="31"/>
    </row>
    <row r="383" spans="1:11" ht="15">
      <c r="A383" s="190"/>
      <c r="B383" s="5"/>
      <c r="C383" s="80"/>
      <c r="D383" s="81"/>
      <c r="E383" s="80" t="s">
        <v>312</v>
      </c>
      <c r="F383" s="1"/>
      <c r="G383" s="1"/>
      <c r="H383" s="1"/>
      <c r="I383" s="1"/>
      <c r="J383" s="1"/>
      <c r="K383" s="1"/>
    </row>
    <row r="384" spans="1:11" ht="15">
      <c r="A384" s="190"/>
      <c r="B384" s="81"/>
      <c r="C384" s="80" t="s">
        <v>23</v>
      </c>
      <c r="D384" s="104" t="s">
        <v>253</v>
      </c>
      <c r="E384" s="81" t="s">
        <v>1045</v>
      </c>
      <c r="F384" s="81" t="s">
        <v>312</v>
      </c>
      <c r="G384" s="81" t="s">
        <v>313</v>
      </c>
      <c r="H384" s="81" t="s">
        <v>329</v>
      </c>
      <c r="I384" s="81" t="s">
        <v>332</v>
      </c>
      <c r="J384" s="81" t="s">
        <v>333</v>
      </c>
      <c r="K384" s="81" t="s">
        <v>1224</v>
      </c>
    </row>
    <row r="385" spans="1:12" ht="15.75" thickBot="1">
      <c r="A385" s="190"/>
      <c r="B385" s="209"/>
      <c r="C385" s="83" t="s">
        <v>1</v>
      </c>
      <c r="D385" s="83" t="s">
        <v>1</v>
      </c>
      <c r="E385" s="83" t="s">
        <v>987</v>
      </c>
      <c r="F385" s="83" t="s">
        <v>24</v>
      </c>
      <c r="G385" s="83" t="s">
        <v>1045</v>
      </c>
      <c r="H385" s="83" t="s">
        <v>24</v>
      </c>
      <c r="I385" s="83" t="s">
        <v>24</v>
      </c>
      <c r="J385" s="83" t="s">
        <v>24</v>
      </c>
      <c r="K385" s="83" t="s">
        <v>24</v>
      </c>
    </row>
    <row r="386" spans="1:12" ht="15">
      <c r="A386" s="190"/>
      <c r="B386" s="79"/>
      <c r="C386" s="210"/>
      <c r="D386" s="2"/>
      <c r="E386" s="2"/>
      <c r="F386" s="2"/>
      <c r="G386" s="2"/>
      <c r="H386" s="2"/>
      <c r="I386" s="2"/>
      <c r="J386" s="2"/>
      <c r="K386" s="2"/>
    </row>
    <row r="387" spans="1:12" ht="15">
      <c r="A387" s="190"/>
      <c r="B387" s="198" t="s">
        <v>1046</v>
      </c>
      <c r="C387" s="2"/>
      <c r="D387" s="2"/>
      <c r="E387" s="2"/>
      <c r="F387" s="2"/>
      <c r="G387" s="2"/>
      <c r="H387" s="2"/>
      <c r="I387" s="2"/>
      <c r="J387" s="2"/>
      <c r="K387" s="2"/>
    </row>
    <row r="388" spans="1:12" ht="20.100000000000001" customHeight="1">
      <c r="A388" s="190"/>
      <c r="B388" s="192" t="s">
        <v>1047</v>
      </c>
      <c r="C388" s="2">
        <f>'Budget Detail FY 2013-18'!N558</f>
        <v>0</v>
      </c>
      <c r="D388" s="2">
        <f>'Budget Detail FY 2013-18'!O558</f>
        <v>323350</v>
      </c>
      <c r="E388" s="2">
        <f>'Budget Detail FY 2013-18'!P558</f>
        <v>326379</v>
      </c>
      <c r="F388" s="2">
        <f>'Budget Detail FY 2013-18'!Q558</f>
        <v>324762</v>
      </c>
      <c r="G388" s="2">
        <f>'Budget Detail FY 2013-18'!R558</f>
        <v>328179</v>
      </c>
      <c r="H388" s="2">
        <f>'Budget Detail FY 2013-18'!S558</f>
        <v>329579</v>
      </c>
      <c r="I388" s="2">
        <f>'Budget Detail FY 2013-18'!T558</f>
        <v>290732</v>
      </c>
      <c r="J388" s="2">
        <f>'Budget Detail FY 2013-18'!U558</f>
        <v>210022</v>
      </c>
      <c r="K388" s="2">
        <f>'Budget Detail FY 2013-18'!V558</f>
        <v>129402</v>
      </c>
    </row>
    <row r="389" spans="1:12" ht="20.100000000000001" customHeight="1">
      <c r="A389" s="190"/>
      <c r="B389" s="192" t="s">
        <v>1049</v>
      </c>
      <c r="C389" s="2">
        <f>'Budget Detail FY 2013-18'!N559</f>
        <v>1025</v>
      </c>
      <c r="D389" s="2">
        <f>'Budget Detail FY 2013-18'!O559</f>
        <v>1375</v>
      </c>
      <c r="E389" s="2">
        <f>'Budget Detail FY 2013-18'!P559</f>
        <v>1000</v>
      </c>
      <c r="F389" s="2">
        <f>'Budget Detail FY 2013-18'!Q559</f>
        <v>3969</v>
      </c>
      <c r="G389" s="2">
        <f>'Budget Detail FY 2013-18'!R559</f>
        <v>1000</v>
      </c>
      <c r="H389" s="2">
        <f>'Budget Detail FY 2013-18'!S559</f>
        <v>1000</v>
      </c>
      <c r="I389" s="2">
        <f>'Budget Detail FY 2013-18'!T559</f>
        <v>1000</v>
      </c>
      <c r="J389" s="2">
        <f>'Budget Detail FY 2013-18'!U559</f>
        <v>1000</v>
      </c>
      <c r="K389" s="2">
        <f>'Budget Detail FY 2013-18'!V559</f>
        <v>1000</v>
      </c>
    </row>
    <row r="390" spans="1:12" ht="20.100000000000001" customHeight="1">
      <c r="A390" s="190"/>
      <c r="B390" s="5" t="s">
        <v>1052</v>
      </c>
      <c r="C390" s="2">
        <f>'Budget Detail FY 2013-18'!N560</f>
        <v>0</v>
      </c>
      <c r="D390" s="2">
        <f>'Budget Detail FY 2013-18'!O560</f>
        <v>283</v>
      </c>
      <c r="E390" s="2">
        <f>'Budget Detail FY 2013-18'!P560</f>
        <v>300</v>
      </c>
      <c r="F390" s="2">
        <f>'Budget Detail FY 2013-18'!Q560</f>
        <v>350</v>
      </c>
      <c r="G390" s="2">
        <f>'Budget Detail FY 2013-18'!R560</f>
        <v>300</v>
      </c>
      <c r="H390" s="2">
        <f>'Budget Detail FY 2013-18'!S560</f>
        <v>300</v>
      </c>
      <c r="I390" s="2">
        <f>'Budget Detail FY 2013-18'!T560</f>
        <v>300</v>
      </c>
      <c r="J390" s="2">
        <f>'Budget Detail FY 2013-18'!U560</f>
        <v>300</v>
      </c>
      <c r="K390" s="2">
        <f>'Budget Detail FY 2013-18'!V560</f>
        <v>300</v>
      </c>
    </row>
    <row r="391" spans="1:12" ht="20.100000000000001" customHeight="1">
      <c r="A391" s="190"/>
      <c r="B391" s="5" t="s">
        <v>1055</v>
      </c>
      <c r="C391" s="2">
        <f>SUM('Budget Detail FY 2013-18'!N561:N562)</f>
        <v>429404</v>
      </c>
      <c r="D391" s="2">
        <f>SUM('Budget Detail FY 2013-18'!O561:O562)</f>
        <v>182517</v>
      </c>
      <c r="E391" s="2">
        <f>SUM('Budget Detail FY 2013-18'!P561:P562)</f>
        <v>99465</v>
      </c>
      <c r="F391" s="2">
        <f>SUM('Budget Detail FY 2013-18'!Q561:Q562)</f>
        <v>99465</v>
      </c>
      <c r="G391" s="2">
        <f>SUM('Budget Detail FY 2013-18'!R561:R562)</f>
        <v>0</v>
      </c>
      <c r="H391" s="2">
        <f>SUM('Budget Detail FY 2013-18'!S561:S562)</f>
        <v>0</v>
      </c>
      <c r="I391" s="2">
        <f>SUM('Budget Detail FY 2013-18'!T561:T562)</f>
        <v>26386</v>
      </c>
      <c r="J391" s="2">
        <f>SUM('Budget Detail FY 2013-18'!U561:U562)</f>
        <v>125232</v>
      </c>
      <c r="K391" s="2">
        <f>SUM('Budget Detail FY 2013-18'!V561:V562)</f>
        <v>205852</v>
      </c>
    </row>
    <row r="392" spans="1:12" ht="20.100000000000001" customHeight="1" thickBot="1">
      <c r="A392" s="190"/>
      <c r="B392" s="193" t="s">
        <v>1056</v>
      </c>
      <c r="C392" s="188">
        <f t="shared" ref="C392:H392" si="63">SUM(C388:C391)</f>
        <v>430429</v>
      </c>
      <c r="D392" s="188">
        <f>SUM(D388:D391)</f>
        <v>507525</v>
      </c>
      <c r="E392" s="188">
        <f t="shared" si="63"/>
        <v>427144</v>
      </c>
      <c r="F392" s="188">
        <f t="shared" si="63"/>
        <v>428546</v>
      </c>
      <c r="G392" s="188">
        <f t="shared" si="63"/>
        <v>329479</v>
      </c>
      <c r="H392" s="188">
        <f t="shared" si="63"/>
        <v>330879</v>
      </c>
      <c r="I392" s="188">
        <f>SUM(I388:I391)</f>
        <v>318418</v>
      </c>
      <c r="J392" s="188">
        <f>SUM(J388:J391)</f>
        <v>336554</v>
      </c>
      <c r="K392" s="188">
        <f>SUM(K388:K391)</f>
        <v>336554</v>
      </c>
    </row>
    <row r="393" spans="1:12" s="152" customFormat="1" ht="15" hidden="1">
      <c r="A393" s="194"/>
      <c r="B393" s="195"/>
      <c r="C393" s="163">
        <f>'Budget Detail FY 2013-18'!N564</f>
        <v>430429</v>
      </c>
      <c r="D393" s="163">
        <f>'Budget Detail FY 2013-18'!O564</f>
        <v>507525</v>
      </c>
      <c r="E393" s="163">
        <f>'Budget Detail FY 2013-18'!P564</f>
        <v>427144</v>
      </c>
      <c r="F393" s="163">
        <f>'Budget Detail FY 2013-18'!Q564</f>
        <v>428546</v>
      </c>
      <c r="G393" s="163">
        <f>'Budget Detail FY 2013-18'!R564</f>
        <v>329479</v>
      </c>
      <c r="H393" s="163">
        <f>'Budget Detail FY 2013-18'!S564</f>
        <v>330879</v>
      </c>
      <c r="I393" s="163">
        <f>'Budget Detail FY 2013-18'!T564</f>
        <v>318418</v>
      </c>
      <c r="J393" s="163">
        <f>'Budget Detail FY 2013-18'!U564</f>
        <v>336554</v>
      </c>
      <c r="K393" s="163">
        <f>'Budget Detail FY 2013-18'!V564</f>
        <v>336554</v>
      </c>
      <c r="L393" s="166" t="s">
        <v>1462</v>
      </c>
    </row>
    <row r="394" spans="1:12" s="158" customFormat="1" ht="15" hidden="1">
      <c r="A394" s="196"/>
      <c r="B394" s="197"/>
      <c r="C394" s="203">
        <f>C392-C393</f>
        <v>0</v>
      </c>
      <c r="D394" s="203">
        <f t="shared" ref="D394:K394" si="64">D392-D393</f>
        <v>0</v>
      </c>
      <c r="E394" s="203">
        <f t="shared" si="64"/>
        <v>0</v>
      </c>
      <c r="F394" s="203">
        <f t="shared" si="64"/>
        <v>0</v>
      </c>
      <c r="G394" s="203">
        <f t="shared" si="64"/>
        <v>0</v>
      </c>
      <c r="H394" s="203">
        <f t="shared" si="64"/>
        <v>0</v>
      </c>
      <c r="I394" s="203">
        <f t="shared" si="64"/>
        <v>0</v>
      </c>
      <c r="J394" s="203">
        <f t="shared" si="64"/>
        <v>0</v>
      </c>
      <c r="K394" s="203">
        <f t="shared" si="64"/>
        <v>0</v>
      </c>
      <c r="L394" s="167" t="s">
        <v>1463</v>
      </c>
    </row>
    <row r="395" spans="1:12" ht="15">
      <c r="A395" s="190"/>
      <c r="B395" s="1"/>
      <c r="C395" s="2"/>
      <c r="D395" s="2"/>
      <c r="E395" s="2"/>
      <c r="F395" s="2"/>
      <c r="G395" s="2"/>
      <c r="H395" s="2"/>
      <c r="I395" s="2"/>
      <c r="J395" s="2"/>
      <c r="K395" s="2"/>
    </row>
    <row r="396" spans="1:12" ht="15">
      <c r="A396" s="190"/>
      <c r="B396" s="198" t="s">
        <v>761</v>
      </c>
      <c r="C396" s="2"/>
      <c r="D396" s="2"/>
      <c r="E396" s="2"/>
      <c r="F396" s="2"/>
      <c r="G396" s="2"/>
      <c r="H396" s="2"/>
      <c r="I396" s="2"/>
      <c r="J396" s="2"/>
      <c r="K396" s="2"/>
    </row>
    <row r="397" spans="1:12" ht="20.100000000000001" customHeight="1">
      <c r="A397" s="190"/>
      <c r="B397" s="199" t="s">
        <v>1059</v>
      </c>
      <c r="C397" s="2">
        <f>'Budget Detail FY 2013-18'!N566</f>
        <v>0</v>
      </c>
      <c r="D397" s="2">
        <f>'Budget Detail FY 2013-18'!O566</f>
        <v>749</v>
      </c>
      <c r="E397" s="2">
        <f>'Budget Detail FY 2013-18'!P566</f>
        <v>963</v>
      </c>
      <c r="F397" s="2">
        <f>'Budget Detail FY 2013-18'!Q566</f>
        <v>963</v>
      </c>
      <c r="G397" s="2">
        <f>'Budget Detail FY 2013-18'!R566</f>
        <v>375</v>
      </c>
      <c r="H397" s="2">
        <f>'Budget Detail FY 2013-18'!S566</f>
        <v>375</v>
      </c>
      <c r="I397" s="2">
        <f>'Budget Detail FY 2013-18'!T566</f>
        <v>375</v>
      </c>
      <c r="J397" s="2">
        <f>'Budget Detail FY 2013-18'!U566</f>
        <v>375</v>
      </c>
      <c r="K397" s="2">
        <f>'Budget Detail FY 2013-18'!V566</f>
        <v>375</v>
      </c>
    </row>
    <row r="398" spans="1:12" ht="20.100000000000001" customHeight="1">
      <c r="A398" s="190"/>
      <c r="B398" s="199" t="s">
        <v>967</v>
      </c>
      <c r="C398" s="2">
        <f>SUM('Budget Detail FY 2013-18'!N567:N575)</f>
        <v>429404</v>
      </c>
      <c r="D398" s="2">
        <f>SUM('Budget Detail FY 2013-18'!O567:O575)</f>
        <v>427919</v>
      </c>
      <c r="E398" s="2">
        <f>SUM('Budget Detail FY 2013-18'!P567:P575)</f>
        <v>504407</v>
      </c>
      <c r="F398" s="2">
        <f>SUM('Budget Detail FY 2013-18'!Q567:Q575)</f>
        <v>504407</v>
      </c>
      <c r="G398" s="2">
        <f>SUM('Budget Detail FY 2013-18'!R567:R575)</f>
        <v>328179</v>
      </c>
      <c r="H398" s="2">
        <f>SUM('Budget Detail FY 2013-18'!S567:S575)</f>
        <v>329579</v>
      </c>
      <c r="I398" s="2">
        <f>SUM('Budget Detail FY 2013-18'!T567:T575)</f>
        <v>330579</v>
      </c>
      <c r="J398" s="2">
        <f>SUM('Budget Detail FY 2013-18'!U567:U575)</f>
        <v>336179</v>
      </c>
      <c r="K398" s="2">
        <f>SUM('Budget Detail FY 2013-18'!V567:V575)</f>
        <v>336179</v>
      </c>
    </row>
    <row r="399" spans="1:12" ht="20.100000000000001" customHeight="1" thickBot="1">
      <c r="A399" s="190"/>
      <c r="B399" s="193" t="s">
        <v>1064</v>
      </c>
      <c r="C399" s="188">
        <f t="shared" ref="C399:J399" si="65">SUM(C397:C398)</f>
        <v>429404</v>
      </c>
      <c r="D399" s="188">
        <f>SUM(D397:D398)</f>
        <v>428668</v>
      </c>
      <c r="E399" s="188">
        <f t="shared" si="65"/>
        <v>505370</v>
      </c>
      <c r="F399" s="188">
        <f t="shared" si="65"/>
        <v>505370</v>
      </c>
      <c r="G399" s="188">
        <f>SUM(G397:G398)</f>
        <v>328554</v>
      </c>
      <c r="H399" s="188">
        <f t="shared" si="65"/>
        <v>329954</v>
      </c>
      <c r="I399" s="188">
        <f t="shared" si="65"/>
        <v>330954</v>
      </c>
      <c r="J399" s="188">
        <f t="shared" si="65"/>
        <v>336554</v>
      </c>
      <c r="K399" s="188">
        <f>SUM(K397:K398)</f>
        <v>336554</v>
      </c>
    </row>
    <row r="400" spans="1:12" s="152" customFormat="1" ht="15" hidden="1">
      <c r="A400" s="194"/>
      <c r="B400" s="195"/>
      <c r="C400" s="163">
        <f>'Budget Detail FY 2013-18'!N577</f>
        <v>429404</v>
      </c>
      <c r="D400" s="163">
        <f>'Budget Detail FY 2013-18'!O577</f>
        <v>428668</v>
      </c>
      <c r="E400" s="163">
        <f>'Budget Detail FY 2013-18'!P577</f>
        <v>505370</v>
      </c>
      <c r="F400" s="163">
        <f>'Budget Detail FY 2013-18'!Q577</f>
        <v>505370</v>
      </c>
      <c r="G400" s="163">
        <f>'Budget Detail FY 2013-18'!R577</f>
        <v>328554</v>
      </c>
      <c r="H400" s="163">
        <f>'Budget Detail FY 2013-18'!S577</f>
        <v>329954</v>
      </c>
      <c r="I400" s="163">
        <f>'Budget Detail FY 2013-18'!T577</f>
        <v>330954</v>
      </c>
      <c r="J400" s="163">
        <f>'Budget Detail FY 2013-18'!U577</f>
        <v>336554</v>
      </c>
      <c r="K400" s="163">
        <f>'Budget Detail FY 2013-18'!V577</f>
        <v>336554</v>
      </c>
      <c r="L400" s="166" t="s">
        <v>1462</v>
      </c>
    </row>
    <row r="401" spans="1:12" s="158" customFormat="1" ht="15" hidden="1">
      <c r="A401" s="196"/>
      <c r="B401" s="197"/>
      <c r="C401" s="203">
        <f>C399-C400</f>
        <v>0</v>
      </c>
      <c r="D401" s="203">
        <f t="shared" ref="D401:K401" si="66">D399-D400</f>
        <v>0</v>
      </c>
      <c r="E401" s="203">
        <f t="shared" si="66"/>
        <v>0</v>
      </c>
      <c r="F401" s="203">
        <f t="shared" si="66"/>
        <v>0</v>
      </c>
      <c r="G401" s="203">
        <f t="shared" si="66"/>
        <v>0</v>
      </c>
      <c r="H401" s="203">
        <f t="shared" si="66"/>
        <v>0</v>
      </c>
      <c r="I401" s="203">
        <f t="shared" si="66"/>
        <v>0</v>
      </c>
      <c r="J401" s="203">
        <f t="shared" si="66"/>
        <v>0</v>
      </c>
      <c r="K401" s="203">
        <f t="shared" si="66"/>
        <v>0</v>
      </c>
      <c r="L401" s="167" t="s">
        <v>1463</v>
      </c>
    </row>
    <row r="402" spans="1:12" ht="15">
      <c r="A402" s="190"/>
      <c r="B402" s="200"/>
      <c r="C402" s="3"/>
      <c r="D402" s="2"/>
      <c r="E402" s="2"/>
      <c r="F402" s="2"/>
      <c r="G402" s="2"/>
      <c r="H402" s="2"/>
      <c r="I402" s="2"/>
      <c r="J402" s="2"/>
      <c r="K402" s="2"/>
    </row>
    <row r="403" spans="1:12" ht="20.100000000000001" customHeight="1">
      <c r="A403" s="190"/>
      <c r="B403" s="189" t="s">
        <v>1065</v>
      </c>
      <c r="C403" s="3">
        <f t="shared" ref="C403:J403" si="67">+C392-C399</f>
        <v>1025</v>
      </c>
      <c r="D403" s="3">
        <f t="shared" si="67"/>
        <v>78857</v>
      </c>
      <c r="E403" s="3">
        <f t="shared" si="67"/>
        <v>-78226</v>
      </c>
      <c r="F403" s="3">
        <f t="shared" si="67"/>
        <v>-76824</v>
      </c>
      <c r="G403" s="3">
        <f t="shared" si="67"/>
        <v>925</v>
      </c>
      <c r="H403" s="3">
        <f t="shared" si="67"/>
        <v>925</v>
      </c>
      <c r="I403" s="3">
        <f t="shared" si="67"/>
        <v>-12536</v>
      </c>
      <c r="J403" s="3">
        <f t="shared" si="67"/>
        <v>0</v>
      </c>
      <c r="K403" s="3">
        <f>+K392-K399</f>
        <v>0</v>
      </c>
    </row>
    <row r="404" spans="1:12" s="152" customFormat="1" ht="15" hidden="1">
      <c r="A404" s="194"/>
      <c r="B404" s="201"/>
      <c r="C404" s="163">
        <f>'Budget Detail FY 2013-18'!N579</f>
        <v>1025</v>
      </c>
      <c r="D404" s="163">
        <f>'Budget Detail FY 2013-18'!O579</f>
        <v>78857</v>
      </c>
      <c r="E404" s="163">
        <f>'Budget Detail FY 2013-18'!P579</f>
        <v>-78226</v>
      </c>
      <c r="F404" s="163">
        <f>'Budget Detail FY 2013-18'!Q579</f>
        <v>-76824</v>
      </c>
      <c r="G404" s="163">
        <f>'Budget Detail FY 2013-18'!R579</f>
        <v>925</v>
      </c>
      <c r="H404" s="163">
        <f>'Budget Detail FY 2013-18'!S579</f>
        <v>925</v>
      </c>
      <c r="I404" s="163">
        <f>'Budget Detail FY 2013-18'!T579</f>
        <v>-12536</v>
      </c>
      <c r="J404" s="163">
        <f>'Budget Detail FY 2013-18'!U579</f>
        <v>0</v>
      </c>
      <c r="K404" s="163">
        <f>'Budget Detail FY 2013-18'!V579</f>
        <v>0</v>
      </c>
      <c r="L404" s="166" t="s">
        <v>1462</v>
      </c>
    </row>
    <row r="405" spans="1:12" s="158" customFormat="1" ht="15" hidden="1">
      <c r="A405" s="196"/>
      <c r="B405" s="202"/>
      <c r="C405" s="203">
        <f>C403-C404</f>
        <v>0</v>
      </c>
      <c r="D405" s="203">
        <f t="shared" ref="D405:K405" si="68">D403-D404</f>
        <v>0</v>
      </c>
      <c r="E405" s="203">
        <f t="shared" si="68"/>
        <v>0</v>
      </c>
      <c r="F405" s="203">
        <f t="shared" si="68"/>
        <v>0</v>
      </c>
      <c r="G405" s="203">
        <f t="shared" si="68"/>
        <v>0</v>
      </c>
      <c r="H405" s="203">
        <f t="shared" si="68"/>
        <v>0</v>
      </c>
      <c r="I405" s="203">
        <f t="shared" si="68"/>
        <v>0</v>
      </c>
      <c r="J405" s="203">
        <f t="shared" si="68"/>
        <v>0</v>
      </c>
      <c r="K405" s="203">
        <f t="shared" si="68"/>
        <v>0</v>
      </c>
      <c r="L405" s="167" t="s">
        <v>1463</v>
      </c>
    </row>
    <row r="406" spans="1:12" ht="15">
      <c r="A406" s="190"/>
      <c r="B406" s="204"/>
      <c r="C406" s="3"/>
      <c r="D406" s="2"/>
      <c r="E406" s="2"/>
      <c r="F406" s="2"/>
      <c r="G406" s="2"/>
      <c r="H406" s="2"/>
      <c r="I406" s="2"/>
      <c r="J406" s="2"/>
      <c r="K406" s="2"/>
    </row>
    <row r="407" spans="1:12" ht="20.100000000000001" customHeight="1" thickBot="1">
      <c r="A407" s="190"/>
      <c r="B407" s="191" t="s">
        <v>1066</v>
      </c>
      <c r="C407" s="99">
        <v>8653</v>
      </c>
      <c r="D407" s="99">
        <v>87510</v>
      </c>
      <c r="E407" s="99">
        <v>8925</v>
      </c>
      <c r="F407" s="99">
        <f>D407+F403</f>
        <v>10686</v>
      </c>
      <c r="G407" s="99">
        <f>F407+G403</f>
        <v>11611</v>
      </c>
      <c r="H407" s="99">
        <f>G407+H403</f>
        <v>12536</v>
      </c>
      <c r="I407" s="99">
        <f>H407+I403</f>
        <v>0</v>
      </c>
      <c r="J407" s="99">
        <f>I407+J403</f>
        <v>0</v>
      </c>
      <c r="K407" s="99">
        <f>J407+K403</f>
        <v>0</v>
      </c>
    </row>
    <row r="408" spans="1:12" s="152" customFormat="1" ht="15.75" hidden="1" thickTop="1">
      <c r="A408" s="194"/>
      <c r="B408" s="195"/>
      <c r="C408" s="163">
        <f>'Budget Detail FY 2013-18'!N581</f>
        <v>8653</v>
      </c>
      <c r="D408" s="163">
        <f>'Budget Detail FY 2013-18'!O581</f>
        <v>87510</v>
      </c>
      <c r="E408" s="163">
        <f>'Budget Detail FY 2013-18'!P581</f>
        <v>8925</v>
      </c>
      <c r="F408" s="163">
        <f>'Budget Detail FY 2013-18'!Q581</f>
        <v>10686</v>
      </c>
      <c r="G408" s="163">
        <f>'Budget Detail FY 2013-18'!R581</f>
        <v>11611</v>
      </c>
      <c r="H408" s="163">
        <f>'Budget Detail FY 2013-18'!S581</f>
        <v>12536</v>
      </c>
      <c r="I408" s="163">
        <f>'Budget Detail FY 2013-18'!T581</f>
        <v>0</v>
      </c>
      <c r="J408" s="163">
        <f>'Budget Detail FY 2013-18'!U581</f>
        <v>0</v>
      </c>
      <c r="K408" s="163">
        <f>'Budget Detail FY 2013-18'!V581</f>
        <v>0</v>
      </c>
      <c r="L408" s="166" t="s">
        <v>1462</v>
      </c>
    </row>
    <row r="409" spans="1:12" s="158" customFormat="1" ht="15" hidden="1">
      <c r="A409" s="196"/>
      <c r="B409" s="197"/>
      <c r="C409" s="203">
        <f>C407-C408</f>
        <v>0</v>
      </c>
      <c r="D409" s="203">
        <f t="shared" ref="D409:K409" si="69">D407-D408</f>
        <v>0</v>
      </c>
      <c r="E409" s="203">
        <f t="shared" si="69"/>
        <v>0</v>
      </c>
      <c r="F409" s="203">
        <f t="shared" si="69"/>
        <v>0</v>
      </c>
      <c r="G409" s="203">
        <f t="shared" si="69"/>
        <v>0</v>
      </c>
      <c r="H409" s="203">
        <f t="shared" si="69"/>
        <v>0</v>
      </c>
      <c r="I409" s="203">
        <f t="shared" si="69"/>
        <v>0</v>
      </c>
      <c r="J409" s="203">
        <f t="shared" si="69"/>
        <v>0</v>
      </c>
      <c r="K409" s="203">
        <f t="shared" si="69"/>
        <v>0</v>
      </c>
      <c r="L409" s="167" t="s">
        <v>1463</v>
      </c>
    </row>
    <row r="410" spans="1:12" ht="15.75" thickTop="1">
      <c r="A410" s="190"/>
      <c r="B410" s="205"/>
      <c r="C410" s="3"/>
      <c r="D410" s="3"/>
      <c r="E410" s="3"/>
      <c r="F410" s="2"/>
      <c r="G410" s="2"/>
      <c r="H410" s="2"/>
      <c r="I410" s="2"/>
      <c r="J410" s="2"/>
      <c r="K410" s="2"/>
    </row>
    <row r="411" spans="1:12" ht="15">
      <c r="A411" s="190"/>
      <c r="B411" s="205"/>
      <c r="C411" s="2"/>
      <c r="D411" s="2"/>
      <c r="E411" s="2"/>
      <c r="F411" s="2"/>
      <c r="G411" s="2"/>
      <c r="H411" s="2"/>
      <c r="I411" s="2"/>
      <c r="J411" s="2"/>
      <c r="K411" s="2"/>
    </row>
    <row r="412" spans="1:12" ht="15">
      <c r="A412" s="190"/>
      <c r="B412" s="1"/>
      <c r="C412" s="2"/>
      <c r="D412" s="2"/>
      <c r="E412" s="2"/>
      <c r="F412" s="2"/>
      <c r="G412" s="2"/>
      <c r="H412" s="2"/>
      <c r="I412" s="2"/>
      <c r="J412" s="2"/>
      <c r="K412" s="2"/>
    </row>
    <row r="413" spans="1:12" ht="15">
      <c r="A413" s="190"/>
      <c r="B413" s="1"/>
      <c r="C413" s="2"/>
      <c r="D413" s="2"/>
      <c r="E413" s="2"/>
      <c r="F413" s="2"/>
      <c r="G413" s="2"/>
      <c r="H413" s="2"/>
      <c r="I413" s="2"/>
      <c r="J413" s="2"/>
      <c r="K413" s="2"/>
    </row>
    <row r="414" spans="1:12" ht="15">
      <c r="A414" s="190"/>
      <c r="B414" s="1"/>
      <c r="C414" s="2"/>
      <c r="D414" s="2"/>
      <c r="E414" s="2"/>
      <c r="F414" s="2"/>
      <c r="G414" s="2"/>
      <c r="H414" s="2"/>
      <c r="I414" s="2"/>
      <c r="J414" s="2"/>
      <c r="K414" s="2"/>
    </row>
    <row r="415" spans="1:12" ht="15">
      <c r="A415" s="190"/>
      <c r="B415" s="1"/>
      <c r="C415" s="2"/>
      <c r="D415" s="2"/>
      <c r="E415" s="2"/>
      <c r="F415" s="2"/>
      <c r="G415" s="2"/>
      <c r="H415" s="2"/>
      <c r="I415" s="2"/>
      <c r="J415" s="2"/>
      <c r="K415" s="2"/>
    </row>
    <row r="416" spans="1:12" ht="15">
      <c r="A416" s="190"/>
      <c r="B416" s="1"/>
      <c r="C416" s="2"/>
      <c r="D416" s="2"/>
      <c r="E416" s="2"/>
      <c r="F416" s="2"/>
      <c r="G416" s="2"/>
      <c r="H416" s="2"/>
      <c r="I416" s="2"/>
      <c r="J416" s="2"/>
      <c r="K416" s="2"/>
    </row>
    <row r="417" spans="1:11" ht="15">
      <c r="A417" s="190"/>
      <c r="B417" s="1"/>
      <c r="C417" s="2"/>
      <c r="D417" s="2"/>
      <c r="E417" s="2"/>
      <c r="F417" s="2"/>
      <c r="G417" s="2"/>
      <c r="H417" s="2"/>
      <c r="I417" s="2"/>
      <c r="J417" s="2"/>
      <c r="K417" s="2"/>
    </row>
    <row r="418" spans="1:11" ht="15">
      <c r="A418" s="190"/>
      <c r="B418" s="1"/>
      <c r="C418" s="2"/>
      <c r="D418" s="2"/>
      <c r="E418" s="2"/>
      <c r="F418" s="2"/>
      <c r="G418" s="2"/>
      <c r="H418" s="2"/>
      <c r="I418" s="2"/>
      <c r="J418" s="2"/>
      <c r="K418" s="2"/>
    </row>
    <row r="419" spans="1:11" ht="15">
      <c r="A419" s="190"/>
      <c r="B419" s="1"/>
      <c r="C419" s="2"/>
      <c r="D419" s="2"/>
      <c r="E419" s="2"/>
      <c r="F419" s="2"/>
      <c r="G419" s="2"/>
      <c r="H419" s="2"/>
      <c r="I419" s="2"/>
      <c r="J419" s="2"/>
      <c r="K419" s="2"/>
    </row>
    <row r="420" spans="1:11" ht="15">
      <c r="A420" s="190"/>
      <c r="B420" s="1"/>
      <c r="C420" s="2"/>
      <c r="D420" s="2"/>
      <c r="E420" s="2"/>
      <c r="F420" s="2"/>
      <c r="G420" s="2"/>
      <c r="H420" s="2"/>
      <c r="I420" s="2"/>
      <c r="J420" s="2"/>
      <c r="K420" s="2"/>
    </row>
    <row r="421" spans="1:11" ht="15">
      <c r="A421" s="190"/>
      <c r="B421" s="1"/>
      <c r="C421" s="2"/>
      <c r="D421" s="2"/>
      <c r="E421" s="2"/>
      <c r="F421" s="2"/>
      <c r="G421" s="2"/>
      <c r="H421" s="2"/>
      <c r="I421" s="2"/>
      <c r="J421" s="2"/>
      <c r="K421" s="2"/>
    </row>
    <row r="422" spans="1:11">
      <c r="A422" s="190"/>
      <c r="B422" s="190"/>
      <c r="C422" s="207"/>
      <c r="D422" s="207"/>
      <c r="E422" s="208"/>
      <c r="F422" s="208"/>
      <c r="G422" s="208"/>
      <c r="H422" s="208"/>
      <c r="I422" s="208"/>
      <c r="J422" s="208"/>
      <c r="K422" s="208"/>
    </row>
    <row r="423" spans="1:11">
      <c r="A423" s="190"/>
      <c r="B423" s="190"/>
      <c r="C423" s="207"/>
      <c r="D423" s="207"/>
      <c r="E423" s="208"/>
      <c r="F423" s="208"/>
      <c r="G423" s="208"/>
      <c r="H423" s="208"/>
      <c r="I423" s="208"/>
      <c r="J423" s="208"/>
      <c r="K423" s="208"/>
    </row>
    <row r="424" spans="1:11" ht="18.75">
      <c r="A424" s="190"/>
      <c r="B424" s="523" t="s">
        <v>1075</v>
      </c>
      <c r="C424" s="523"/>
      <c r="D424" s="523"/>
      <c r="E424" s="523"/>
      <c r="F424" s="523"/>
      <c r="G424" s="523"/>
      <c r="H424" s="523"/>
      <c r="I424" s="523"/>
      <c r="J424" s="523"/>
      <c r="K424" s="523"/>
    </row>
    <row r="425" spans="1:11" ht="15">
      <c r="A425" s="190"/>
      <c r="B425" s="80"/>
      <c r="C425" s="3"/>
      <c r="D425" s="2"/>
      <c r="E425" s="2"/>
      <c r="F425" s="2"/>
      <c r="G425" s="2"/>
      <c r="H425" s="2"/>
      <c r="I425" s="2"/>
      <c r="J425" s="2"/>
      <c r="K425" s="2"/>
    </row>
    <row r="426" spans="1:11" ht="12.75" customHeight="1">
      <c r="A426" s="190"/>
      <c r="B426" s="529" t="s">
        <v>1076</v>
      </c>
      <c r="C426" s="529"/>
      <c r="D426" s="529"/>
      <c r="E426" s="529"/>
      <c r="F426" s="529"/>
      <c r="G426" s="529"/>
      <c r="H426" s="529"/>
      <c r="I426" s="529"/>
      <c r="J426" s="529"/>
      <c r="K426" s="529"/>
    </row>
    <row r="427" spans="1:11" ht="18" customHeight="1">
      <c r="A427" s="190"/>
      <c r="B427" s="529"/>
      <c r="C427" s="529"/>
      <c r="D427" s="529"/>
      <c r="E427" s="529"/>
      <c r="F427" s="529"/>
      <c r="G427" s="529"/>
      <c r="H427" s="529"/>
      <c r="I427" s="529"/>
      <c r="J427" s="529"/>
      <c r="K427" s="529"/>
    </row>
    <row r="428" spans="1:11" ht="7.5" customHeight="1">
      <c r="A428" s="190"/>
      <c r="B428" s="187"/>
      <c r="C428" s="31"/>
      <c r="D428" s="31"/>
      <c r="E428" s="31"/>
      <c r="F428" s="2"/>
      <c r="G428" s="2"/>
      <c r="H428" s="2"/>
      <c r="I428" s="2"/>
      <c r="J428" s="2"/>
      <c r="K428" s="2"/>
    </row>
    <row r="429" spans="1:11" ht="15">
      <c r="A429" s="190"/>
      <c r="B429" s="5"/>
      <c r="C429" s="80"/>
      <c r="D429" s="81"/>
      <c r="E429" s="80" t="s">
        <v>312</v>
      </c>
      <c r="F429" s="1"/>
      <c r="G429" s="1"/>
      <c r="H429" s="1"/>
      <c r="I429" s="1"/>
      <c r="J429" s="1"/>
      <c r="K429" s="1"/>
    </row>
    <row r="430" spans="1:11" ht="15">
      <c r="A430" s="190"/>
      <c r="B430" s="81"/>
      <c r="C430" s="80" t="s">
        <v>23</v>
      </c>
      <c r="D430" s="104" t="s">
        <v>253</v>
      </c>
      <c r="E430" s="81" t="s">
        <v>1045</v>
      </c>
      <c r="F430" s="81" t="s">
        <v>312</v>
      </c>
      <c r="G430" s="81" t="s">
        <v>313</v>
      </c>
      <c r="H430" s="81" t="s">
        <v>329</v>
      </c>
      <c r="I430" s="81" t="s">
        <v>332</v>
      </c>
      <c r="J430" s="81" t="s">
        <v>333</v>
      </c>
      <c r="K430" s="81" t="s">
        <v>1224</v>
      </c>
    </row>
    <row r="431" spans="1:11" ht="15.75" thickBot="1">
      <c r="A431" s="190"/>
      <c r="B431" s="209"/>
      <c r="C431" s="83" t="s">
        <v>1</v>
      </c>
      <c r="D431" s="83" t="s">
        <v>1</v>
      </c>
      <c r="E431" s="83" t="s">
        <v>987</v>
      </c>
      <c r="F431" s="83" t="s">
        <v>24</v>
      </c>
      <c r="G431" s="83" t="s">
        <v>1045</v>
      </c>
      <c r="H431" s="83" t="s">
        <v>24</v>
      </c>
      <c r="I431" s="83" t="s">
        <v>24</v>
      </c>
      <c r="J431" s="83" t="s">
        <v>24</v>
      </c>
      <c r="K431" s="83" t="s">
        <v>24</v>
      </c>
    </row>
    <row r="432" spans="1:11" ht="15">
      <c r="A432" s="190"/>
      <c r="B432" s="79"/>
      <c r="C432" s="210"/>
      <c r="D432" s="2"/>
      <c r="E432" s="2"/>
      <c r="F432" s="2"/>
      <c r="G432" s="2"/>
      <c r="H432" s="2"/>
      <c r="I432" s="2"/>
      <c r="J432" s="2"/>
      <c r="K432" s="2"/>
    </row>
    <row r="433" spans="1:12" ht="15">
      <c r="A433" s="190"/>
      <c r="B433" s="198" t="s">
        <v>1046</v>
      </c>
      <c r="C433" s="2"/>
      <c r="D433" s="2"/>
      <c r="E433" s="2"/>
      <c r="F433" s="2"/>
      <c r="G433" s="2"/>
      <c r="H433" s="2"/>
      <c r="I433" s="2"/>
      <c r="J433" s="2"/>
      <c r="K433" s="2"/>
    </row>
    <row r="434" spans="1:12" ht="20.100000000000001" customHeight="1">
      <c r="A434" s="190"/>
      <c r="B434" s="5" t="s">
        <v>1047</v>
      </c>
      <c r="C434" s="2">
        <f>'Budget Detail FY 2013-18'!N585</f>
        <v>0</v>
      </c>
      <c r="D434" s="2">
        <f>'Budget Detail FY 2013-18'!O585</f>
        <v>133524</v>
      </c>
      <c r="E434" s="2">
        <f>'Budget Detail FY 2013-18'!P585</f>
        <v>133454</v>
      </c>
      <c r="F434" s="2">
        <f>'Budget Detail FY 2013-18'!Q585</f>
        <v>132793</v>
      </c>
      <c r="G434" s="2">
        <f>'Budget Detail FY 2013-18'!R585</f>
        <v>43027</v>
      </c>
      <c r="H434" s="2">
        <f>'Budget Detail FY 2013-18'!S585</f>
        <v>41959</v>
      </c>
      <c r="I434" s="2">
        <f>'Budget Detail FY 2013-18'!T585</f>
        <v>0</v>
      </c>
      <c r="J434" s="2">
        <f>'Budget Detail FY 2013-18'!U585</f>
        <v>0</v>
      </c>
      <c r="K434" s="2">
        <f>'Budget Detail FY 2013-18'!V585</f>
        <v>0</v>
      </c>
    </row>
    <row r="435" spans="1:12" ht="20.100000000000001" customHeight="1">
      <c r="A435" s="190"/>
      <c r="B435" s="192" t="s">
        <v>1049</v>
      </c>
      <c r="C435" s="2">
        <f>'Budget Detail FY 2013-18'!N586</f>
        <v>0</v>
      </c>
      <c r="D435" s="2">
        <f>'Budget Detail FY 2013-18'!O586</f>
        <v>11970</v>
      </c>
      <c r="E435" s="2">
        <f>'Budget Detail FY 2013-18'!P586</f>
        <v>0</v>
      </c>
      <c r="F435" s="2">
        <f>'Budget Detail FY 2013-18'!Q586</f>
        <v>54590</v>
      </c>
      <c r="G435" s="2">
        <f>'Budget Detail FY 2013-18'!R586</f>
        <v>0</v>
      </c>
      <c r="H435" s="2">
        <f>'Budget Detail FY 2013-18'!S586</f>
        <v>0</v>
      </c>
      <c r="I435" s="2">
        <f>'Budget Detail FY 2013-18'!T586</f>
        <v>0</v>
      </c>
      <c r="J435" s="2">
        <f>'Budget Detail FY 2013-18'!U586</f>
        <v>0</v>
      </c>
      <c r="K435" s="2">
        <f>'Budget Detail FY 2013-18'!V586</f>
        <v>0</v>
      </c>
    </row>
    <row r="436" spans="1:12" ht="20.100000000000001" customHeight="1">
      <c r="A436" s="190"/>
      <c r="B436" s="5" t="s">
        <v>1051</v>
      </c>
      <c r="C436" s="2">
        <f>SUM('Budget Detail FY 2013-18'!N587:N593)</f>
        <v>2503003</v>
      </c>
      <c r="D436" s="2">
        <f>SUM('Budget Detail FY 2013-18'!O587:O593)</f>
        <v>2580682</v>
      </c>
      <c r="E436" s="2">
        <f>SUM('Budget Detail FY 2013-18'!P587:P593)</f>
        <v>2527871</v>
      </c>
      <c r="F436" s="2">
        <f>SUM('Budget Detail FY 2013-18'!Q587:Q593)</f>
        <v>2799135</v>
      </c>
      <c r="G436" s="2">
        <f>SUM('Budget Detail FY 2013-18'!R587:R593)</f>
        <v>2458740</v>
      </c>
      <c r="H436" s="2">
        <f>SUM('Budget Detail FY 2013-18'!S587:S593)</f>
        <v>2487934</v>
      </c>
      <c r="I436" s="2">
        <f>SUM('Budget Detail FY 2013-18'!T587:T593)</f>
        <v>2517566</v>
      </c>
      <c r="J436" s="2">
        <f>SUM('Budget Detail FY 2013-18'!U587:U593)</f>
        <v>2547642</v>
      </c>
      <c r="K436" s="2">
        <f>SUM('Budget Detail FY 2013-18'!V587:V593)</f>
        <v>2578170</v>
      </c>
    </row>
    <row r="437" spans="1:12" ht="20.100000000000001" customHeight="1">
      <c r="A437" s="190"/>
      <c r="B437" s="5" t="s">
        <v>1052</v>
      </c>
      <c r="C437" s="2">
        <f>'Budget Detail FY 2013-18'!N594</f>
        <v>1888</v>
      </c>
      <c r="D437" s="2">
        <f>'Budget Detail FY 2013-18'!O594</f>
        <v>282</v>
      </c>
      <c r="E437" s="2">
        <f>'Budget Detail FY 2013-18'!P594</f>
        <v>300</v>
      </c>
      <c r="F437" s="2">
        <f>'Budget Detail FY 2013-18'!Q594</f>
        <v>1700</v>
      </c>
      <c r="G437" s="2">
        <f>'Budget Detail FY 2013-18'!R594</f>
        <v>2000</v>
      </c>
      <c r="H437" s="2">
        <f>'Budget Detail FY 2013-18'!S594</f>
        <v>2500</v>
      </c>
      <c r="I437" s="2">
        <f>'Budget Detail FY 2013-18'!T594</f>
        <v>3000</v>
      </c>
      <c r="J437" s="2">
        <f>'Budget Detail FY 2013-18'!U594</f>
        <v>3500</v>
      </c>
      <c r="K437" s="2">
        <f>'Budget Detail FY 2013-18'!V594</f>
        <v>4000</v>
      </c>
    </row>
    <row r="438" spans="1:12" ht="20.100000000000001" customHeight="1">
      <c r="A438" s="190"/>
      <c r="B438" s="5" t="s">
        <v>1053</v>
      </c>
      <c r="C438" s="2">
        <f>SUM('Budget Detail FY 2013-18'!N595:N597)</f>
        <v>0</v>
      </c>
      <c r="D438" s="2">
        <f>SUM('Budget Detail FY 2013-18'!O595:O597)</f>
        <v>1771</v>
      </c>
      <c r="E438" s="2">
        <f>SUM('Budget Detail FY 2013-18'!P595:P597)</f>
        <v>7466</v>
      </c>
      <c r="F438" s="2">
        <f>SUM('Budget Detail FY 2013-18'!Q595:Q597)</f>
        <v>8232</v>
      </c>
      <c r="G438" s="2">
        <f>SUM('Budget Detail FY 2013-18'!R595:R597)</f>
        <v>0</v>
      </c>
      <c r="H438" s="2">
        <f>SUM('Budget Detail FY 2013-18'!S595:S597)</f>
        <v>0</v>
      </c>
      <c r="I438" s="2">
        <f>SUM('Budget Detail FY 2013-18'!T595:T597)</f>
        <v>0</v>
      </c>
      <c r="J438" s="2">
        <f>SUM('Budget Detail FY 2013-18'!U595:U597)</f>
        <v>0</v>
      </c>
      <c r="K438" s="2">
        <f>SUM('Budget Detail FY 2013-18'!V595:V597)</f>
        <v>0</v>
      </c>
    </row>
    <row r="439" spans="1:12" ht="20.100000000000001" customHeight="1">
      <c r="A439" s="190"/>
      <c r="B439" s="5" t="s">
        <v>1054</v>
      </c>
      <c r="C439" s="2">
        <f>SUM('Budget Detail FY 2013-18'!N598:N600)</f>
        <v>40793</v>
      </c>
      <c r="D439" s="2">
        <f>SUM('Budget Detail FY 2013-18'!O598:O600)</f>
        <v>43106</v>
      </c>
      <c r="E439" s="2">
        <f>SUM('Budget Detail FY 2013-18'!P598:P600)</f>
        <v>50000</v>
      </c>
      <c r="F439" s="2">
        <f>SUM('Budget Detail FY 2013-18'!Q598:Q600)</f>
        <v>53073</v>
      </c>
      <c r="G439" s="2">
        <f>SUM('Budget Detail FY 2013-18'!R598:R600)</f>
        <v>54336</v>
      </c>
      <c r="H439" s="2">
        <f>SUM('Budget Detail FY 2013-18'!S598:S600)</f>
        <v>55632</v>
      </c>
      <c r="I439" s="2">
        <f>SUM('Budget Detail FY 2013-18'!T598:T600)</f>
        <v>56963</v>
      </c>
      <c r="J439" s="2">
        <f>SUM('Budget Detail FY 2013-18'!U598:U600)</f>
        <v>58329</v>
      </c>
      <c r="K439" s="2">
        <f>SUM('Budget Detail FY 2013-18'!V598:V600)</f>
        <v>59731</v>
      </c>
    </row>
    <row r="440" spans="1:12" ht="20.100000000000001" customHeight="1">
      <c r="A440" s="190"/>
      <c r="B440" s="5" t="s">
        <v>1055</v>
      </c>
      <c r="C440" s="2">
        <f>'Budget Detail FY 2013-18'!N601</f>
        <v>82850</v>
      </c>
      <c r="D440" s="2">
        <f>'Budget Detail FY 2013-18'!O601</f>
        <v>83863</v>
      </c>
      <c r="E440" s="2">
        <f>'Budget Detail FY 2013-18'!P601</f>
        <v>82288</v>
      </c>
      <c r="F440" s="2">
        <f>'Budget Detail FY 2013-18'!Q601</f>
        <v>82288</v>
      </c>
      <c r="G440" s="2">
        <f>'Budget Detail FY 2013-18'!R601</f>
        <v>82988</v>
      </c>
      <c r="H440" s="2">
        <f>'Budget Detail FY 2013-18'!S601</f>
        <v>83588</v>
      </c>
      <c r="I440" s="2">
        <f>'Budget Detail FY 2013-18'!T601</f>
        <v>84088</v>
      </c>
      <c r="J440" s="2">
        <f>'Budget Detail FY 2013-18'!U601</f>
        <v>84488</v>
      </c>
      <c r="K440" s="2">
        <f>'Budget Detail FY 2013-18'!V601</f>
        <v>82288</v>
      </c>
    </row>
    <row r="441" spans="1:12" ht="20.100000000000001" customHeight="1" thickBot="1">
      <c r="A441" s="190"/>
      <c r="B441" s="193" t="s">
        <v>1056</v>
      </c>
      <c r="C441" s="188">
        <f t="shared" ref="C441:J441" si="70">SUM(C434:C440)</f>
        <v>2628534</v>
      </c>
      <c r="D441" s="188">
        <f>SUM(D434:D440)</f>
        <v>2855198</v>
      </c>
      <c r="E441" s="188">
        <f t="shared" si="70"/>
        <v>2801379</v>
      </c>
      <c r="F441" s="188">
        <f t="shared" si="70"/>
        <v>3131811</v>
      </c>
      <c r="G441" s="188">
        <f t="shared" si="70"/>
        <v>2641091</v>
      </c>
      <c r="H441" s="188">
        <f t="shared" si="70"/>
        <v>2671613</v>
      </c>
      <c r="I441" s="188">
        <f t="shared" si="70"/>
        <v>2661617</v>
      </c>
      <c r="J441" s="188">
        <f t="shared" si="70"/>
        <v>2693959</v>
      </c>
      <c r="K441" s="188">
        <f>SUM(K434:K440)</f>
        <v>2724189</v>
      </c>
    </row>
    <row r="442" spans="1:12" s="152" customFormat="1" ht="15" hidden="1">
      <c r="A442" s="194"/>
      <c r="B442" s="195"/>
      <c r="C442" s="163">
        <f>'Budget Detail FY 2013-18'!N603</f>
        <v>2628534</v>
      </c>
      <c r="D442" s="163">
        <f>'Budget Detail FY 2013-18'!O603</f>
        <v>2855198</v>
      </c>
      <c r="E442" s="163">
        <f>'Budget Detail FY 2013-18'!P603</f>
        <v>2801379</v>
      </c>
      <c r="F442" s="163">
        <f>'Budget Detail FY 2013-18'!Q603</f>
        <v>3131811</v>
      </c>
      <c r="G442" s="163">
        <f>'Budget Detail FY 2013-18'!R603</f>
        <v>2641091</v>
      </c>
      <c r="H442" s="163">
        <f>'Budget Detail FY 2013-18'!S603</f>
        <v>2671613</v>
      </c>
      <c r="I442" s="163">
        <f>'Budget Detail FY 2013-18'!T603</f>
        <v>2661617</v>
      </c>
      <c r="J442" s="163">
        <f>'Budget Detail FY 2013-18'!U603</f>
        <v>2693959</v>
      </c>
      <c r="K442" s="163">
        <f>'Budget Detail FY 2013-18'!V603</f>
        <v>2724189</v>
      </c>
      <c r="L442" s="166" t="s">
        <v>1462</v>
      </c>
    </row>
    <row r="443" spans="1:12" s="158" customFormat="1" ht="14.25" hidden="1">
      <c r="A443" s="196"/>
      <c r="B443" s="197"/>
      <c r="C443" s="164">
        <f>C441-C442</f>
        <v>0</v>
      </c>
      <c r="D443" s="164">
        <f t="shared" ref="D443:K443" si="71">D441-D442</f>
        <v>0</v>
      </c>
      <c r="E443" s="164">
        <f t="shared" si="71"/>
        <v>0</v>
      </c>
      <c r="F443" s="164">
        <f t="shared" si="71"/>
        <v>0</v>
      </c>
      <c r="G443" s="164">
        <f t="shared" si="71"/>
        <v>0</v>
      </c>
      <c r="H443" s="164">
        <f t="shared" si="71"/>
        <v>0</v>
      </c>
      <c r="I443" s="164">
        <f t="shared" si="71"/>
        <v>0</v>
      </c>
      <c r="J443" s="164">
        <f t="shared" si="71"/>
        <v>0</v>
      </c>
      <c r="K443" s="164">
        <f t="shared" si="71"/>
        <v>0</v>
      </c>
      <c r="L443" s="167" t="s">
        <v>1463</v>
      </c>
    </row>
    <row r="444" spans="1:12" ht="7.5" customHeight="1">
      <c r="A444" s="190"/>
      <c r="B444" s="1"/>
      <c r="C444" s="2"/>
      <c r="D444" s="2"/>
      <c r="E444" s="2"/>
      <c r="F444" s="2"/>
      <c r="G444" s="2"/>
      <c r="H444" s="2"/>
      <c r="I444" s="2"/>
      <c r="J444" s="2"/>
      <c r="K444" s="2"/>
    </row>
    <row r="445" spans="1:12" ht="15">
      <c r="A445" s="190"/>
      <c r="B445" s="198" t="s">
        <v>763</v>
      </c>
      <c r="C445" s="2"/>
      <c r="D445" s="2"/>
      <c r="E445" s="2"/>
      <c r="F445" s="2"/>
      <c r="G445" s="2"/>
      <c r="H445" s="2"/>
      <c r="I445" s="2"/>
      <c r="J445" s="2"/>
      <c r="K445" s="2"/>
    </row>
    <row r="446" spans="1:12" ht="20.100000000000001" customHeight="1">
      <c r="A446" s="190"/>
      <c r="B446" s="199" t="s">
        <v>1057</v>
      </c>
      <c r="C446" s="2">
        <f>SUM('Budget Detail FY 2013-18'!N606:N607)</f>
        <v>346735</v>
      </c>
      <c r="D446" s="2">
        <f>SUM('Budget Detail FY 2013-18'!O606:O607)</f>
        <v>332461</v>
      </c>
      <c r="E446" s="2">
        <f>SUM('Budget Detail FY 2013-18'!P606:P607)</f>
        <v>382000</v>
      </c>
      <c r="F446" s="2">
        <f>SUM('Budget Detail FY 2013-18'!Q606:Q607)</f>
        <v>362000</v>
      </c>
      <c r="G446" s="2">
        <f>SUM('Budget Detail FY 2013-18'!R606:R607)</f>
        <v>339697</v>
      </c>
      <c r="H446" s="2">
        <f>SUM('Budget Detail FY 2013-18'!S606:S607)</f>
        <v>339697</v>
      </c>
      <c r="I446" s="2">
        <f>SUM('Budget Detail FY 2013-18'!T606:T607)</f>
        <v>339697</v>
      </c>
      <c r="J446" s="2">
        <f>SUM('Budget Detail FY 2013-18'!U606:U607)</f>
        <v>339697</v>
      </c>
      <c r="K446" s="2">
        <f>SUM('Budget Detail FY 2013-18'!V606:V607)</f>
        <v>339697</v>
      </c>
    </row>
    <row r="447" spans="1:12" ht="20.100000000000001" customHeight="1">
      <c r="A447" s="190"/>
      <c r="B447" s="199" t="s">
        <v>1058</v>
      </c>
      <c r="C447" s="2">
        <f>SUM('Budget Detail FY 2013-18'!N608:N615)</f>
        <v>57450</v>
      </c>
      <c r="D447" s="2">
        <f>SUM('Budget Detail FY 2013-18'!O608:O615)</f>
        <v>56284</v>
      </c>
      <c r="E447" s="2">
        <f>SUM('Budget Detail FY 2013-18'!P608:P615)</f>
        <v>219720</v>
      </c>
      <c r="F447" s="2">
        <f>SUM('Budget Detail FY 2013-18'!Q608:Q615)</f>
        <v>208468</v>
      </c>
      <c r="G447" s="2">
        <f>SUM('Budget Detail FY 2013-18'!R608:R615)</f>
        <v>202339</v>
      </c>
      <c r="H447" s="2">
        <f>SUM('Budget Detail FY 2013-18'!S608:S615)</f>
        <v>214835</v>
      </c>
      <c r="I447" s="2">
        <f>SUM('Budget Detail FY 2013-18'!T608:T615)</f>
        <v>228521</v>
      </c>
      <c r="J447" s="2">
        <f>SUM('Budget Detail FY 2013-18'!U608:U615)</f>
        <v>238181</v>
      </c>
      <c r="K447" s="2">
        <f>SUM('Budget Detail FY 2013-18'!V608:V615)</f>
        <v>248418</v>
      </c>
    </row>
    <row r="448" spans="1:12" ht="20.100000000000001" customHeight="1">
      <c r="A448" s="190"/>
      <c r="B448" s="199" t="s">
        <v>1059</v>
      </c>
      <c r="C448" s="2">
        <f>SUM('Budget Detail FY 2013-18'!N616:N635)</f>
        <v>493345</v>
      </c>
      <c r="D448" s="2">
        <f>SUM('Budget Detail FY 2013-18'!O616:O635)</f>
        <v>518831</v>
      </c>
      <c r="E448" s="2">
        <f>SUM('Budget Detail FY 2013-18'!P616:P635)</f>
        <v>501200</v>
      </c>
      <c r="F448" s="2">
        <f>SUM('Budget Detail FY 2013-18'!Q616:Q635)</f>
        <v>542740</v>
      </c>
      <c r="G448" s="2">
        <f>SUM('Budget Detail FY 2013-18'!R616:R635)</f>
        <v>497450</v>
      </c>
      <c r="H448" s="2">
        <f>SUM('Budget Detail FY 2013-18'!S616:S635)</f>
        <v>511625</v>
      </c>
      <c r="I448" s="2">
        <f>SUM('Budget Detail FY 2013-18'!T616:T635)</f>
        <v>526509</v>
      </c>
      <c r="J448" s="2">
        <f>SUM('Budget Detail FY 2013-18'!U616:U635)</f>
        <v>542137</v>
      </c>
      <c r="K448" s="2">
        <f>SUM('Budget Detail FY 2013-18'!V616:V635)</f>
        <v>558546</v>
      </c>
    </row>
    <row r="449" spans="1:12" ht="20.100000000000001" customHeight="1">
      <c r="A449" s="190"/>
      <c r="B449" s="199" t="s">
        <v>1060</v>
      </c>
      <c r="C449" s="2">
        <f>SUM('Budget Detail FY 2013-18'!N636:N644)</f>
        <v>264325</v>
      </c>
      <c r="D449" s="2">
        <f>SUM('Budget Detail FY 2013-18'!O636:O644)</f>
        <v>267849</v>
      </c>
      <c r="E449" s="2">
        <f>SUM('Budget Detail FY 2013-18'!P636:P644)</f>
        <v>294124</v>
      </c>
      <c r="F449" s="2">
        <f>SUM('Budget Detail FY 2013-18'!Q636:Q644)</f>
        <v>291926</v>
      </c>
      <c r="G449" s="2">
        <f>SUM('Budget Detail FY 2013-18'!R636:R644)</f>
        <v>301873</v>
      </c>
      <c r="H449" s="2">
        <f>SUM('Budget Detail FY 2013-18'!S636:S644)</f>
        <v>298734</v>
      </c>
      <c r="I449" s="2">
        <f>SUM('Budget Detail FY 2013-18'!T636:T644)</f>
        <v>301795</v>
      </c>
      <c r="J449" s="2">
        <f>SUM('Budget Detail FY 2013-18'!U636:U644)</f>
        <v>305071</v>
      </c>
      <c r="K449" s="2">
        <f>SUM('Budget Detail FY 2013-18'!V636:V644)</f>
        <v>308576</v>
      </c>
    </row>
    <row r="450" spans="1:12" ht="20.100000000000001" customHeight="1">
      <c r="A450" s="190"/>
      <c r="B450" s="199" t="s">
        <v>1061</v>
      </c>
      <c r="C450" s="2">
        <f>SUM('Budget Detail FY 2013-18'!N645:N648)</f>
        <v>0</v>
      </c>
      <c r="D450" s="2">
        <f>SUM('Budget Detail FY 2013-18'!O645:O648)</f>
        <v>25054</v>
      </c>
      <c r="E450" s="2">
        <f>SUM('Budget Detail FY 2013-18'!P645:P648)</f>
        <v>132000</v>
      </c>
      <c r="F450" s="2">
        <f>SUM('Budget Detail FY 2013-18'!Q645:Q648)</f>
        <v>91305</v>
      </c>
      <c r="G450" s="2">
        <f>SUM('Budget Detail FY 2013-18'!R645:R648)</f>
        <v>345434</v>
      </c>
      <c r="H450" s="2">
        <f>SUM('Budget Detail FY 2013-18'!S645:S648)</f>
        <v>1002784</v>
      </c>
      <c r="I450" s="2">
        <f>SUM('Budget Detail FY 2013-18'!T645:T648)</f>
        <v>1111894</v>
      </c>
      <c r="J450" s="2">
        <f>SUM('Budget Detail FY 2013-18'!U645:U648)</f>
        <v>806374</v>
      </c>
      <c r="K450" s="2">
        <f>SUM('Budget Detail FY 2013-18'!V645:V648)</f>
        <v>246254</v>
      </c>
    </row>
    <row r="451" spans="1:12" ht="20.100000000000001" customHeight="1">
      <c r="A451" s="190"/>
      <c r="B451" s="205" t="s">
        <v>1077</v>
      </c>
      <c r="C451" s="2">
        <f>SUM('Budget Detail FY 2013-18'!N649)</f>
        <v>275865</v>
      </c>
      <c r="D451" s="2">
        <f>SUM('Budget Detail FY 2013-18'!O649)</f>
        <v>275865</v>
      </c>
      <c r="E451" s="2">
        <f>SUM('Budget Detail FY 2013-18'!P649)</f>
        <v>160923</v>
      </c>
      <c r="F451" s="2">
        <f>SUM('Budget Detail FY 2013-18'!Q649)</f>
        <v>160921</v>
      </c>
      <c r="G451" s="2">
        <f>SUM('Budget Detail FY 2013-18'!R649)</f>
        <v>0</v>
      </c>
      <c r="H451" s="2">
        <f>SUM('Budget Detail FY 2013-18'!S649)</f>
        <v>0</v>
      </c>
      <c r="I451" s="2">
        <f>SUM('Budget Detail FY 2013-18'!T649)</f>
        <v>0</v>
      </c>
      <c r="J451" s="2">
        <f>SUM('Budget Detail FY 2013-18'!U649)</f>
        <v>0</v>
      </c>
      <c r="K451" s="2">
        <f>SUM('Budget Detail FY 2013-18'!V649)</f>
        <v>0</v>
      </c>
    </row>
    <row r="452" spans="1:12" ht="20.100000000000001" customHeight="1">
      <c r="A452" s="190"/>
      <c r="B452" s="205" t="s">
        <v>967</v>
      </c>
      <c r="C452" s="2">
        <f>SUM('Budget Detail FY 2013-18'!N651:N667)</f>
        <v>834453</v>
      </c>
      <c r="D452" s="2">
        <f>SUM('Budget Detail FY 2013-18'!O651:O667)</f>
        <v>903277</v>
      </c>
      <c r="E452" s="2">
        <f>SUM('Budget Detail FY 2013-18'!P651:P667)</f>
        <v>1396016</v>
      </c>
      <c r="F452" s="2">
        <f>SUM('Budget Detail FY 2013-18'!Q651:Q667)</f>
        <v>1396016</v>
      </c>
      <c r="G452" s="2">
        <f>SUM('Budget Detail FY 2013-18'!R651:R667)</f>
        <v>1172802</v>
      </c>
      <c r="H452" s="2">
        <f>SUM('Budget Detail FY 2013-18'!S651:S667)</f>
        <v>1168384</v>
      </c>
      <c r="I452" s="2">
        <f>SUM('Budget Detail FY 2013-18'!T651:T667)</f>
        <v>1163054</v>
      </c>
      <c r="J452" s="2">
        <f>SUM('Budget Detail FY 2013-18'!U651:U667)</f>
        <v>1166825</v>
      </c>
      <c r="K452" s="2">
        <f>SUM('Budget Detail FY 2013-18'!V651:V667)</f>
        <v>1154236</v>
      </c>
    </row>
    <row r="453" spans="1:12" ht="20.100000000000001" customHeight="1" thickBot="1">
      <c r="A453" s="190"/>
      <c r="B453" s="193" t="s">
        <v>1078</v>
      </c>
      <c r="C453" s="188">
        <f t="shared" ref="C453:K453" si="72">SUM(C446:C452)</f>
        <v>2272173</v>
      </c>
      <c r="D453" s="188">
        <f t="shared" si="72"/>
        <v>2379621</v>
      </c>
      <c r="E453" s="188">
        <f t="shared" si="72"/>
        <v>3085983</v>
      </c>
      <c r="F453" s="188">
        <f t="shared" si="72"/>
        <v>3053376</v>
      </c>
      <c r="G453" s="188">
        <f t="shared" si="72"/>
        <v>2859595</v>
      </c>
      <c r="H453" s="188">
        <f t="shared" si="72"/>
        <v>3536059</v>
      </c>
      <c r="I453" s="188">
        <f t="shared" si="72"/>
        <v>3671470</v>
      </c>
      <c r="J453" s="188">
        <f t="shared" si="72"/>
        <v>3398285</v>
      </c>
      <c r="K453" s="188">
        <f t="shared" si="72"/>
        <v>2855727</v>
      </c>
    </row>
    <row r="454" spans="1:12" s="152" customFormat="1" ht="15" hidden="1">
      <c r="A454" s="194"/>
      <c r="B454" s="195"/>
      <c r="C454" s="163">
        <f>'Budget Detail FY 2013-18'!N669</f>
        <v>2272173</v>
      </c>
      <c r="D454" s="163">
        <f>'Budget Detail FY 2013-18'!O669</f>
        <v>2379621</v>
      </c>
      <c r="E454" s="163">
        <f>'Budget Detail FY 2013-18'!P669</f>
        <v>3085983</v>
      </c>
      <c r="F454" s="163">
        <f>'Budget Detail FY 2013-18'!Q669</f>
        <v>3053376</v>
      </c>
      <c r="G454" s="163">
        <f>'Budget Detail FY 2013-18'!R669</f>
        <v>2859595</v>
      </c>
      <c r="H454" s="163">
        <f>'Budget Detail FY 2013-18'!S669</f>
        <v>3536059</v>
      </c>
      <c r="I454" s="163">
        <f>'Budget Detail FY 2013-18'!T669</f>
        <v>3671470</v>
      </c>
      <c r="J454" s="163">
        <f>'Budget Detail FY 2013-18'!U669</f>
        <v>3398285</v>
      </c>
      <c r="K454" s="163">
        <f>'Budget Detail FY 2013-18'!V669</f>
        <v>2855727</v>
      </c>
      <c r="L454" s="166" t="s">
        <v>1462</v>
      </c>
    </row>
    <row r="455" spans="1:12" s="158" customFormat="1" ht="15" hidden="1">
      <c r="A455" s="196"/>
      <c r="B455" s="197"/>
      <c r="C455" s="203">
        <f>C453-C454</f>
        <v>0</v>
      </c>
      <c r="D455" s="203">
        <f t="shared" ref="D455:K455" si="73">D453-D454</f>
        <v>0</v>
      </c>
      <c r="E455" s="203">
        <f t="shared" si="73"/>
        <v>0</v>
      </c>
      <c r="F455" s="203">
        <f t="shared" si="73"/>
        <v>0</v>
      </c>
      <c r="G455" s="203">
        <f t="shared" si="73"/>
        <v>0</v>
      </c>
      <c r="H455" s="203">
        <f t="shared" si="73"/>
        <v>0</v>
      </c>
      <c r="I455" s="203">
        <f t="shared" si="73"/>
        <v>0</v>
      </c>
      <c r="J455" s="203">
        <f t="shared" si="73"/>
        <v>0</v>
      </c>
      <c r="K455" s="203">
        <f t="shared" si="73"/>
        <v>0</v>
      </c>
      <c r="L455" s="167" t="s">
        <v>1463</v>
      </c>
    </row>
    <row r="456" spans="1:12" ht="7.5" customHeight="1">
      <c r="A456" s="190"/>
      <c r="B456" s="200"/>
      <c r="C456" s="3"/>
      <c r="D456" s="2"/>
      <c r="E456" s="2"/>
      <c r="F456" s="2"/>
      <c r="G456" s="2"/>
      <c r="H456" s="2"/>
      <c r="I456" s="2"/>
      <c r="J456" s="2"/>
      <c r="K456" s="2"/>
    </row>
    <row r="457" spans="1:12" ht="20.100000000000001" customHeight="1">
      <c r="A457" s="190"/>
      <c r="B457" s="189" t="s">
        <v>1065</v>
      </c>
      <c r="C457" s="3">
        <f t="shared" ref="C457:K457" si="74">+C441-C453</f>
        <v>356361</v>
      </c>
      <c r="D457" s="3">
        <f t="shared" si="74"/>
        <v>475577</v>
      </c>
      <c r="E457" s="3">
        <f t="shared" si="74"/>
        <v>-284604</v>
      </c>
      <c r="F457" s="3">
        <f t="shared" si="74"/>
        <v>78435</v>
      </c>
      <c r="G457" s="3">
        <f t="shared" si="74"/>
        <v>-218504</v>
      </c>
      <c r="H457" s="3">
        <f t="shared" si="74"/>
        <v>-864446</v>
      </c>
      <c r="I457" s="3">
        <f t="shared" si="74"/>
        <v>-1009853</v>
      </c>
      <c r="J457" s="3">
        <f t="shared" si="74"/>
        <v>-704326</v>
      </c>
      <c r="K457" s="3">
        <f t="shared" si="74"/>
        <v>-131538</v>
      </c>
    </row>
    <row r="458" spans="1:12" s="152" customFormat="1" ht="15" hidden="1">
      <c r="A458" s="194"/>
      <c r="B458" s="201"/>
      <c r="C458" s="163">
        <f>'Budget Detail FY 2013-18'!N671</f>
        <v>356361</v>
      </c>
      <c r="D458" s="163">
        <f>'Budget Detail FY 2013-18'!O671</f>
        <v>475577</v>
      </c>
      <c r="E458" s="163">
        <f>'Budget Detail FY 2013-18'!P671</f>
        <v>-284604</v>
      </c>
      <c r="F458" s="163">
        <f>'Budget Detail FY 2013-18'!Q671</f>
        <v>78435</v>
      </c>
      <c r="G458" s="163">
        <f>'Budget Detail FY 2013-18'!R671</f>
        <v>-218504</v>
      </c>
      <c r="H458" s="163">
        <f>'Budget Detail FY 2013-18'!S671</f>
        <v>-864446</v>
      </c>
      <c r="I458" s="163">
        <f>'Budget Detail FY 2013-18'!T671</f>
        <v>-1009853</v>
      </c>
      <c r="J458" s="163">
        <f>'Budget Detail FY 2013-18'!U671</f>
        <v>-704326</v>
      </c>
      <c r="K458" s="163">
        <f>'Budget Detail FY 2013-18'!V671</f>
        <v>-131538</v>
      </c>
      <c r="L458" s="166" t="s">
        <v>1462</v>
      </c>
    </row>
    <row r="459" spans="1:12" s="158" customFormat="1" ht="15" hidden="1">
      <c r="A459" s="196"/>
      <c r="B459" s="202"/>
      <c r="C459" s="211">
        <f>C457-C458</f>
        <v>0</v>
      </c>
      <c r="D459" s="211">
        <f t="shared" ref="D459:K459" si="75">D457-D458</f>
        <v>0</v>
      </c>
      <c r="E459" s="211">
        <f t="shared" si="75"/>
        <v>0</v>
      </c>
      <c r="F459" s="211">
        <f t="shared" si="75"/>
        <v>0</v>
      </c>
      <c r="G459" s="211">
        <f t="shared" si="75"/>
        <v>0</v>
      </c>
      <c r="H459" s="211">
        <f t="shared" si="75"/>
        <v>0</v>
      </c>
      <c r="I459" s="211">
        <f t="shared" si="75"/>
        <v>0</v>
      </c>
      <c r="J459" s="211">
        <f t="shared" si="75"/>
        <v>0</v>
      </c>
      <c r="K459" s="211">
        <f t="shared" si="75"/>
        <v>0</v>
      </c>
      <c r="L459" s="167" t="s">
        <v>1463</v>
      </c>
    </row>
    <row r="460" spans="1:12" ht="7.5" customHeight="1">
      <c r="A460" s="190"/>
      <c r="B460" s="204"/>
      <c r="C460" s="3"/>
      <c r="D460" s="2"/>
      <c r="E460" s="2"/>
      <c r="F460" s="2"/>
      <c r="G460" s="2"/>
      <c r="H460" s="2"/>
      <c r="I460" s="2"/>
      <c r="J460" s="2"/>
      <c r="K460" s="2"/>
    </row>
    <row r="461" spans="1:12" ht="20.100000000000001" customHeight="1" thickBot="1">
      <c r="A461" s="190"/>
      <c r="B461" s="191" t="s">
        <v>1079</v>
      </c>
      <c r="C461" s="99">
        <v>825261</v>
      </c>
      <c r="D461" s="99">
        <v>1300837</v>
      </c>
      <c r="E461" s="99">
        <v>642452</v>
      </c>
      <c r="F461" s="99">
        <f>D461+F457</f>
        <v>1379272</v>
      </c>
      <c r="G461" s="99">
        <f>F461+G457</f>
        <v>1160768</v>
      </c>
      <c r="H461" s="99">
        <f>G461+H457</f>
        <v>296322</v>
      </c>
      <c r="I461" s="99">
        <f>H461+I457</f>
        <v>-713531</v>
      </c>
      <c r="J461" s="99">
        <f>I461+J457</f>
        <v>-1417857</v>
      </c>
      <c r="K461" s="99">
        <f>J461+K457</f>
        <v>-1549395</v>
      </c>
    </row>
    <row r="462" spans="1:12" s="152" customFormat="1" ht="15.75" hidden="1" thickTop="1">
      <c r="A462" s="194"/>
      <c r="B462" s="195"/>
      <c r="C462" s="163">
        <f>'Budget Detail FY 2013-18'!N673</f>
        <v>825261</v>
      </c>
      <c r="D462" s="163">
        <f>'Budget Detail FY 2013-18'!O673</f>
        <v>1300837</v>
      </c>
      <c r="E462" s="163">
        <f>'Budget Detail FY 2013-18'!P673</f>
        <v>642452</v>
      </c>
      <c r="F462" s="163">
        <f>'Budget Detail FY 2013-18'!Q673</f>
        <v>1379272</v>
      </c>
      <c r="G462" s="163">
        <f>'Budget Detail FY 2013-18'!R673</f>
        <v>1160768</v>
      </c>
      <c r="H462" s="163">
        <f>'Budget Detail FY 2013-18'!S673</f>
        <v>296322</v>
      </c>
      <c r="I462" s="163">
        <f>'Budget Detail FY 2013-18'!T673</f>
        <v>-713531</v>
      </c>
      <c r="J462" s="163">
        <f>'Budget Detail FY 2013-18'!U673</f>
        <v>-1417857</v>
      </c>
      <c r="K462" s="163">
        <f>'Budget Detail FY 2013-18'!V673</f>
        <v>-1549395</v>
      </c>
      <c r="L462" s="166" t="s">
        <v>1462</v>
      </c>
    </row>
    <row r="463" spans="1:12" s="158" customFormat="1" ht="14.25" hidden="1">
      <c r="A463" s="196"/>
      <c r="B463" s="197"/>
      <c r="C463" s="164">
        <f>C461-C462</f>
        <v>0</v>
      </c>
      <c r="D463" s="164">
        <f t="shared" ref="D463:K463" si="76">D461-D462</f>
        <v>0</v>
      </c>
      <c r="E463" s="164">
        <f t="shared" si="76"/>
        <v>0</v>
      </c>
      <c r="F463" s="164">
        <f t="shared" si="76"/>
        <v>0</v>
      </c>
      <c r="G463" s="164">
        <f t="shared" si="76"/>
        <v>0</v>
      </c>
      <c r="H463" s="164">
        <f t="shared" si="76"/>
        <v>0</v>
      </c>
      <c r="I463" s="164">
        <f t="shared" si="76"/>
        <v>0</v>
      </c>
      <c r="J463" s="164">
        <f t="shared" si="76"/>
        <v>0</v>
      </c>
      <c r="K463" s="164">
        <f t="shared" si="76"/>
        <v>0</v>
      </c>
      <c r="L463" s="167" t="s">
        <v>1463</v>
      </c>
    </row>
    <row r="464" spans="1:12" ht="15.75" thickTop="1">
      <c r="A464" s="190"/>
      <c r="B464" s="205"/>
      <c r="C464" s="206">
        <f t="shared" ref="C464:J464" si="77">+C461/C453</f>
        <v>0.36320341804959394</v>
      </c>
      <c r="D464" s="206">
        <f t="shared" si="77"/>
        <v>0.54665721978415893</v>
      </c>
      <c r="E464" s="206">
        <f t="shared" si="77"/>
        <v>0.20818390768840916</v>
      </c>
      <c r="F464" s="206">
        <f t="shared" si="77"/>
        <v>0.45172032530549794</v>
      </c>
      <c r="G464" s="206">
        <f>+G461/G453</f>
        <v>0.4059204188005644</v>
      </c>
      <c r="H464" s="206">
        <f t="shared" si="77"/>
        <v>8.3800072340421916E-2</v>
      </c>
      <c r="I464" s="206">
        <f t="shared" si="77"/>
        <v>-0.1943447719850632</v>
      </c>
      <c r="J464" s="206">
        <f t="shared" si="77"/>
        <v>-0.41722721902371346</v>
      </c>
      <c r="K464" s="206">
        <f>+K461/K453</f>
        <v>-0.54255711417793084</v>
      </c>
    </row>
    <row r="465" spans="1:11" ht="7.5" customHeight="1">
      <c r="A465" s="190"/>
      <c r="B465" s="205"/>
      <c r="C465" s="2"/>
      <c r="D465" s="2"/>
      <c r="E465" s="2"/>
      <c r="F465" s="2"/>
      <c r="G465" s="2"/>
      <c r="H465" s="2"/>
      <c r="I465" s="2"/>
      <c r="J465" s="2"/>
      <c r="K465" s="2"/>
    </row>
    <row r="466" spans="1:11" ht="15">
      <c r="A466" s="190"/>
      <c r="B466" s="1"/>
      <c r="C466" s="2"/>
      <c r="D466" s="2"/>
      <c r="E466" s="2"/>
      <c r="F466" s="2"/>
      <c r="G466" s="2"/>
      <c r="H466" s="2"/>
      <c r="I466" s="2"/>
      <c r="J466" s="2"/>
      <c r="K466" s="2"/>
    </row>
    <row r="467" spans="1:11" ht="15">
      <c r="A467" s="190"/>
      <c r="B467" s="1"/>
      <c r="C467" s="2"/>
      <c r="D467" s="2"/>
      <c r="E467" s="2"/>
      <c r="F467" s="2"/>
      <c r="G467" s="2"/>
      <c r="H467" s="2"/>
      <c r="I467" s="2"/>
      <c r="J467" s="2"/>
      <c r="K467" s="2"/>
    </row>
    <row r="468" spans="1:11" ht="15">
      <c r="A468" s="190"/>
      <c r="B468" s="1"/>
      <c r="C468" s="2"/>
      <c r="D468" s="2"/>
      <c r="E468" s="2"/>
      <c r="F468" s="2"/>
      <c r="G468" s="2"/>
      <c r="H468" s="2"/>
      <c r="I468" s="2"/>
      <c r="J468" s="2"/>
      <c r="K468" s="2"/>
    </row>
    <row r="469" spans="1:11" ht="15">
      <c r="A469" s="190"/>
      <c r="B469" s="1"/>
      <c r="C469" s="2"/>
      <c r="D469" s="2"/>
      <c r="E469" s="2"/>
      <c r="F469" s="2"/>
      <c r="G469" s="2"/>
      <c r="H469" s="2"/>
      <c r="I469" s="2"/>
      <c r="J469" s="2"/>
      <c r="K469" s="2"/>
    </row>
    <row r="470" spans="1:11" ht="15">
      <c r="A470" s="190"/>
      <c r="B470" s="1"/>
      <c r="C470" s="2"/>
      <c r="D470" s="2"/>
      <c r="E470" s="2"/>
      <c r="F470" s="2"/>
      <c r="G470" s="2"/>
      <c r="H470" s="2"/>
      <c r="I470" s="2"/>
      <c r="J470" s="2"/>
      <c r="K470" s="2"/>
    </row>
    <row r="471" spans="1:11" ht="15">
      <c r="A471" s="190"/>
      <c r="B471" s="1"/>
      <c r="C471" s="2"/>
      <c r="D471" s="2"/>
      <c r="E471" s="2"/>
      <c r="F471" s="2"/>
      <c r="G471" s="2"/>
      <c r="H471" s="2"/>
      <c r="I471" s="2"/>
      <c r="J471" s="2"/>
      <c r="K471" s="2"/>
    </row>
    <row r="472" spans="1:11" ht="15">
      <c r="A472" s="190"/>
      <c r="B472" s="1"/>
      <c r="C472" s="2"/>
      <c r="D472" s="2"/>
      <c r="E472" s="2"/>
      <c r="F472" s="2"/>
      <c r="G472" s="2"/>
      <c r="H472" s="2"/>
      <c r="I472" s="2"/>
      <c r="J472" s="2"/>
      <c r="K472" s="2"/>
    </row>
    <row r="473" spans="1:11" ht="15">
      <c r="A473" s="190"/>
      <c r="B473" s="1"/>
      <c r="C473" s="2"/>
      <c r="D473" s="2"/>
      <c r="E473" s="2"/>
      <c r="F473" s="2"/>
      <c r="G473" s="2"/>
      <c r="H473" s="2"/>
      <c r="I473" s="2"/>
      <c r="J473" s="2"/>
      <c r="K473" s="2"/>
    </row>
    <row r="474" spans="1:11" ht="15">
      <c r="A474" s="190"/>
      <c r="B474" s="1"/>
      <c r="C474" s="2"/>
      <c r="D474" s="2"/>
      <c r="E474" s="2"/>
      <c r="F474" s="2"/>
      <c r="G474" s="2"/>
      <c r="H474" s="2"/>
      <c r="I474" s="2"/>
      <c r="J474" s="2"/>
      <c r="K474" s="2"/>
    </row>
    <row r="475" spans="1:11" ht="15">
      <c r="A475" s="190"/>
      <c r="B475" s="1"/>
      <c r="C475" s="2"/>
      <c r="D475" s="2"/>
      <c r="E475" s="2"/>
      <c r="F475" s="2"/>
      <c r="G475" s="2"/>
      <c r="H475" s="2"/>
      <c r="I475" s="2"/>
      <c r="J475" s="2"/>
      <c r="K475" s="2"/>
    </row>
    <row r="476" spans="1:11" ht="15">
      <c r="A476" s="190"/>
      <c r="B476" s="1"/>
      <c r="C476" s="2"/>
      <c r="D476" s="2"/>
      <c r="E476" s="2"/>
      <c r="F476" s="2"/>
      <c r="G476" s="2"/>
      <c r="H476" s="2"/>
      <c r="I476" s="2"/>
      <c r="J476" s="2"/>
      <c r="K476" s="2"/>
    </row>
    <row r="477" spans="1:11">
      <c r="A477" s="190"/>
      <c r="B477" s="190"/>
      <c r="C477" s="207"/>
      <c r="D477" s="207"/>
      <c r="E477" s="208"/>
      <c r="F477" s="208"/>
      <c r="G477" s="208"/>
      <c r="H477" s="208"/>
      <c r="I477" s="208"/>
      <c r="J477" s="208"/>
      <c r="K477" s="208"/>
    </row>
    <row r="478" spans="1:11" ht="18.75">
      <c r="A478" s="190"/>
      <c r="B478" s="523" t="s">
        <v>1080</v>
      </c>
      <c r="C478" s="523"/>
      <c r="D478" s="523"/>
      <c r="E478" s="523"/>
      <c r="F478" s="523"/>
      <c r="G478" s="523"/>
      <c r="H478" s="523"/>
      <c r="I478" s="523"/>
      <c r="J478" s="523"/>
      <c r="K478" s="523"/>
    </row>
    <row r="479" spans="1:11" ht="15">
      <c r="A479" s="190"/>
      <c r="B479" s="80"/>
      <c r="C479" s="3"/>
      <c r="D479" s="2"/>
      <c r="E479" s="2"/>
      <c r="F479" s="2"/>
      <c r="G479" s="2"/>
      <c r="H479" s="2"/>
      <c r="I479" s="2"/>
      <c r="J479" s="2"/>
      <c r="K479" s="2"/>
    </row>
    <row r="480" spans="1:11" ht="12.75" customHeight="1">
      <c r="A480" s="190"/>
      <c r="B480" s="529" t="s">
        <v>1081</v>
      </c>
      <c r="C480" s="529"/>
      <c r="D480" s="529"/>
      <c r="E480" s="529"/>
      <c r="F480" s="529"/>
      <c r="G480" s="529"/>
      <c r="H480" s="529"/>
      <c r="I480" s="529"/>
      <c r="J480" s="529"/>
      <c r="K480" s="529"/>
    </row>
    <row r="481" spans="1:12" ht="18" customHeight="1">
      <c r="A481" s="190"/>
      <c r="B481" s="529"/>
      <c r="C481" s="529"/>
      <c r="D481" s="529"/>
      <c r="E481" s="529"/>
      <c r="F481" s="529"/>
      <c r="G481" s="529"/>
      <c r="H481" s="529"/>
      <c r="I481" s="529"/>
      <c r="J481" s="529"/>
      <c r="K481" s="529"/>
    </row>
    <row r="482" spans="1:12" ht="7.5" customHeight="1">
      <c r="A482" s="190"/>
      <c r="B482" s="187"/>
      <c r="C482" s="31"/>
      <c r="D482" s="31"/>
      <c r="E482" s="31"/>
      <c r="F482" s="2"/>
      <c r="G482" s="2"/>
      <c r="H482" s="2"/>
      <c r="I482" s="2"/>
      <c r="J482" s="2"/>
      <c r="K482" s="2"/>
    </row>
    <row r="483" spans="1:12" ht="15">
      <c r="A483" s="190"/>
      <c r="B483" s="5"/>
      <c r="C483" s="80"/>
      <c r="D483" s="81"/>
      <c r="E483" s="80" t="s">
        <v>312</v>
      </c>
      <c r="F483" s="1"/>
      <c r="G483" s="1"/>
      <c r="H483" s="1"/>
      <c r="I483" s="1"/>
      <c r="J483" s="1"/>
      <c r="K483" s="1"/>
    </row>
    <row r="484" spans="1:12" ht="15">
      <c r="A484" s="190"/>
      <c r="B484" s="81"/>
      <c r="C484" s="80" t="s">
        <v>23</v>
      </c>
      <c r="D484" s="104" t="s">
        <v>253</v>
      </c>
      <c r="E484" s="81" t="s">
        <v>1045</v>
      </c>
      <c r="F484" s="81" t="s">
        <v>312</v>
      </c>
      <c r="G484" s="81" t="s">
        <v>313</v>
      </c>
      <c r="H484" s="81" t="s">
        <v>329</v>
      </c>
      <c r="I484" s="81" t="s">
        <v>332</v>
      </c>
      <c r="J484" s="81" t="s">
        <v>333</v>
      </c>
      <c r="K484" s="81" t="s">
        <v>1224</v>
      </c>
    </row>
    <row r="485" spans="1:12" ht="15.75" thickBot="1">
      <c r="A485" s="190"/>
      <c r="B485" s="209"/>
      <c r="C485" s="83" t="s">
        <v>1</v>
      </c>
      <c r="D485" s="83" t="s">
        <v>1</v>
      </c>
      <c r="E485" s="83" t="s">
        <v>987</v>
      </c>
      <c r="F485" s="83" t="s">
        <v>24</v>
      </c>
      <c r="G485" s="83" t="s">
        <v>1045</v>
      </c>
      <c r="H485" s="83" t="s">
        <v>24</v>
      </c>
      <c r="I485" s="83" t="s">
        <v>24</v>
      </c>
      <c r="J485" s="83" t="s">
        <v>24</v>
      </c>
      <c r="K485" s="83" t="s">
        <v>24</v>
      </c>
    </row>
    <row r="486" spans="1:12" ht="7.5" customHeight="1">
      <c r="A486" s="190"/>
      <c r="B486" s="79"/>
      <c r="C486" s="210"/>
      <c r="D486" s="2"/>
      <c r="E486" s="2"/>
      <c r="F486" s="2"/>
      <c r="G486" s="2"/>
      <c r="H486" s="2"/>
      <c r="I486" s="2"/>
      <c r="J486" s="2"/>
      <c r="K486" s="2"/>
    </row>
    <row r="487" spans="1:12" ht="15">
      <c r="A487" s="190"/>
      <c r="B487" s="198" t="s">
        <v>1046</v>
      </c>
      <c r="C487" s="2"/>
      <c r="D487" s="2"/>
      <c r="E487" s="2"/>
      <c r="F487" s="2"/>
      <c r="G487" s="2"/>
      <c r="H487" s="2"/>
      <c r="I487" s="2"/>
      <c r="J487" s="2"/>
      <c r="K487" s="2"/>
    </row>
    <row r="488" spans="1:12" ht="20.100000000000001" customHeight="1">
      <c r="A488" s="190"/>
      <c r="B488" s="5" t="s">
        <v>1047</v>
      </c>
      <c r="C488" s="2">
        <f>SUM('Budget Detail FY 2013-18'!N678:N680)</f>
        <v>0</v>
      </c>
      <c r="D488" s="2">
        <f>SUM('Budget Detail FY 2013-18'!O678:O680)</f>
        <v>1750206</v>
      </c>
      <c r="E488" s="2">
        <f>SUM('Budget Detail FY 2013-18'!P678:P680)</f>
        <v>263850</v>
      </c>
      <c r="F488" s="2">
        <f>SUM('Budget Detail FY 2013-18'!Q678:Q680)</f>
        <v>262543</v>
      </c>
      <c r="G488" s="2">
        <f>SUM('Budget Detail FY 2013-18'!R678:R680)</f>
        <v>114940</v>
      </c>
      <c r="H488" s="2">
        <f>SUM('Budget Detail FY 2013-18'!S678:S680)</f>
        <v>0</v>
      </c>
      <c r="I488" s="2">
        <f>SUM('Budget Detail FY 2013-18'!T678:T680)</f>
        <v>0</v>
      </c>
      <c r="J488" s="2">
        <f>SUM('Budget Detail FY 2013-18'!U678:U680)</f>
        <v>0</v>
      </c>
      <c r="K488" s="2">
        <f>SUM('Budget Detail FY 2013-18'!V678:V680)</f>
        <v>0</v>
      </c>
    </row>
    <row r="489" spans="1:12" ht="20.100000000000001" customHeight="1">
      <c r="A489" s="190"/>
      <c r="B489" s="192" t="s">
        <v>1049</v>
      </c>
      <c r="C489" s="2">
        <f>'Budget Detail FY 2013-18'!N681</f>
        <v>0</v>
      </c>
      <c r="D489" s="2">
        <f>'Budget Detail FY 2013-18'!O681</f>
        <v>4000</v>
      </c>
      <c r="E489" s="2">
        <f>'Budget Detail FY 2013-18'!P681</f>
        <v>0</v>
      </c>
      <c r="F489" s="2">
        <f>'Budget Detail FY 2013-18'!Q681</f>
        <v>18000</v>
      </c>
      <c r="G489" s="2">
        <f>'Budget Detail FY 2013-18'!R681</f>
        <v>0</v>
      </c>
      <c r="H489" s="2">
        <f>'Budget Detail FY 2013-18'!S681</f>
        <v>0</v>
      </c>
      <c r="I489" s="2">
        <f>'Budget Detail FY 2013-18'!T681</f>
        <v>0</v>
      </c>
      <c r="J489" s="2">
        <f>'Budget Detail FY 2013-18'!U681</f>
        <v>0</v>
      </c>
      <c r="K489" s="2">
        <f>'Budget Detail FY 2013-18'!V681</f>
        <v>0</v>
      </c>
    </row>
    <row r="490" spans="1:12" ht="20.100000000000001" customHeight="1">
      <c r="A490" s="190"/>
      <c r="B490" s="5" t="s">
        <v>1051</v>
      </c>
      <c r="C490" s="2">
        <f>SUM('Budget Detail FY 2013-18'!N682:N689)</f>
        <v>1471981</v>
      </c>
      <c r="D490" s="2">
        <f>SUM('Budget Detail FY 2013-18'!O682:O689)</f>
        <v>1362022</v>
      </c>
      <c r="E490" s="2">
        <f>SUM('Budget Detail FY 2013-18'!P682:P689)</f>
        <v>1368380</v>
      </c>
      <c r="F490" s="2">
        <f>SUM('Budget Detail FY 2013-18'!Q682:Q689)</f>
        <v>1347769</v>
      </c>
      <c r="G490" s="2">
        <f>SUM('Budget Detail FY 2013-18'!R682:R689)</f>
        <v>1097560</v>
      </c>
      <c r="H490" s="2">
        <f>SUM('Budget Detail FY 2013-18'!S682:S689)</f>
        <v>1097560</v>
      </c>
      <c r="I490" s="2">
        <f>SUM('Budget Detail FY 2013-18'!T682:T689)</f>
        <v>1097560</v>
      </c>
      <c r="J490" s="2">
        <f>SUM('Budget Detail FY 2013-18'!U682:U689)</f>
        <v>1097560</v>
      </c>
      <c r="K490" s="2">
        <f>SUM('Budget Detail FY 2013-18'!V682:V689)</f>
        <v>1097560</v>
      </c>
    </row>
    <row r="491" spans="1:12" ht="20.100000000000001" customHeight="1">
      <c r="A491" s="190"/>
      <c r="B491" s="5" t="s">
        <v>1052</v>
      </c>
      <c r="C491" s="2">
        <f>'Budget Detail FY 2013-18'!N690</f>
        <v>1517</v>
      </c>
      <c r="D491" s="2">
        <f>'Budget Detail FY 2013-18'!O690</f>
        <v>2405</v>
      </c>
      <c r="E491" s="2">
        <f>'Budget Detail FY 2013-18'!P690</f>
        <v>3000</v>
      </c>
      <c r="F491" s="2">
        <f>'Budget Detail FY 2013-18'!Q690</f>
        <v>6200</v>
      </c>
      <c r="G491" s="2">
        <f>'Budget Detail FY 2013-18'!R690</f>
        <v>5500</v>
      </c>
      <c r="H491" s="2">
        <f>'Budget Detail FY 2013-18'!S690</f>
        <v>5500</v>
      </c>
      <c r="I491" s="2">
        <f>'Budget Detail FY 2013-18'!T690</f>
        <v>5000</v>
      </c>
      <c r="J491" s="2">
        <f>'Budget Detail FY 2013-18'!U690</f>
        <v>4500</v>
      </c>
      <c r="K491" s="2">
        <f>'Budget Detail FY 2013-18'!V690</f>
        <v>4500</v>
      </c>
    </row>
    <row r="492" spans="1:12" ht="20.100000000000001" customHeight="1">
      <c r="A492" s="190"/>
      <c r="B492" s="5" t="s">
        <v>1053</v>
      </c>
      <c r="C492" s="2">
        <f>SUM('Budget Detail FY 2013-18'!N691:N692)</f>
        <v>4576</v>
      </c>
      <c r="D492" s="2">
        <f>SUM('Budget Detail FY 2013-18'!O691:O692)</f>
        <v>1741</v>
      </c>
      <c r="E492" s="2">
        <f>SUM('Budget Detail FY 2013-18'!P691:P692)</f>
        <v>4587</v>
      </c>
      <c r="F492" s="2">
        <f>SUM('Budget Detail FY 2013-18'!Q691:Q692)</f>
        <v>8740</v>
      </c>
      <c r="G492" s="2">
        <f>SUM('Budget Detail FY 2013-18'!R691:R692)</f>
        <v>0</v>
      </c>
      <c r="H492" s="2">
        <f>SUM('Budget Detail FY 2013-18'!S691:S692)</f>
        <v>0</v>
      </c>
      <c r="I492" s="2">
        <f>SUM('Budget Detail FY 2013-18'!T691:T692)</f>
        <v>0</v>
      </c>
      <c r="J492" s="2">
        <f>SUM('Budget Detail FY 2013-18'!U691:U692)</f>
        <v>0</v>
      </c>
      <c r="K492" s="2">
        <f>SUM('Budget Detail FY 2013-18'!V691:V692)</f>
        <v>0</v>
      </c>
    </row>
    <row r="493" spans="1:12" ht="20.100000000000001" customHeight="1">
      <c r="A493" s="190"/>
      <c r="B493" s="5" t="s">
        <v>1055</v>
      </c>
      <c r="C493" s="2">
        <f>'Budget Detail FY 2013-18'!N693</f>
        <v>0</v>
      </c>
      <c r="D493" s="2">
        <f>'Budget Detail FY 2013-18'!O693</f>
        <v>0</v>
      </c>
      <c r="E493" s="2">
        <f>'Budget Detail FY 2013-18'!P693</f>
        <v>0</v>
      </c>
      <c r="F493" s="2">
        <f>'Budget Detail FY 2013-18'!Q693</f>
        <v>0</v>
      </c>
      <c r="G493" s="2">
        <f>'Budget Detail FY 2013-18'!R693</f>
        <v>1137220</v>
      </c>
      <c r="H493" s="2">
        <f>'Budget Detail FY 2013-18'!S693</f>
        <v>1133972</v>
      </c>
      <c r="I493" s="2">
        <f>'Budget Detail FY 2013-18'!T693</f>
        <v>1134654</v>
      </c>
      <c r="J493" s="2">
        <f>'Budget Detail FY 2013-18'!U693</f>
        <v>1134052</v>
      </c>
      <c r="K493" s="2">
        <f>'Budget Detail FY 2013-18'!V693</f>
        <v>1137166</v>
      </c>
    </row>
    <row r="494" spans="1:12" ht="20.100000000000001" customHeight="1" thickBot="1">
      <c r="A494" s="190"/>
      <c r="B494" s="193" t="s">
        <v>1056</v>
      </c>
      <c r="C494" s="188">
        <f t="shared" ref="C494:J494" si="78">SUM(C488:C493)</f>
        <v>1478074</v>
      </c>
      <c r="D494" s="188">
        <f>SUM(D488:D493)</f>
        <v>3120374</v>
      </c>
      <c r="E494" s="188">
        <f t="shared" si="78"/>
        <v>1639817</v>
      </c>
      <c r="F494" s="188">
        <f t="shared" si="78"/>
        <v>1643252</v>
      </c>
      <c r="G494" s="188">
        <f t="shared" si="78"/>
        <v>2355220</v>
      </c>
      <c r="H494" s="188">
        <f t="shared" si="78"/>
        <v>2237032</v>
      </c>
      <c r="I494" s="188">
        <f t="shared" si="78"/>
        <v>2237214</v>
      </c>
      <c r="J494" s="188">
        <f t="shared" si="78"/>
        <v>2236112</v>
      </c>
      <c r="K494" s="188">
        <f>SUM(K488:K493)</f>
        <v>2239226</v>
      </c>
    </row>
    <row r="495" spans="1:12" s="152" customFormat="1" ht="15" hidden="1">
      <c r="A495" s="194"/>
      <c r="B495" s="195"/>
      <c r="C495" s="163">
        <f>'Budget Detail FY 2013-18'!N695</f>
        <v>1478074</v>
      </c>
      <c r="D495" s="163">
        <f>'Budget Detail FY 2013-18'!O695</f>
        <v>3120374</v>
      </c>
      <c r="E495" s="163">
        <f>'Budget Detail FY 2013-18'!P695</f>
        <v>1639817</v>
      </c>
      <c r="F495" s="163">
        <f>'Budget Detail FY 2013-18'!Q695</f>
        <v>1643252</v>
      </c>
      <c r="G495" s="163">
        <f>'Budget Detail FY 2013-18'!R695</f>
        <v>2355220</v>
      </c>
      <c r="H495" s="163">
        <f>'Budget Detail FY 2013-18'!S695</f>
        <v>2237032</v>
      </c>
      <c r="I495" s="163">
        <f>'Budget Detail FY 2013-18'!T695</f>
        <v>2237214</v>
      </c>
      <c r="J495" s="163">
        <f>'Budget Detail FY 2013-18'!U695</f>
        <v>2236112</v>
      </c>
      <c r="K495" s="163">
        <f>'Budget Detail FY 2013-18'!V695</f>
        <v>2239226</v>
      </c>
      <c r="L495" s="166" t="s">
        <v>1462</v>
      </c>
    </row>
    <row r="496" spans="1:12" s="158" customFormat="1" ht="14.25" hidden="1">
      <c r="A496" s="196"/>
      <c r="B496" s="197"/>
      <c r="C496" s="164">
        <f>C494-C495</f>
        <v>0</v>
      </c>
      <c r="D496" s="164">
        <f t="shared" ref="D496:K496" si="79">D494-D495</f>
        <v>0</v>
      </c>
      <c r="E496" s="164">
        <f t="shared" si="79"/>
        <v>0</v>
      </c>
      <c r="F496" s="164">
        <f t="shared" si="79"/>
        <v>0</v>
      </c>
      <c r="G496" s="164">
        <f t="shared" si="79"/>
        <v>0</v>
      </c>
      <c r="H496" s="164">
        <f t="shared" si="79"/>
        <v>0</v>
      </c>
      <c r="I496" s="164">
        <f t="shared" si="79"/>
        <v>0</v>
      </c>
      <c r="J496" s="164">
        <f t="shared" si="79"/>
        <v>0</v>
      </c>
      <c r="K496" s="164">
        <f t="shared" si="79"/>
        <v>0</v>
      </c>
      <c r="L496" s="167" t="s">
        <v>1463</v>
      </c>
    </row>
    <row r="497" spans="1:12" ht="7.5" customHeight="1">
      <c r="A497" s="190"/>
      <c r="B497" s="1"/>
      <c r="C497" s="2"/>
      <c r="D497" s="2"/>
      <c r="E497" s="2"/>
      <c r="F497" s="2"/>
      <c r="G497" s="2"/>
      <c r="H497" s="2"/>
      <c r="I497" s="2"/>
      <c r="J497" s="2"/>
      <c r="K497" s="2"/>
    </row>
    <row r="498" spans="1:12" ht="15">
      <c r="A498" s="190"/>
      <c r="B498" s="198" t="s">
        <v>763</v>
      </c>
      <c r="C498" s="2"/>
      <c r="D498" s="2"/>
      <c r="E498" s="2"/>
      <c r="F498" s="2"/>
      <c r="G498" s="2"/>
      <c r="H498" s="2"/>
      <c r="I498" s="2"/>
      <c r="J498" s="2"/>
      <c r="K498" s="2"/>
    </row>
    <row r="499" spans="1:12" ht="20.100000000000001" customHeight="1">
      <c r="A499" s="190"/>
      <c r="B499" s="199" t="s">
        <v>1057</v>
      </c>
      <c r="C499" s="2">
        <f>SUM('Budget Detail FY 2013-18'!N698:N699)</f>
        <v>241621</v>
      </c>
      <c r="D499" s="2">
        <f>SUM('Budget Detail FY 2013-18'!O698:O699)</f>
        <v>198218</v>
      </c>
      <c r="E499" s="2">
        <f>SUM('Budget Detail FY 2013-18'!P698:P699)</f>
        <v>212000</v>
      </c>
      <c r="F499" s="2">
        <f>SUM('Budget Detail FY 2013-18'!Q698:Q699)</f>
        <v>212000</v>
      </c>
      <c r="G499" s="2">
        <f>SUM('Budget Detail FY 2013-18'!R698:R699)</f>
        <v>189544</v>
      </c>
      <c r="H499" s="2">
        <f>SUM('Budget Detail FY 2013-18'!S698:S699)</f>
        <v>189544</v>
      </c>
      <c r="I499" s="2">
        <f>SUM('Budget Detail FY 2013-18'!T698:T699)</f>
        <v>189544</v>
      </c>
      <c r="J499" s="2">
        <f>SUM('Budget Detail FY 2013-18'!U698:U699)</f>
        <v>189544</v>
      </c>
      <c r="K499" s="2">
        <f>SUM('Budget Detail FY 2013-18'!V698:V699)</f>
        <v>189544</v>
      </c>
    </row>
    <row r="500" spans="1:12" ht="20.100000000000001" customHeight="1">
      <c r="A500" s="190"/>
      <c r="B500" s="199" t="s">
        <v>1058</v>
      </c>
      <c r="C500" s="2">
        <f>SUM('Budget Detail FY 2013-18'!N700:N707)</f>
        <v>40046</v>
      </c>
      <c r="D500" s="2">
        <f>SUM('Budget Detail FY 2013-18'!O700:O707)</f>
        <v>33563</v>
      </c>
      <c r="E500" s="2">
        <f>SUM('Budget Detail FY 2013-18'!P700:P707)</f>
        <v>132802</v>
      </c>
      <c r="F500" s="2">
        <f>SUM('Budget Detail FY 2013-18'!Q700:Q707)</f>
        <v>126491</v>
      </c>
      <c r="G500" s="2">
        <f>SUM('Budget Detail FY 2013-18'!R700:R707)</f>
        <v>98540</v>
      </c>
      <c r="H500" s="2">
        <f>SUM('Budget Detail FY 2013-18'!S700:S707)</f>
        <v>103948</v>
      </c>
      <c r="I500" s="2">
        <f>SUM('Budget Detail FY 2013-18'!T700:T707)</f>
        <v>109857</v>
      </c>
      <c r="J500" s="2">
        <f>SUM('Budget Detail FY 2013-18'!U700:U707)</f>
        <v>114168</v>
      </c>
      <c r="K500" s="2">
        <f>SUM('Budget Detail FY 2013-18'!V700:V707)</f>
        <v>118735</v>
      </c>
    </row>
    <row r="501" spans="1:12" ht="20.100000000000001" customHeight="1">
      <c r="A501" s="190"/>
      <c r="B501" s="199" t="s">
        <v>1059</v>
      </c>
      <c r="C501" s="2">
        <f>SUM('Budget Detail FY 2013-18'!N708:N720)</f>
        <v>135927</v>
      </c>
      <c r="D501" s="2">
        <f>SUM('Budget Detail FY 2013-18'!O708:O720)</f>
        <v>140460</v>
      </c>
      <c r="E501" s="2">
        <f>SUM('Budget Detail FY 2013-18'!P708:P720)</f>
        <v>73400</v>
      </c>
      <c r="F501" s="2">
        <f>SUM('Budget Detail FY 2013-18'!Q708:Q720)</f>
        <v>102400</v>
      </c>
      <c r="G501" s="2">
        <f>SUM('Budget Detail FY 2013-18'!R708:R720)</f>
        <v>80950</v>
      </c>
      <c r="H501" s="2">
        <f>SUM('Budget Detail FY 2013-18'!S708:S720)</f>
        <v>83943</v>
      </c>
      <c r="I501" s="2">
        <f>SUM('Budget Detail FY 2013-18'!T708:T720)</f>
        <v>86784</v>
      </c>
      <c r="J501" s="2">
        <f>SUM('Budget Detail FY 2013-18'!U708:U720)</f>
        <v>90084</v>
      </c>
      <c r="K501" s="2">
        <f>SUM('Budget Detail FY 2013-18'!V708:V720)</f>
        <v>93548</v>
      </c>
    </row>
    <row r="502" spans="1:12" ht="20.100000000000001" customHeight="1">
      <c r="A502" s="190"/>
      <c r="B502" s="199" t="s">
        <v>1060</v>
      </c>
      <c r="C502" s="2">
        <f>SUM('Budget Detail FY 2013-18'!N721:N729)</f>
        <v>51419</v>
      </c>
      <c r="D502" s="2">
        <f>SUM('Budget Detail FY 2013-18'!O721:O729)</f>
        <v>45381</v>
      </c>
      <c r="E502" s="2">
        <f>SUM('Budget Detail FY 2013-18'!P721:P729)</f>
        <v>65711</v>
      </c>
      <c r="F502" s="2">
        <f>SUM('Budget Detail FY 2013-18'!Q721:Q729)</f>
        <v>69673</v>
      </c>
      <c r="G502" s="2">
        <f>SUM('Budget Detail FY 2013-18'!R721:R729)</f>
        <v>83206</v>
      </c>
      <c r="H502" s="2">
        <f>SUM('Budget Detail FY 2013-18'!S721:S729)</f>
        <v>87792</v>
      </c>
      <c r="I502" s="2">
        <f>SUM('Budget Detail FY 2013-18'!T721:T729)</f>
        <v>92687</v>
      </c>
      <c r="J502" s="2">
        <f>SUM('Budget Detail FY 2013-18'!U721:U729)</f>
        <v>97915</v>
      </c>
      <c r="K502" s="2">
        <f>SUM('Budget Detail FY 2013-18'!V721:V729)</f>
        <v>101203</v>
      </c>
    </row>
    <row r="503" spans="1:12" ht="20.100000000000001" customHeight="1">
      <c r="A503" s="190"/>
      <c r="B503" s="199" t="s">
        <v>1061</v>
      </c>
      <c r="C503" s="2">
        <f>SUM('Budget Detail FY 2013-18'!N730:N732)</f>
        <v>0</v>
      </c>
      <c r="D503" s="2">
        <f>SUM('Budget Detail FY 2013-18'!O730:O732)</f>
        <v>25054</v>
      </c>
      <c r="E503" s="2">
        <f>SUM('Budget Detail FY 2013-18'!P730:P732)</f>
        <v>60000</v>
      </c>
      <c r="F503" s="2">
        <f>SUM('Budget Detail FY 2013-18'!Q730:Q732)</f>
        <v>38951</v>
      </c>
      <c r="G503" s="2">
        <f>SUM('Budget Detail FY 2013-18'!R730:R732)</f>
        <v>66773</v>
      </c>
      <c r="H503" s="2">
        <f>SUM('Budget Detail FY 2013-18'!S730:S732)</f>
        <v>440413</v>
      </c>
      <c r="I503" s="2">
        <f>SUM('Budget Detail FY 2013-18'!T730:T732)</f>
        <v>253353</v>
      </c>
      <c r="J503" s="2">
        <f>SUM('Budget Detail FY 2013-18'!U730:U732)</f>
        <v>409723</v>
      </c>
      <c r="K503" s="2">
        <f>SUM('Budget Detail FY 2013-18'!V730:V732)</f>
        <v>66773</v>
      </c>
    </row>
    <row r="504" spans="1:12" ht="20.100000000000001" customHeight="1">
      <c r="A504" s="190"/>
      <c r="B504" s="205" t="s">
        <v>1077</v>
      </c>
      <c r="C504" s="2">
        <f>SUM('Budget Detail FY 2013-18'!N733:N734)</f>
        <v>30996</v>
      </c>
      <c r="D504" s="2">
        <f>SUM('Budget Detail FY 2013-18'!O733:O734)</f>
        <v>30996</v>
      </c>
      <c r="E504" s="2">
        <f>SUM('Budget Detail FY 2013-18'!P733:P734)</f>
        <v>180996</v>
      </c>
      <c r="F504" s="2">
        <f>SUM('Budget Detail FY 2013-18'!Q733:Q734)</f>
        <v>30996</v>
      </c>
      <c r="G504" s="2">
        <f>SUM('Budget Detail FY 2013-18'!R733:R734)</f>
        <v>0</v>
      </c>
      <c r="H504" s="2">
        <f>SUM('Budget Detail FY 2013-18'!S733:S734)</f>
        <v>0</v>
      </c>
      <c r="I504" s="2">
        <f>SUM('Budget Detail FY 2013-18'!T733:T734)</f>
        <v>0</v>
      </c>
      <c r="J504" s="2">
        <f>SUM('Budget Detail FY 2013-18'!U733:U734)</f>
        <v>0</v>
      </c>
      <c r="K504" s="2">
        <f>SUM('Budget Detail FY 2013-18'!V733:V734)</f>
        <v>0</v>
      </c>
    </row>
    <row r="505" spans="1:12" ht="20.100000000000001" customHeight="1">
      <c r="A505" s="190"/>
      <c r="B505" s="205" t="s">
        <v>967</v>
      </c>
      <c r="C505" s="2">
        <f>SUM('Budget Detail FY 2013-18'!N735:N758)</f>
        <v>1252597</v>
      </c>
      <c r="D505" s="2">
        <f>SUM('Budget Detail FY 2013-18'!O735:O758)</f>
        <v>1416416</v>
      </c>
      <c r="E505" s="2">
        <f>SUM('Budget Detail FY 2013-18'!P735:P758)</f>
        <v>1088013</v>
      </c>
      <c r="F505" s="2">
        <f>SUM('Budget Detail FY 2013-18'!Q735:Q758)</f>
        <v>1088013</v>
      </c>
      <c r="G505" s="2">
        <f>SUM('Budget Detail FY 2013-18'!R735:R758)</f>
        <v>1968119</v>
      </c>
      <c r="H505" s="2">
        <f>SUM('Budget Detail FY 2013-18'!S735:S758)</f>
        <v>2054461</v>
      </c>
      <c r="I505" s="2">
        <f>SUM('Budget Detail FY 2013-18'!T735:T758)</f>
        <v>1865399</v>
      </c>
      <c r="J505" s="2">
        <f>SUM('Budget Detail FY 2013-18'!U735:U758)</f>
        <v>1865857</v>
      </c>
      <c r="K505" s="2">
        <f>SUM('Budget Detail FY 2013-18'!V735:V758)</f>
        <v>1877110</v>
      </c>
    </row>
    <row r="506" spans="1:12" ht="20.100000000000001" customHeight="1">
      <c r="A506" s="190"/>
      <c r="B506" s="205" t="s">
        <v>1063</v>
      </c>
      <c r="C506" s="2">
        <f>SUM('Budget Detail FY 2013-18'!N759:N760)</f>
        <v>82850</v>
      </c>
      <c r="D506" s="2">
        <f>SUM('Budget Detail FY 2013-18'!O759:O760)</f>
        <v>604582</v>
      </c>
      <c r="E506" s="2">
        <f>SUM('Budget Detail FY 2013-18'!P759:P760)</f>
        <v>82288</v>
      </c>
      <c r="F506" s="2">
        <f>SUM('Budget Detail FY 2013-18'!Q759:Q760)</f>
        <v>82288</v>
      </c>
      <c r="G506" s="2">
        <f>SUM('Budget Detail FY 2013-18'!R759:R760)</f>
        <v>82988</v>
      </c>
      <c r="H506" s="2">
        <f>SUM('Budget Detail FY 2013-18'!S759:S760)</f>
        <v>83588</v>
      </c>
      <c r="I506" s="2">
        <f>SUM('Budget Detail FY 2013-18'!T759:T760)</f>
        <v>84088</v>
      </c>
      <c r="J506" s="2">
        <f>SUM('Budget Detail FY 2013-18'!U759:U760)</f>
        <v>84488</v>
      </c>
      <c r="K506" s="2">
        <f>SUM('Budget Detail FY 2013-18'!V759:V760)</f>
        <v>82288</v>
      </c>
    </row>
    <row r="507" spans="1:12" ht="20.100000000000001" customHeight="1" thickBot="1">
      <c r="A507" s="190"/>
      <c r="B507" s="193" t="s">
        <v>1078</v>
      </c>
      <c r="C507" s="188">
        <f t="shared" ref="C507:J507" si="80">SUM(C499:C506)</f>
        <v>1835456</v>
      </c>
      <c r="D507" s="188">
        <f>SUM(D499:D506)</f>
        <v>2494670</v>
      </c>
      <c r="E507" s="188">
        <f t="shared" si="80"/>
        <v>1895210</v>
      </c>
      <c r="F507" s="188">
        <f>SUM(F499:F506)</f>
        <v>1750812</v>
      </c>
      <c r="G507" s="188">
        <f t="shared" si="80"/>
        <v>2570120</v>
      </c>
      <c r="H507" s="188">
        <f t="shared" si="80"/>
        <v>3043689</v>
      </c>
      <c r="I507" s="188">
        <f t="shared" si="80"/>
        <v>2681712</v>
      </c>
      <c r="J507" s="188">
        <f t="shared" si="80"/>
        <v>2851779</v>
      </c>
      <c r="K507" s="188">
        <f>SUM(K499:K506)</f>
        <v>2529201</v>
      </c>
    </row>
    <row r="508" spans="1:12" s="152" customFormat="1" ht="15" hidden="1">
      <c r="A508" s="194"/>
      <c r="B508" s="195"/>
      <c r="C508" s="163">
        <f>'Budget Detail FY 2013-18'!N762</f>
        <v>1835456</v>
      </c>
      <c r="D508" s="163">
        <f>'Budget Detail FY 2013-18'!O762</f>
        <v>2494670</v>
      </c>
      <c r="E508" s="163">
        <f>'Budget Detail FY 2013-18'!P762</f>
        <v>1895210</v>
      </c>
      <c r="F508" s="163">
        <f>'Budget Detail FY 2013-18'!Q762</f>
        <v>1750812</v>
      </c>
      <c r="G508" s="163">
        <f>'Budget Detail FY 2013-18'!R762</f>
        <v>2570120</v>
      </c>
      <c r="H508" s="163">
        <f>'Budget Detail FY 2013-18'!S762</f>
        <v>3043689</v>
      </c>
      <c r="I508" s="163">
        <f>'Budget Detail FY 2013-18'!T762</f>
        <v>2681712</v>
      </c>
      <c r="J508" s="163">
        <f>'Budget Detail FY 2013-18'!U762</f>
        <v>2851779</v>
      </c>
      <c r="K508" s="163">
        <f>'Budget Detail FY 2013-18'!V762</f>
        <v>2529201</v>
      </c>
      <c r="L508" s="166" t="s">
        <v>1462</v>
      </c>
    </row>
    <row r="509" spans="1:12" s="158" customFormat="1" ht="15" hidden="1">
      <c r="A509" s="196"/>
      <c r="B509" s="197"/>
      <c r="C509" s="203">
        <f>C507-C508</f>
        <v>0</v>
      </c>
      <c r="D509" s="203">
        <f t="shared" ref="D509:K509" si="81">D507-D508</f>
        <v>0</v>
      </c>
      <c r="E509" s="203">
        <f t="shared" si="81"/>
        <v>0</v>
      </c>
      <c r="F509" s="203">
        <f t="shared" si="81"/>
        <v>0</v>
      </c>
      <c r="G509" s="203">
        <f t="shared" si="81"/>
        <v>0</v>
      </c>
      <c r="H509" s="203">
        <f t="shared" si="81"/>
        <v>0</v>
      </c>
      <c r="I509" s="203">
        <f t="shared" si="81"/>
        <v>0</v>
      </c>
      <c r="J509" s="203">
        <f t="shared" si="81"/>
        <v>0</v>
      </c>
      <c r="K509" s="203">
        <f t="shared" si="81"/>
        <v>0</v>
      </c>
      <c r="L509" s="167" t="s">
        <v>1463</v>
      </c>
    </row>
    <row r="510" spans="1:12" ht="7.5" customHeight="1">
      <c r="A510" s="190"/>
      <c r="B510" s="200"/>
      <c r="C510" s="3"/>
      <c r="D510" s="2"/>
      <c r="E510" s="2"/>
      <c r="F510" s="2"/>
      <c r="G510" s="2"/>
      <c r="H510" s="2"/>
      <c r="I510" s="2"/>
      <c r="J510" s="2"/>
      <c r="K510" s="2"/>
    </row>
    <row r="511" spans="1:12" ht="20.100000000000001" customHeight="1">
      <c r="A511" s="190"/>
      <c r="B511" s="189" t="s">
        <v>1065</v>
      </c>
      <c r="C511" s="3">
        <f t="shared" ref="C511:K511" si="82">+C494-C507</f>
        <v>-357382</v>
      </c>
      <c r="D511" s="3">
        <f t="shared" si="82"/>
        <v>625704</v>
      </c>
      <c r="E511" s="3">
        <f t="shared" si="82"/>
        <v>-255393</v>
      </c>
      <c r="F511" s="3">
        <f t="shared" si="82"/>
        <v>-107560</v>
      </c>
      <c r="G511" s="3">
        <f t="shared" si="82"/>
        <v>-214900</v>
      </c>
      <c r="H511" s="3">
        <f t="shared" si="82"/>
        <v>-806657</v>
      </c>
      <c r="I511" s="3">
        <f t="shared" si="82"/>
        <v>-444498</v>
      </c>
      <c r="J511" s="3">
        <f t="shared" si="82"/>
        <v>-615667</v>
      </c>
      <c r="K511" s="3">
        <f t="shared" si="82"/>
        <v>-289975</v>
      </c>
    </row>
    <row r="512" spans="1:12" s="152" customFormat="1" ht="15" hidden="1">
      <c r="A512" s="194"/>
      <c r="B512" s="201"/>
      <c r="C512" s="163">
        <f>'Budget Detail FY 2013-18'!N764</f>
        <v>-357382</v>
      </c>
      <c r="D512" s="163">
        <f>'Budget Detail FY 2013-18'!O764</f>
        <v>625704</v>
      </c>
      <c r="E512" s="163">
        <f>'Budget Detail FY 2013-18'!P764</f>
        <v>-255393</v>
      </c>
      <c r="F512" s="163">
        <f>'Budget Detail FY 2013-18'!Q764</f>
        <v>-107560</v>
      </c>
      <c r="G512" s="163">
        <f>'Budget Detail FY 2013-18'!R764</f>
        <v>-214900</v>
      </c>
      <c r="H512" s="163">
        <f>'Budget Detail FY 2013-18'!S764</f>
        <v>-806657</v>
      </c>
      <c r="I512" s="163">
        <f>'Budget Detail FY 2013-18'!T764</f>
        <v>-444498</v>
      </c>
      <c r="J512" s="163">
        <f>'Budget Detail FY 2013-18'!U764</f>
        <v>-615667</v>
      </c>
      <c r="K512" s="163">
        <f>'Budget Detail FY 2013-18'!V764</f>
        <v>-289975</v>
      </c>
      <c r="L512" s="166" t="s">
        <v>1462</v>
      </c>
    </row>
    <row r="513" spans="1:12" s="158" customFormat="1" ht="15" hidden="1">
      <c r="A513" s="196"/>
      <c r="B513" s="202"/>
      <c r="C513" s="211">
        <f>C511-C512</f>
        <v>0</v>
      </c>
      <c r="D513" s="211">
        <f t="shared" ref="D513:K513" si="83">D511-D512</f>
        <v>0</v>
      </c>
      <c r="E513" s="211">
        <f t="shared" si="83"/>
        <v>0</v>
      </c>
      <c r="F513" s="211">
        <f t="shared" si="83"/>
        <v>0</v>
      </c>
      <c r="G513" s="211">
        <f t="shared" si="83"/>
        <v>0</v>
      </c>
      <c r="H513" s="211">
        <f t="shared" si="83"/>
        <v>0</v>
      </c>
      <c r="I513" s="211">
        <f t="shared" si="83"/>
        <v>0</v>
      </c>
      <c r="J513" s="211">
        <f t="shared" si="83"/>
        <v>0</v>
      </c>
      <c r="K513" s="211">
        <f t="shared" si="83"/>
        <v>0</v>
      </c>
      <c r="L513" s="167" t="s">
        <v>1463</v>
      </c>
    </row>
    <row r="514" spans="1:12" ht="7.5" customHeight="1">
      <c r="A514" s="190"/>
      <c r="B514" s="204"/>
      <c r="C514" s="3"/>
      <c r="D514" s="2"/>
      <c r="E514" s="2"/>
      <c r="F514" s="2"/>
      <c r="G514" s="2"/>
      <c r="H514" s="2"/>
      <c r="I514" s="2"/>
      <c r="J514" s="2"/>
      <c r="K514" s="2"/>
    </row>
    <row r="515" spans="1:12" ht="20.100000000000001" customHeight="1" thickBot="1">
      <c r="A515" s="190"/>
      <c r="B515" s="191" t="s">
        <v>1079</v>
      </c>
      <c r="C515" s="99">
        <v>2377831</v>
      </c>
      <c r="D515" s="99">
        <v>3003537</v>
      </c>
      <c r="E515" s="99">
        <v>2625761</v>
      </c>
      <c r="F515" s="99">
        <f>D515+F511</f>
        <v>2895977</v>
      </c>
      <c r="G515" s="99">
        <f>F515+G511</f>
        <v>2681077</v>
      </c>
      <c r="H515" s="99">
        <f>G515+H511</f>
        <v>1874420</v>
      </c>
      <c r="I515" s="99">
        <f>H515+I511</f>
        <v>1429922</v>
      </c>
      <c r="J515" s="99">
        <f>I515+J511</f>
        <v>814255</v>
      </c>
      <c r="K515" s="99">
        <f>J515+K511</f>
        <v>524280</v>
      </c>
    </row>
    <row r="516" spans="1:12" s="152" customFormat="1" ht="15.75" hidden="1" thickTop="1">
      <c r="A516" s="194"/>
      <c r="B516" s="195"/>
      <c r="C516" s="163">
        <f>'Budget Detail FY 2013-18'!N766</f>
        <v>2377831</v>
      </c>
      <c r="D516" s="163">
        <f>'Budget Detail FY 2013-18'!O766</f>
        <v>3003537</v>
      </c>
      <c r="E516" s="163">
        <f>'Budget Detail FY 2013-18'!P766</f>
        <v>2625761</v>
      </c>
      <c r="F516" s="163">
        <f>'Budget Detail FY 2013-18'!Q766</f>
        <v>2895977</v>
      </c>
      <c r="G516" s="163">
        <f>'Budget Detail FY 2013-18'!R766</f>
        <v>2681077</v>
      </c>
      <c r="H516" s="163">
        <f>'Budget Detail FY 2013-18'!S766</f>
        <v>1874420</v>
      </c>
      <c r="I516" s="163">
        <f>'Budget Detail FY 2013-18'!T766</f>
        <v>1429922</v>
      </c>
      <c r="J516" s="163">
        <f>'Budget Detail FY 2013-18'!U766</f>
        <v>814255</v>
      </c>
      <c r="K516" s="163">
        <f>'Budget Detail FY 2013-18'!V766</f>
        <v>524280</v>
      </c>
      <c r="L516" s="166" t="s">
        <v>1462</v>
      </c>
    </row>
    <row r="517" spans="1:12" s="158" customFormat="1" ht="15" hidden="1">
      <c r="A517" s="196"/>
      <c r="B517" s="197"/>
      <c r="C517" s="203">
        <f>C515-C516</f>
        <v>0</v>
      </c>
      <c r="D517" s="203">
        <f t="shared" ref="D517:K517" si="84">D515-D516</f>
        <v>0</v>
      </c>
      <c r="E517" s="203">
        <f t="shared" si="84"/>
        <v>0</v>
      </c>
      <c r="F517" s="203">
        <f t="shared" si="84"/>
        <v>0</v>
      </c>
      <c r="G517" s="203">
        <f t="shared" si="84"/>
        <v>0</v>
      </c>
      <c r="H517" s="203">
        <f t="shared" si="84"/>
        <v>0</v>
      </c>
      <c r="I517" s="203">
        <f t="shared" si="84"/>
        <v>0</v>
      </c>
      <c r="J517" s="203">
        <f t="shared" si="84"/>
        <v>0</v>
      </c>
      <c r="K517" s="203">
        <f t="shared" si="84"/>
        <v>0</v>
      </c>
      <c r="L517" s="167" t="s">
        <v>1463</v>
      </c>
    </row>
    <row r="518" spans="1:12" ht="15.75" thickTop="1">
      <c r="A518" s="190"/>
      <c r="B518" s="205"/>
      <c r="C518" s="206">
        <f t="shared" ref="C518:J518" si="85">+C515/C507</f>
        <v>1.2954987752362355</v>
      </c>
      <c r="D518" s="206">
        <f t="shared" si="85"/>
        <v>1.2039816889608645</v>
      </c>
      <c r="E518" s="206">
        <f t="shared" si="85"/>
        <v>1.3854723223283962</v>
      </c>
      <c r="F518" s="206">
        <f t="shared" si="85"/>
        <v>1.6540765085000559</v>
      </c>
      <c r="G518" s="206">
        <f t="shared" si="85"/>
        <v>1.0431719141518685</v>
      </c>
      <c r="H518" s="206">
        <f t="shared" si="85"/>
        <v>0.6158382147453304</v>
      </c>
      <c r="I518" s="206">
        <f t="shared" si="85"/>
        <v>0.53321236583197595</v>
      </c>
      <c r="J518" s="206">
        <f t="shared" si="85"/>
        <v>0.28552528088607149</v>
      </c>
      <c r="K518" s="206">
        <f>+K515/K507</f>
        <v>0.20729076099527083</v>
      </c>
    </row>
    <row r="519" spans="1:12" ht="7.5" customHeight="1">
      <c r="A519" s="190"/>
      <c r="B519" s="205"/>
      <c r="C519" s="2"/>
      <c r="D519" s="2"/>
      <c r="E519" s="2"/>
      <c r="F519" s="2"/>
      <c r="G519" s="2"/>
      <c r="H519" s="2"/>
      <c r="I519" s="2"/>
      <c r="J519" s="2"/>
      <c r="K519" s="2"/>
    </row>
    <row r="520" spans="1:12" ht="15">
      <c r="A520" s="190"/>
      <c r="B520" s="1"/>
      <c r="C520" s="2"/>
      <c r="D520" s="2"/>
      <c r="E520" s="2"/>
      <c r="F520" s="2"/>
      <c r="G520" s="2"/>
      <c r="H520" s="2"/>
      <c r="I520" s="2"/>
      <c r="J520" s="2"/>
      <c r="K520" s="2"/>
    </row>
    <row r="521" spans="1:12" ht="15">
      <c r="A521" s="190"/>
      <c r="B521" s="1"/>
      <c r="C521" s="2"/>
      <c r="D521" s="2"/>
      <c r="E521" s="2"/>
      <c r="F521" s="2"/>
      <c r="G521" s="2"/>
      <c r="H521" s="2"/>
      <c r="I521" s="2"/>
      <c r="J521" s="2"/>
      <c r="K521" s="2"/>
    </row>
    <row r="522" spans="1:12" ht="15">
      <c r="A522" s="190"/>
      <c r="B522" s="1"/>
      <c r="C522" s="2"/>
      <c r="D522" s="2"/>
      <c r="E522" s="2"/>
      <c r="F522" s="2"/>
      <c r="G522" s="2"/>
      <c r="H522" s="2"/>
      <c r="I522" s="2"/>
      <c r="J522" s="2"/>
      <c r="K522" s="2"/>
    </row>
    <row r="523" spans="1:12" ht="15">
      <c r="A523" s="190"/>
      <c r="B523" s="1"/>
      <c r="C523" s="2"/>
      <c r="D523" s="2"/>
      <c r="E523" s="2"/>
      <c r="F523" s="2"/>
      <c r="G523" s="2"/>
      <c r="H523" s="2"/>
      <c r="I523" s="2"/>
      <c r="J523" s="2"/>
      <c r="K523" s="2"/>
    </row>
    <row r="524" spans="1:12" ht="15">
      <c r="A524" s="190"/>
      <c r="B524" s="1"/>
      <c r="C524" s="2"/>
      <c r="D524" s="2"/>
      <c r="E524" s="2"/>
      <c r="F524" s="2"/>
      <c r="G524" s="2"/>
      <c r="H524" s="2"/>
      <c r="I524" s="2"/>
      <c r="J524" s="2"/>
      <c r="K524" s="2"/>
    </row>
    <row r="525" spans="1:12" ht="15">
      <c r="A525" s="190"/>
      <c r="B525" s="1"/>
      <c r="C525" s="2"/>
      <c r="D525" s="2"/>
      <c r="E525" s="2"/>
      <c r="F525" s="2"/>
      <c r="G525" s="2"/>
      <c r="H525" s="2"/>
      <c r="I525" s="2"/>
      <c r="J525" s="2"/>
      <c r="K525" s="2"/>
    </row>
    <row r="526" spans="1:12" ht="15">
      <c r="A526" s="190"/>
      <c r="B526" s="1"/>
      <c r="C526" s="2"/>
      <c r="D526" s="2"/>
      <c r="E526" s="2"/>
      <c r="F526" s="2"/>
      <c r="G526" s="2"/>
      <c r="H526" s="2"/>
      <c r="I526" s="2"/>
      <c r="J526" s="2"/>
      <c r="K526" s="2"/>
    </row>
    <row r="527" spans="1:12" ht="15">
      <c r="A527" s="190"/>
      <c r="B527" s="1"/>
      <c r="C527" s="2"/>
      <c r="D527" s="2"/>
      <c r="E527" s="2"/>
      <c r="F527" s="2"/>
      <c r="G527" s="2"/>
      <c r="H527" s="2"/>
      <c r="I527" s="2"/>
      <c r="J527" s="2"/>
      <c r="K527" s="2"/>
    </row>
    <row r="528" spans="1:12" ht="15">
      <c r="A528" s="190"/>
      <c r="B528" s="1"/>
      <c r="C528" s="2"/>
      <c r="D528" s="2"/>
      <c r="E528" s="2"/>
      <c r="F528" s="2"/>
      <c r="G528" s="2"/>
      <c r="H528" s="2"/>
      <c r="I528" s="2"/>
      <c r="J528" s="2"/>
      <c r="K528" s="2"/>
    </row>
    <row r="529" spans="1:11" ht="15">
      <c r="A529" s="190"/>
      <c r="B529" s="1"/>
      <c r="C529" s="2"/>
      <c r="D529" s="2"/>
      <c r="E529" s="2"/>
      <c r="F529" s="2"/>
      <c r="G529" s="2"/>
      <c r="H529" s="2"/>
      <c r="I529" s="2"/>
      <c r="J529" s="2"/>
      <c r="K529" s="2"/>
    </row>
    <row r="530" spans="1:11">
      <c r="A530" s="190"/>
      <c r="B530" s="190"/>
      <c r="C530" s="207"/>
      <c r="D530" s="207"/>
      <c r="E530" s="208"/>
      <c r="F530" s="208"/>
      <c r="G530" s="208"/>
      <c r="H530" s="208"/>
      <c r="I530" s="208"/>
      <c r="J530" s="208"/>
      <c r="K530" s="208"/>
    </row>
    <row r="531" spans="1:11">
      <c r="A531" s="190"/>
      <c r="B531" s="190"/>
      <c r="C531" s="207"/>
      <c r="D531" s="207"/>
      <c r="E531" s="208"/>
      <c r="F531" s="208"/>
      <c r="G531" s="208"/>
      <c r="H531" s="208"/>
      <c r="I531" s="208"/>
      <c r="J531" s="208"/>
      <c r="K531" s="208"/>
    </row>
    <row r="532" spans="1:11" ht="18.75">
      <c r="A532" s="190"/>
      <c r="B532" s="523" t="s">
        <v>1082</v>
      </c>
      <c r="C532" s="523"/>
      <c r="D532" s="523"/>
      <c r="E532" s="523"/>
      <c r="F532" s="523"/>
      <c r="G532" s="523"/>
      <c r="H532" s="523"/>
      <c r="I532" s="523"/>
      <c r="J532" s="523"/>
      <c r="K532" s="523"/>
    </row>
    <row r="533" spans="1:11" ht="15">
      <c r="A533" s="190"/>
      <c r="B533" s="80"/>
      <c r="C533" s="3"/>
      <c r="D533" s="2"/>
      <c r="E533" s="2"/>
      <c r="F533" s="2"/>
      <c r="G533" s="2"/>
      <c r="H533" s="2"/>
      <c r="I533" s="2"/>
      <c r="J533" s="2"/>
      <c r="K533" s="2"/>
    </row>
    <row r="534" spans="1:11" ht="12.75" customHeight="1">
      <c r="A534" s="190"/>
      <c r="B534" s="531" t="s">
        <v>1083</v>
      </c>
      <c r="C534" s="531"/>
      <c r="D534" s="531"/>
      <c r="E534" s="531"/>
      <c r="F534" s="531"/>
      <c r="G534" s="531"/>
      <c r="H534" s="531"/>
      <c r="I534" s="531"/>
      <c r="J534" s="531"/>
      <c r="K534" s="531"/>
    </row>
    <row r="535" spans="1:11" ht="12.75" customHeight="1">
      <c r="A535" s="190"/>
      <c r="B535" s="531"/>
      <c r="C535" s="531"/>
      <c r="D535" s="531"/>
      <c r="E535" s="531"/>
      <c r="F535" s="531"/>
      <c r="G535" s="531"/>
      <c r="H535" s="531"/>
      <c r="I535" s="531"/>
      <c r="J535" s="531"/>
      <c r="K535" s="531"/>
    </row>
    <row r="536" spans="1:11" ht="18.75" customHeight="1">
      <c r="A536" s="190"/>
      <c r="B536" s="531"/>
      <c r="C536" s="531"/>
      <c r="D536" s="531"/>
      <c r="E536" s="531"/>
      <c r="F536" s="531"/>
      <c r="G536" s="531"/>
      <c r="H536" s="531"/>
      <c r="I536" s="531"/>
      <c r="J536" s="531"/>
      <c r="K536" s="531"/>
    </row>
    <row r="537" spans="1:11" ht="15">
      <c r="A537" s="190"/>
      <c r="B537" s="5"/>
      <c r="C537" s="80"/>
      <c r="D537" s="81"/>
      <c r="E537" s="80" t="s">
        <v>312</v>
      </c>
      <c r="F537" s="1"/>
      <c r="G537" s="1"/>
      <c r="H537" s="1"/>
      <c r="I537" s="1"/>
      <c r="J537" s="1"/>
      <c r="K537" s="1"/>
    </row>
    <row r="538" spans="1:11" ht="15">
      <c r="A538" s="190"/>
      <c r="B538" s="81"/>
      <c r="C538" s="80" t="s">
        <v>23</v>
      </c>
      <c r="D538" s="104" t="s">
        <v>253</v>
      </c>
      <c r="E538" s="81" t="s">
        <v>1045</v>
      </c>
      <c r="F538" s="81" t="s">
        <v>312</v>
      </c>
      <c r="G538" s="81" t="s">
        <v>313</v>
      </c>
      <c r="H538" s="81" t="s">
        <v>329</v>
      </c>
      <c r="I538" s="81" t="s">
        <v>332</v>
      </c>
      <c r="J538" s="81" t="s">
        <v>333</v>
      </c>
      <c r="K538" s="81" t="s">
        <v>1224</v>
      </c>
    </row>
    <row r="539" spans="1:11" ht="15.75" thickBot="1">
      <c r="A539" s="190"/>
      <c r="B539" s="209"/>
      <c r="C539" s="83" t="s">
        <v>1</v>
      </c>
      <c r="D539" s="83" t="s">
        <v>1</v>
      </c>
      <c r="E539" s="83" t="s">
        <v>987</v>
      </c>
      <c r="F539" s="83" t="s">
        <v>24</v>
      </c>
      <c r="G539" s="83" t="s">
        <v>1045</v>
      </c>
      <c r="H539" s="83" t="s">
        <v>24</v>
      </c>
      <c r="I539" s="83" t="s">
        <v>24</v>
      </c>
      <c r="J539" s="83" t="s">
        <v>24</v>
      </c>
      <c r="K539" s="83" t="s">
        <v>24</v>
      </c>
    </row>
    <row r="540" spans="1:11" ht="15">
      <c r="A540" s="190"/>
      <c r="B540" s="79"/>
      <c r="C540" s="210"/>
      <c r="D540" s="2"/>
      <c r="E540" s="2"/>
      <c r="F540" s="2"/>
      <c r="G540" s="2"/>
      <c r="H540" s="2"/>
      <c r="I540" s="2"/>
      <c r="J540" s="2"/>
      <c r="K540" s="2"/>
    </row>
    <row r="541" spans="1:11" ht="15">
      <c r="A541" s="190"/>
      <c r="B541" s="198" t="s">
        <v>1046</v>
      </c>
      <c r="C541" s="2"/>
      <c r="D541" s="2"/>
      <c r="E541" s="2"/>
      <c r="F541" s="2"/>
      <c r="G541" s="2"/>
      <c r="H541" s="2"/>
      <c r="I541" s="2"/>
      <c r="J541" s="2"/>
      <c r="K541" s="2"/>
    </row>
    <row r="542" spans="1:11" ht="20.100000000000001" customHeight="1">
      <c r="A542" s="190"/>
      <c r="B542" s="5" t="s">
        <v>1048</v>
      </c>
      <c r="C542" s="2">
        <f>SUM('Budget Detail FY 2013-18'!N771:N775)</f>
        <v>42285</v>
      </c>
      <c r="D542" s="2">
        <f>SUM('Budget Detail FY 2013-18'!O771:O775)</f>
        <v>400000</v>
      </c>
      <c r="E542" s="2">
        <f>SUM('Budget Detail FY 2013-18'!P771:P775)</f>
        <v>400000</v>
      </c>
      <c r="F542" s="2">
        <f>SUM('Budget Detail FY 2013-18'!Q771:Q775)</f>
        <v>400000</v>
      </c>
      <c r="G542" s="2">
        <f>SUM('Budget Detail FY 2013-18'!R771:R775)</f>
        <v>96000</v>
      </c>
      <c r="H542" s="2">
        <f>SUM('Budget Detail FY 2013-18'!S771:S775)</f>
        <v>0</v>
      </c>
      <c r="I542" s="2">
        <f>SUM('Budget Detail FY 2013-18'!T771:T775)</f>
        <v>0</v>
      </c>
      <c r="J542" s="2">
        <f>SUM('Budget Detail FY 2013-18'!U771:U775)</f>
        <v>400000</v>
      </c>
      <c r="K542" s="2">
        <f>SUM('Budget Detail FY 2013-18'!V771:V775)</f>
        <v>0</v>
      </c>
    </row>
    <row r="543" spans="1:11" ht="20.100000000000001" customHeight="1">
      <c r="A543" s="190"/>
      <c r="B543" s="5" t="s">
        <v>1084</v>
      </c>
      <c r="C543" s="2">
        <f>SUM('Budget Detail FY 2013-18'!N776:N783)</f>
        <v>432354</v>
      </c>
      <c r="D543" s="2">
        <f>SUM('Budget Detail FY 2013-18'!O776:O783)</f>
        <v>30767</v>
      </c>
      <c r="E543" s="2">
        <f>SUM('Budget Detail FY 2013-18'!P776:P783)</f>
        <v>20500</v>
      </c>
      <c r="F543" s="2">
        <f>SUM('Budget Detail FY 2013-18'!Q776:Q783)</f>
        <v>52106</v>
      </c>
      <c r="G543" s="2">
        <f>SUM('Budget Detail FY 2013-18'!R776:R783)</f>
        <v>20500</v>
      </c>
      <c r="H543" s="2">
        <f>SUM('Budget Detail FY 2013-18'!S776:S783)</f>
        <v>23000</v>
      </c>
      <c r="I543" s="2">
        <f>SUM('Budget Detail FY 2013-18'!T776:T783)</f>
        <v>23000</v>
      </c>
      <c r="J543" s="2">
        <f>SUM('Budget Detail FY 2013-18'!U776:U783)</f>
        <v>23000</v>
      </c>
      <c r="K543" s="2">
        <f>SUM('Budget Detail FY 2013-18'!V776:V783)</f>
        <v>23000</v>
      </c>
    </row>
    <row r="544" spans="1:11" ht="20.100000000000001" customHeight="1">
      <c r="A544" s="190"/>
      <c r="B544" s="205" t="s">
        <v>1055</v>
      </c>
      <c r="C544" s="2">
        <f>'Budget Detail FY 2013-18'!N784</f>
        <v>0</v>
      </c>
      <c r="D544" s="2">
        <f>'Budget Detail FY 2013-18'!O784</f>
        <v>0</v>
      </c>
      <c r="E544" s="2">
        <f>'Budget Detail FY 2013-18'!P784</f>
        <v>0</v>
      </c>
      <c r="F544" s="2">
        <f>'Budget Detail FY 2013-18'!Q784</f>
        <v>0</v>
      </c>
      <c r="G544" s="2">
        <f>'Budget Detail FY 2013-18'!R784</f>
        <v>50000</v>
      </c>
      <c r="H544" s="2">
        <f>'Budget Detail FY 2013-18'!S784</f>
        <v>0</v>
      </c>
      <c r="I544" s="2">
        <f>'Budget Detail FY 2013-18'!T784</f>
        <v>0</v>
      </c>
      <c r="J544" s="2">
        <f>'Budget Detail FY 2013-18'!U784</f>
        <v>0</v>
      </c>
      <c r="K544" s="2">
        <f>'Budget Detail FY 2013-18'!V784</f>
        <v>0</v>
      </c>
    </row>
    <row r="545" spans="1:12" ht="20.100000000000001" customHeight="1" thickBot="1">
      <c r="A545" s="190"/>
      <c r="B545" s="193" t="s">
        <v>1056</v>
      </c>
      <c r="C545" s="188">
        <f>SUM(C542:C544)</f>
        <v>474639</v>
      </c>
      <c r="D545" s="188">
        <f t="shared" ref="D545:K545" si="86">SUM(D542:D544)</f>
        <v>430767</v>
      </c>
      <c r="E545" s="188">
        <f t="shared" si="86"/>
        <v>420500</v>
      </c>
      <c r="F545" s="188">
        <f t="shared" si="86"/>
        <v>452106</v>
      </c>
      <c r="G545" s="188">
        <f t="shared" si="86"/>
        <v>166500</v>
      </c>
      <c r="H545" s="188">
        <f t="shared" si="86"/>
        <v>23000</v>
      </c>
      <c r="I545" s="188">
        <f t="shared" si="86"/>
        <v>23000</v>
      </c>
      <c r="J545" s="188">
        <f t="shared" si="86"/>
        <v>423000</v>
      </c>
      <c r="K545" s="188">
        <f t="shared" si="86"/>
        <v>23000</v>
      </c>
    </row>
    <row r="546" spans="1:12" s="152" customFormat="1" ht="15" hidden="1">
      <c r="A546" s="194"/>
      <c r="B546" s="195"/>
      <c r="C546" s="163">
        <f>'Budget Detail FY 2013-18'!N786</f>
        <v>474639</v>
      </c>
      <c r="D546" s="163">
        <f>'Budget Detail FY 2013-18'!O786</f>
        <v>430767</v>
      </c>
      <c r="E546" s="163">
        <f>'Budget Detail FY 2013-18'!P786</f>
        <v>420500</v>
      </c>
      <c r="F546" s="163">
        <f>'Budget Detail FY 2013-18'!Q786</f>
        <v>452106</v>
      </c>
      <c r="G546" s="163">
        <f>'Budget Detail FY 2013-18'!R786</f>
        <v>166500</v>
      </c>
      <c r="H546" s="163">
        <f>'Budget Detail FY 2013-18'!S786</f>
        <v>23000</v>
      </c>
      <c r="I546" s="163">
        <f>'Budget Detail FY 2013-18'!T786</f>
        <v>23000</v>
      </c>
      <c r="J546" s="163">
        <f>'Budget Detail FY 2013-18'!U786</f>
        <v>423000</v>
      </c>
      <c r="K546" s="163">
        <f>'Budget Detail FY 2013-18'!V786</f>
        <v>23000</v>
      </c>
      <c r="L546" s="166" t="s">
        <v>1462</v>
      </c>
    </row>
    <row r="547" spans="1:12" s="158" customFormat="1" ht="14.25" hidden="1">
      <c r="A547" s="196"/>
      <c r="B547" s="197"/>
      <c r="C547" s="164">
        <f>C545-C546</f>
        <v>0</v>
      </c>
      <c r="D547" s="164">
        <f t="shared" ref="D547:K547" si="87">D545-D546</f>
        <v>0</v>
      </c>
      <c r="E547" s="164">
        <f t="shared" si="87"/>
        <v>0</v>
      </c>
      <c r="F547" s="164">
        <f t="shared" si="87"/>
        <v>0</v>
      </c>
      <c r="G547" s="164">
        <f t="shared" si="87"/>
        <v>0</v>
      </c>
      <c r="H547" s="164">
        <f t="shared" si="87"/>
        <v>0</v>
      </c>
      <c r="I547" s="164">
        <f t="shared" si="87"/>
        <v>0</v>
      </c>
      <c r="J547" s="164">
        <f t="shared" si="87"/>
        <v>0</v>
      </c>
      <c r="K547" s="164">
        <f t="shared" si="87"/>
        <v>0</v>
      </c>
      <c r="L547" s="167" t="s">
        <v>1463</v>
      </c>
    </row>
    <row r="548" spans="1:12" ht="15">
      <c r="A548" s="190"/>
      <c r="B548" s="1"/>
      <c r="C548" s="2"/>
      <c r="D548" s="2"/>
      <c r="E548" s="2"/>
      <c r="F548" s="2"/>
      <c r="G548" s="2"/>
      <c r="H548" s="2"/>
      <c r="I548" s="2"/>
      <c r="J548" s="2"/>
      <c r="K548" s="2"/>
    </row>
    <row r="549" spans="1:12" ht="15">
      <c r="A549" s="190"/>
      <c r="B549" s="198" t="s">
        <v>761</v>
      </c>
      <c r="C549" s="2"/>
      <c r="D549" s="2"/>
      <c r="E549" s="2"/>
      <c r="F549" s="2"/>
      <c r="G549" s="2"/>
      <c r="H549" s="2"/>
      <c r="I549" s="2"/>
      <c r="J549" s="2"/>
      <c r="K549" s="2"/>
    </row>
    <row r="550" spans="1:12" ht="20.100000000000001" customHeight="1">
      <c r="A550" s="190"/>
      <c r="B550" s="199" t="s">
        <v>1059</v>
      </c>
      <c r="C550" s="2">
        <f>'Budget Detail FY 2013-18'!N788</f>
        <v>60449</v>
      </c>
      <c r="D550" s="2">
        <f>'Budget Detail FY 2013-18'!O788</f>
        <v>20084</v>
      </c>
      <c r="E550" s="2">
        <f>'Budget Detail FY 2013-18'!P788</f>
        <v>0</v>
      </c>
      <c r="F550" s="2">
        <f>'Budget Detail FY 2013-18'!Q788</f>
        <v>0</v>
      </c>
      <c r="G550" s="2">
        <f>'Budget Detail FY 2013-18'!R788</f>
        <v>0</v>
      </c>
      <c r="H550" s="2">
        <f>'Budget Detail FY 2013-18'!S788</f>
        <v>0</v>
      </c>
      <c r="I550" s="2">
        <f>'Budget Detail FY 2013-18'!T788</f>
        <v>0</v>
      </c>
      <c r="J550" s="2">
        <f>'Budget Detail FY 2013-18'!U788</f>
        <v>0</v>
      </c>
      <c r="K550" s="2">
        <f>'Budget Detail FY 2013-18'!V788</f>
        <v>0</v>
      </c>
    </row>
    <row r="551" spans="1:12" ht="20.100000000000001" customHeight="1">
      <c r="A551" s="190"/>
      <c r="B551" s="199" t="s">
        <v>1061</v>
      </c>
      <c r="C551" s="2">
        <f>SUM('Budget Detail FY 2013-18'!N789:N798)</f>
        <v>199390</v>
      </c>
      <c r="D551" s="2">
        <f>SUM('Budget Detail FY 2013-18'!O789:O798)</f>
        <v>316836</v>
      </c>
      <c r="E551" s="2">
        <f>SUM('Budget Detail FY 2013-18'!P789:P798)</f>
        <v>323825</v>
      </c>
      <c r="F551" s="2">
        <f>SUM('Budget Detail FY 2013-18'!Q789:Q798)</f>
        <v>72247</v>
      </c>
      <c r="G551" s="2">
        <f>SUM('Budget Detail FY 2013-18'!R789:R798)</f>
        <v>89000</v>
      </c>
      <c r="H551" s="2">
        <f>SUM('Budget Detail FY 2013-18'!S789:S798)</f>
        <v>356850</v>
      </c>
      <c r="I551" s="2">
        <f>SUM('Budget Detail FY 2013-18'!T789:T798)</f>
        <v>263000</v>
      </c>
      <c r="J551" s="2">
        <f>SUM('Budget Detail FY 2013-18'!U789:U798)</f>
        <v>13000</v>
      </c>
      <c r="K551" s="2">
        <f>SUM('Budget Detail FY 2013-18'!V789:V798)</f>
        <v>63000</v>
      </c>
    </row>
    <row r="552" spans="1:12" ht="20.100000000000001" customHeight="1" thickBot="1">
      <c r="A552" s="190"/>
      <c r="B552" s="193" t="s">
        <v>1064</v>
      </c>
      <c r="C552" s="188">
        <f>SUM(C550:C551)</f>
        <v>259839</v>
      </c>
      <c r="D552" s="188">
        <f t="shared" ref="D552:K552" si="88">SUM(D550:D551)</f>
        <v>336920</v>
      </c>
      <c r="E552" s="188">
        <f t="shared" si="88"/>
        <v>323825</v>
      </c>
      <c r="F552" s="188">
        <f t="shared" si="88"/>
        <v>72247</v>
      </c>
      <c r="G552" s="188">
        <f t="shared" si="88"/>
        <v>89000</v>
      </c>
      <c r="H552" s="188">
        <f t="shared" si="88"/>
        <v>356850</v>
      </c>
      <c r="I552" s="188">
        <f t="shared" si="88"/>
        <v>263000</v>
      </c>
      <c r="J552" s="188">
        <f t="shared" si="88"/>
        <v>13000</v>
      </c>
      <c r="K552" s="188">
        <f t="shared" si="88"/>
        <v>63000</v>
      </c>
    </row>
    <row r="553" spans="1:12" s="152" customFormat="1" ht="15" hidden="1">
      <c r="A553" s="194"/>
      <c r="B553" s="195"/>
      <c r="C553" s="163">
        <f>'Budget Detail FY 2013-18'!N800</f>
        <v>259839</v>
      </c>
      <c r="D553" s="163">
        <f>'Budget Detail FY 2013-18'!O800</f>
        <v>336920</v>
      </c>
      <c r="E553" s="163">
        <f>'Budget Detail FY 2013-18'!P800</f>
        <v>323825</v>
      </c>
      <c r="F553" s="163">
        <f>'Budget Detail FY 2013-18'!Q800</f>
        <v>72247</v>
      </c>
      <c r="G553" s="163">
        <f>'Budget Detail FY 2013-18'!R800</f>
        <v>89000</v>
      </c>
      <c r="H553" s="163">
        <f>'Budget Detail FY 2013-18'!S800</f>
        <v>356850</v>
      </c>
      <c r="I553" s="163">
        <f>'Budget Detail FY 2013-18'!T800</f>
        <v>263000</v>
      </c>
      <c r="J553" s="163">
        <f>'Budget Detail FY 2013-18'!U800</f>
        <v>13000</v>
      </c>
      <c r="K553" s="163">
        <f>'Budget Detail FY 2013-18'!V800</f>
        <v>63000</v>
      </c>
      <c r="L553" s="166" t="s">
        <v>1462</v>
      </c>
    </row>
    <row r="554" spans="1:12" s="158" customFormat="1" ht="14.25" hidden="1">
      <c r="A554" s="196"/>
      <c r="B554" s="197"/>
      <c r="C554" s="164">
        <f>C552-C553</f>
        <v>0</v>
      </c>
      <c r="D554" s="164">
        <f t="shared" ref="D554:K554" si="89">D552-D553</f>
        <v>0</v>
      </c>
      <c r="E554" s="164">
        <f t="shared" si="89"/>
        <v>0</v>
      </c>
      <c r="F554" s="164">
        <f t="shared" si="89"/>
        <v>0</v>
      </c>
      <c r="G554" s="164">
        <f t="shared" si="89"/>
        <v>0</v>
      </c>
      <c r="H554" s="164">
        <f t="shared" si="89"/>
        <v>0</v>
      </c>
      <c r="I554" s="164">
        <f t="shared" si="89"/>
        <v>0</v>
      </c>
      <c r="J554" s="164">
        <f t="shared" si="89"/>
        <v>0</v>
      </c>
      <c r="K554" s="164">
        <f t="shared" si="89"/>
        <v>0</v>
      </c>
      <c r="L554" s="167" t="s">
        <v>1463</v>
      </c>
    </row>
    <row r="555" spans="1:12" ht="15">
      <c r="A555" s="190"/>
      <c r="B555" s="200"/>
      <c r="C555" s="3"/>
      <c r="D555" s="2"/>
      <c r="E555" s="2"/>
      <c r="F555" s="2"/>
      <c r="G555" s="2"/>
      <c r="H555" s="2"/>
      <c r="I555" s="2"/>
      <c r="J555" s="2"/>
      <c r="K555" s="2"/>
    </row>
    <row r="556" spans="1:12" ht="20.100000000000001" customHeight="1">
      <c r="A556" s="190"/>
      <c r="B556" s="189" t="s">
        <v>1065</v>
      </c>
      <c r="C556" s="3">
        <f t="shared" ref="C556:K556" si="90">+C545-C552</f>
        <v>214800</v>
      </c>
      <c r="D556" s="3">
        <f t="shared" si="90"/>
        <v>93847</v>
      </c>
      <c r="E556" s="3">
        <f t="shared" si="90"/>
        <v>96675</v>
      </c>
      <c r="F556" s="3">
        <f t="shared" si="90"/>
        <v>379859</v>
      </c>
      <c r="G556" s="3">
        <f t="shared" si="90"/>
        <v>77500</v>
      </c>
      <c r="H556" s="3">
        <f t="shared" si="90"/>
        <v>-333850</v>
      </c>
      <c r="I556" s="3">
        <f t="shared" si="90"/>
        <v>-240000</v>
      </c>
      <c r="J556" s="3">
        <f t="shared" si="90"/>
        <v>410000</v>
      </c>
      <c r="K556" s="3">
        <f t="shared" si="90"/>
        <v>-40000</v>
      </c>
    </row>
    <row r="557" spans="1:12" s="152" customFormat="1" ht="15" hidden="1">
      <c r="A557" s="194"/>
      <c r="B557" s="201"/>
      <c r="C557" s="163">
        <f>'Budget Detail FY 2013-18'!N802</f>
        <v>214800</v>
      </c>
      <c r="D557" s="163">
        <f>'Budget Detail FY 2013-18'!O802</f>
        <v>93847</v>
      </c>
      <c r="E557" s="163">
        <f>'Budget Detail FY 2013-18'!P802</f>
        <v>96675</v>
      </c>
      <c r="F557" s="163">
        <f>'Budget Detail FY 2013-18'!Q802</f>
        <v>379859</v>
      </c>
      <c r="G557" s="163">
        <f>'Budget Detail FY 2013-18'!R802</f>
        <v>77500</v>
      </c>
      <c r="H557" s="163">
        <f>'Budget Detail FY 2013-18'!S802</f>
        <v>-333850</v>
      </c>
      <c r="I557" s="163">
        <f>'Budget Detail FY 2013-18'!T802</f>
        <v>-240000</v>
      </c>
      <c r="J557" s="163">
        <f>'Budget Detail FY 2013-18'!U802</f>
        <v>410000</v>
      </c>
      <c r="K557" s="163">
        <f>'Budget Detail FY 2013-18'!V802</f>
        <v>-40000</v>
      </c>
      <c r="L557" s="166" t="s">
        <v>1462</v>
      </c>
    </row>
    <row r="558" spans="1:12" s="158" customFormat="1" ht="15" hidden="1">
      <c r="A558" s="196"/>
      <c r="B558" s="202"/>
      <c r="C558" s="211">
        <f>C556-C557</f>
        <v>0</v>
      </c>
      <c r="D558" s="211">
        <f t="shared" ref="D558:K558" si="91">D556-D557</f>
        <v>0</v>
      </c>
      <c r="E558" s="211">
        <f t="shared" si="91"/>
        <v>0</v>
      </c>
      <c r="F558" s="211">
        <f t="shared" si="91"/>
        <v>0</v>
      </c>
      <c r="G558" s="211">
        <f t="shared" si="91"/>
        <v>0</v>
      </c>
      <c r="H558" s="211">
        <f t="shared" si="91"/>
        <v>0</v>
      </c>
      <c r="I558" s="211">
        <f t="shared" si="91"/>
        <v>0</v>
      </c>
      <c r="J558" s="211">
        <f t="shared" si="91"/>
        <v>0</v>
      </c>
      <c r="K558" s="211">
        <f t="shared" si="91"/>
        <v>0</v>
      </c>
      <c r="L558" s="167" t="s">
        <v>1463</v>
      </c>
    </row>
    <row r="559" spans="1:12" ht="15">
      <c r="A559" s="190"/>
      <c r="B559" s="204"/>
      <c r="C559" s="3"/>
      <c r="D559" s="2"/>
      <c r="E559" s="2"/>
      <c r="F559" s="2"/>
      <c r="G559" s="2"/>
      <c r="H559" s="2"/>
      <c r="I559" s="2"/>
      <c r="J559" s="2"/>
      <c r="K559" s="2"/>
    </row>
    <row r="560" spans="1:12" ht="20.100000000000001" customHeight="1" thickBot="1">
      <c r="A560" s="190"/>
      <c r="B560" s="191" t="s">
        <v>1066</v>
      </c>
      <c r="C560" s="99">
        <v>-388625</v>
      </c>
      <c r="D560" s="99">
        <v>-294778</v>
      </c>
      <c r="E560" s="99">
        <v>-172534</v>
      </c>
      <c r="F560" s="99">
        <f>D560+F556</f>
        <v>85081</v>
      </c>
      <c r="G560" s="99">
        <f>F560+G556</f>
        <v>162581</v>
      </c>
      <c r="H560" s="99">
        <f>G560+H556</f>
        <v>-171269</v>
      </c>
      <c r="I560" s="99">
        <f>H560+I556</f>
        <v>-411269</v>
      </c>
      <c r="J560" s="99">
        <f>I560+J556</f>
        <v>-1269</v>
      </c>
      <c r="K560" s="99">
        <f>J560+K556</f>
        <v>-41269</v>
      </c>
    </row>
    <row r="561" spans="1:12" s="152" customFormat="1" ht="15.75" hidden="1" thickTop="1">
      <c r="A561" s="194"/>
      <c r="B561" s="195"/>
      <c r="C561" s="163">
        <f>'Budget Detail FY 2013-18'!N804</f>
        <v>-388625</v>
      </c>
      <c r="D561" s="163">
        <f>'Budget Detail FY 2013-18'!O804</f>
        <v>-294778</v>
      </c>
      <c r="E561" s="163">
        <f>'Budget Detail FY 2013-18'!P804</f>
        <v>-172534</v>
      </c>
      <c r="F561" s="163">
        <f>'Budget Detail FY 2013-18'!Q804</f>
        <v>85081</v>
      </c>
      <c r="G561" s="163">
        <f>'Budget Detail FY 2013-18'!R804</f>
        <v>162581</v>
      </c>
      <c r="H561" s="163">
        <f>'Budget Detail FY 2013-18'!S804</f>
        <v>-171269</v>
      </c>
      <c r="I561" s="163">
        <f>'Budget Detail FY 2013-18'!T804</f>
        <v>-411269</v>
      </c>
      <c r="J561" s="163">
        <f>'Budget Detail FY 2013-18'!U804</f>
        <v>-1269</v>
      </c>
      <c r="K561" s="163">
        <f>'Budget Detail FY 2013-18'!V804</f>
        <v>-41269</v>
      </c>
      <c r="L561" s="166" t="s">
        <v>1462</v>
      </c>
    </row>
    <row r="562" spans="1:12" s="158" customFormat="1" ht="14.25" hidden="1">
      <c r="A562" s="196"/>
      <c r="B562" s="197"/>
      <c r="C562" s="164">
        <f>C560-C561</f>
        <v>0</v>
      </c>
      <c r="D562" s="164">
        <f t="shared" ref="D562:K562" si="92">D560-D561</f>
        <v>0</v>
      </c>
      <c r="E562" s="164">
        <f t="shared" si="92"/>
        <v>0</v>
      </c>
      <c r="F562" s="164">
        <f t="shared" si="92"/>
        <v>0</v>
      </c>
      <c r="G562" s="164">
        <f t="shared" si="92"/>
        <v>0</v>
      </c>
      <c r="H562" s="164">
        <f t="shared" si="92"/>
        <v>0</v>
      </c>
      <c r="I562" s="164">
        <f t="shared" si="92"/>
        <v>0</v>
      </c>
      <c r="J562" s="164">
        <f t="shared" si="92"/>
        <v>0</v>
      </c>
      <c r="K562" s="164">
        <f t="shared" si="92"/>
        <v>0</v>
      </c>
      <c r="L562" s="167" t="s">
        <v>1463</v>
      </c>
    </row>
    <row r="563" spans="1:12" ht="15.75" thickTop="1">
      <c r="A563" s="190"/>
      <c r="B563" s="205"/>
      <c r="C563" s="3"/>
      <c r="D563" s="3"/>
      <c r="E563" s="3"/>
      <c r="F563" s="2"/>
      <c r="G563" s="2"/>
      <c r="H563" s="2"/>
      <c r="I563" s="2"/>
      <c r="J563" s="2"/>
      <c r="K563" s="2"/>
    </row>
    <row r="564" spans="1:12" ht="15">
      <c r="A564" s="190"/>
      <c r="B564" s="205"/>
      <c r="C564" s="2"/>
      <c r="D564" s="2"/>
      <c r="E564" s="2"/>
      <c r="F564" s="2"/>
      <c r="G564" s="2"/>
      <c r="H564" s="2"/>
      <c r="I564" s="2"/>
      <c r="J564" s="2"/>
      <c r="K564" s="2"/>
    </row>
    <row r="565" spans="1:12" ht="15">
      <c r="A565" s="190"/>
      <c r="B565" s="1"/>
      <c r="C565" s="2"/>
      <c r="D565" s="2"/>
      <c r="E565" s="2"/>
      <c r="F565" s="2"/>
      <c r="G565" s="2"/>
      <c r="H565" s="2"/>
      <c r="I565" s="2"/>
      <c r="J565" s="2"/>
      <c r="K565" s="2"/>
    </row>
    <row r="566" spans="1:12" ht="15">
      <c r="A566" s="190"/>
      <c r="B566" s="1"/>
      <c r="C566" s="2"/>
      <c r="D566" s="2"/>
      <c r="E566" s="2"/>
      <c r="F566" s="2"/>
      <c r="G566" s="2"/>
      <c r="H566" s="2"/>
      <c r="I566" s="2"/>
      <c r="J566" s="2"/>
      <c r="K566" s="2"/>
    </row>
    <row r="567" spans="1:12" ht="15">
      <c r="A567" s="190"/>
      <c r="B567" s="1"/>
      <c r="C567" s="2"/>
      <c r="D567" s="2"/>
      <c r="E567" s="2"/>
      <c r="F567" s="2"/>
      <c r="G567" s="2"/>
      <c r="H567" s="2"/>
      <c r="I567" s="2"/>
      <c r="J567" s="2"/>
      <c r="K567" s="2"/>
    </row>
    <row r="568" spans="1:12" ht="15">
      <c r="A568" s="190"/>
      <c r="B568" s="1"/>
      <c r="C568" s="2"/>
      <c r="D568" s="2"/>
      <c r="E568" s="2"/>
      <c r="F568" s="2"/>
      <c r="G568" s="2"/>
      <c r="H568" s="2"/>
      <c r="I568" s="2"/>
      <c r="J568" s="2"/>
      <c r="K568" s="2"/>
    </row>
    <row r="569" spans="1:12" ht="15">
      <c r="A569" s="190"/>
      <c r="B569" s="1"/>
      <c r="C569" s="2"/>
      <c r="D569" s="2"/>
      <c r="E569" s="2"/>
      <c r="F569" s="2"/>
      <c r="G569" s="2"/>
      <c r="H569" s="2"/>
      <c r="I569" s="2"/>
      <c r="J569" s="2"/>
      <c r="K569" s="2"/>
    </row>
    <row r="570" spans="1:12" ht="15">
      <c r="A570" s="190"/>
      <c r="B570" s="1"/>
      <c r="C570" s="2"/>
      <c r="D570" s="2"/>
      <c r="E570" s="2"/>
      <c r="F570" s="2"/>
      <c r="G570" s="2"/>
      <c r="H570" s="2"/>
      <c r="I570" s="2"/>
      <c r="J570" s="2"/>
      <c r="K570" s="2"/>
    </row>
    <row r="571" spans="1:12" ht="15">
      <c r="A571" s="190"/>
      <c r="B571" s="1"/>
      <c r="C571" s="2"/>
      <c r="D571" s="2"/>
      <c r="E571" s="2"/>
      <c r="F571" s="2"/>
      <c r="G571" s="2"/>
      <c r="H571" s="2"/>
      <c r="I571" s="2"/>
      <c r="J571" s="2"/>
      <c r="K571" s="2"/>
    </row>
    <row r="572" spans="1:12" ht="15">
      <c r="A572" s="190"/>
      <c r="B572" s="1"/>
      <c r="C572" s="2"/>
      <c r="D572" s="2"/>
      <c r="E572" s="2"/>
      <c r="F572" s="2"/>
      <c r="G572" s="2"/>
      <c r="H572" s="2"/>
      <c r="I572" s="2"/>
      <c r="J572" s="2"/>
      <c r="K572" s="2"/>
    </row>
    <row r="573" spans="1:12" ht="15">
      <c r="A573" s="190"/>
      <c r="B573" s="1"/>
      <c r="C573" s="2"/>
      <c r="D573" s="2"/>
      <c r="E573" s="2"/>
      <c r="F573" s="2"/>
      <c r="G573" s="2"/>
      <c r="H573" s="2"/>
      <c r="I573" s="2"/>
      <c r="J573" s="2"/>
      <c r="K573" s="2"/>
    </row>
    <row r="574" spans="1:12" ht="15">
      <c r="A574" s="190"/>
      <c r="B574" s="1"/>
      <c r="C574" s="2"/>
      <c r="D574" s="2"/>
      <c r="E574" s="2"/>
      <c r="F574" s="2"/>
      <c r="G574" s="2"/>
      <c r="H574" s="2"/>
      <c r="I574" s="2"/>
      <c r="J574" s="2"/>
      <c r="K574" s="2"/>
    </row>
    <row r="575" spans="1:12">
      <c r="A575" s="190"/>
      <c r="B575" s="190"/>
      <c r="C575" s="207"/>
      <c r="D575" s="207"/>
      <c r="E575" s="208"/>
      <c r="F575" s="208"/>
      <c r="G575" s="208"/>
      <c r="H575" s="208"/>
      <c r="I575" s="208"/>
      <c r="J575" s="208"/>
      <c r="K575" s="208"/>
    </row>
    <row r="576" spans="1:12">
      <c r="A576" s="190"/>
      <c r="B576" s="190"/>
      <c r="C576" s="207"/>
      <c r="D576" s="207"/>
      <c r="E576" s="208"/>
      <c r="F576" s="208"/>
      <c r="G576" s="208"/>
      <c r="H576" s="208"/>
      <c r="I576" s="208"/>
      <c r="J576" s="208"/>
      <c r="K576" s="208"/>
    </row>
    <row r="577" spans="1:11" ht="18.75" customHeight="1">
      <c r="A577" s="190"/>
      <c r="B577" s="523" t="s">
        <v>1085</v>
      </c>
      <c r="C577" s="523"/>
      <c r="D577" s="523"/>
      <c r="E577" s="523"/>
      <c r="F577" s="523"/>
      <c r="G577" s="523"/>
      <c r="H577" s="523"/>
      <c r="I577" s="523"/>
      <c r="J577" s="523"/>
      <c r="K577" s="523"/>
    </row>
    <row r="578" spans="1:11" ht="15">
      <c r="A578" s="190"/>
      <c r="B578" s="80"/>
      <c r="C578" s="3"/>
      <c r="D578" s="2"/>
      <c r="E578" s="2"/>
      <c r="F578" s="2"/>
      <c r="G578" s="2"/>
      <c r="H578" s="2"/>
      <c r="I578" s="2"/>
      <c r="J578" s="2"/>
      <c r="K578" s="2"/>
    </row>
    <row r="579" spans="1:11" ht="12.75" customHeight="1">
      <c r="A579" s="190"/>
      <c r="B579" s="529" t="s">
        <v>1086</v>
      </c>
      <c r="C579" s="529"/>
      <c r="D579" s="529"/>
      <c r="E579" s="529"/>
      <c r="F579" s="529"/>
      <c r="G579" s="529"/>
      <c r="H579" s="529"/>
      <c r="I579" s="529"/>
      <c r="J579" s="529"/>
      <c r="K579" s="529"/>
    </row>
    <row r="580" spans="1:11" ht="12.75" customHeight="1">
      <c r="A580" s="190"/>
      <c r="B580" s="529"/>
      <c r="C580" s="529"/>
      <c r="D580" s="529"/>
      <c r="E580" s="529"/>
      <c r="F580" s="529"/>
      <c r="G580" s="529"/>
      <c r="H580" s="529"/>
      <c r="I580" s="529"/>
      <c r="J580" s="529"/>
      <c r="K580" s="529"/>
    </row>
    <row r="581" spans="1:11" ht="12.75" customHeight="1">
      <c r="A581" s="190"/>
      <c r="B581" s="529"/>
      <c r="C581" s="529"/>
      <c r="D581" s="529"/>
      <c r="E581" s="529"/>
      <c r="F581" s="529"/>
      <c r="G581" s="529"/>
      <c r="H581" s="529"/>
      <c r="I581" s="529"/>
      <c r="J581" s="529"/>
      <c r="K581" s="529"/>
    </row>
    <row r="582" spans="1:11" ht="23.25" customHeight="1">
      <c r="A582" s="190"/>
      <c r="B582" s="529"/>
      <c r="C582" s="529"/>
      <c r="D582" s="529"/>
      <c r="E582" s="529"/>
      <c r="F582" s="529"/>
      <c r="G582" s="529"/>
      <c r="H582" s="529"/>
      <c r="I582" s="529"/>
      <c r="J582" s="529"/>
      <c r="K582" s="529"/>
    </row>
    <row r="583" spans="1:11" ht="15">
      <c r="A583" s="190"/>
      <c r="B583" s="5"/>
      <c r="C583" s="80"/>
      <c r="D583" s="81"/>
      <c r="E583" s="80" t="s">
        <v>312</v>
      </c>
      <c r="F583" s="1"/>
      <c r="G583" s="1"/>
      <c r="H583" s="1"/>
      <c r="I583" s="1"/>
      <c r="J583" s="1"/>
      <c r="K583" s="1"/>
    </row>
    <row r="584" spans="1:11" ht="15">
      <c r="A584" s="190"/>
      <c r="B584" s="81"/>
      <c r="C584" s="80" t="s">
        <v>23</v>
      </c>
      <c r="D584" s="104" t="s">
        <v>253</v>
      </c>
      <c r="E584" s="81" t="s">
        <v>1045</v>
      </c>
      <c r="F584" s="81" t="s">
        <v>312</v>
      </c>
      <c r="G584" s="81" t="s">
        <v>313</v>
      </c>
      <c r="H584" s="81" t="s">
        <v>329</v>
      </c>
      <c r="I584" s="81" t="s">
        <v>332</v>
      </c>
      <c r="J584" s="81" t="s">
        <v>333</v>
      </c>
      <c r="K584" s="81" t="s">
        <v>1224</v>
      </c>
    </row>
    <row r="585" spans="1:11" ht="15.75" thickBot="1">
      <c r="A585" s="190"/>
      <c r="B585" s="209"/>
      <c r="C585" s="83" t="s">
        <v>1</v>
      </c>
      <c r="D585" s="83" t="s">
        <v>1</v>
      </c>
      <c r="E585" s="83" t="s">
        <v>987</v>
      </c>
      <c r="F585" s="83" t="s">
        <v>24</v>
      </c>
      <c r="G585" s="83" t="s">
        <v>1045</v>
      </c>
      <c r="H585" s="83" t="s">
        <v>24</v>
      </c>
      <c r="I585" s="83" t="s">
        <v>24</v>
      </c>
      <c r="J585" s="83" t="s">
        <v>24</v>
      </c>
      <c r="K585" s="83" t="s">
        <v>24</v>
      </c>
    </row>
    <row r="586" spans="1:11" ht="7.5" customHeight="1">
      <c r="A586" s="190"/>
      <c r="B586" s="79"/>
      <c r="C586" s="210"/>
      <c r="D586" s="2"/>
      <c r="E586" s="2"/>
      <c r="F586" s="2"/>
      <c r="G586" s="2"/>
      <c r="H586" s="2"/>
      <c r="I586" s="2"/>
      <c r="J586" s="2"/>
      <c r="K586" s="2"/>
    </row>
    <row r="587" spans="1:11" ht="15">
      <c r="A587" s="190"/>
      <c r="B587" s="198" t="s">
        <v>1046</v>
      </c>
      <c r="C587" s="2"/>
      <c r="D587" s="2"/>
      <c r="E587" s="2"/>
      <c r="F587" s="2"/>
      <c r="G587" s="2"/>
      <c r="H587" s="2"/>
      <c r="I587" s="2"/>
      <c r="J587" s="2"/>
      <c r="K587" s="2"/>
    </row>
    <row r="588" spans="1:11" ht="20.100000000000001" customHeight="1">
      <c r="A588" s="190"/>
      <c r="B588" s="5" t="s">
        <v>1051</v>
      </c>
      <c r="C588" s="2">
        <f>SUM('Budget Detail FY 2013-18'!N808:N812)</f>
        <v>220962</v>
      </c>
      <c r="D588" s="2">
        <f>SUM('Budget Detail FY 2013-18'!O808:O812)</f>
        <v>265699</v>
      </c>
      <c r="E588" s="2">
        <f>SUM('Budget Detail FY 2013-18'!P808:P812)</f>
        <v>220000</v>
      </c>
      <c r="F588" s="2">
        <f>SUM('Budget Detail FY 2013-18'!Q808:Q812)</f>
        <v>248500</v>
      </c>
      <c r="G588" s="2">
        <f>SUM('Budget Detail FY 2013-18'!R808:R812)</f>
        <v>240000</v>
      </c>
      <c r="H588" s="2">
        <f>SUM('Budget Detail FY 2013-18'!S808:S812)</f>
        <v>240000</v>
      </c>
      <c r="I588" s="2">
        <f>SUM('Budget Detail FY 2013-18'!T808:T812)</f>
        <v>240000</v>
      </c>
      <c r="J588" s="2">
        <f>SUM('Budget Detail FY 2013-18'!U808:U812)</f>
        <v>240000</v>
      </c>
      <c r="K588" s="2">
        <f>SUM('Budget Detail FY 2013-18'!V808:V812)</f>
        <v>240000</v>
      </c>
    </row>
    <row r="589" spans="1:11" ht="20.100000000000001" customHeight="1">
      <c r="A589" s="190"/>
      <c r="B589" s="5" t="s">
        <v>1052</v>
      </c>
      <c r="C589" s="2">
        <f>'Budget Detail FY 2013-18'!N813</f>
        <v>301</v>
      </c>
      <c r="D589" s="2">
        <f>'Budget Detail FY 2013-18'!O813</f>
        <v>175</v>
      </c>
      <c r="E589" s="2">
        <f>'Budget Detail FY 2013-18'!P813</f>
        <v>200</v>
      </c>
      <c r="F589" s="2">
        <f>'Budget Detail FY 2013-18'!Q813</f>
        <v>250</v>
      </c>
      <c r="G589" s="2">
        <f>'Budget Detail FY 2013-18'!R813</f>
        <v>200</v>
      </c>
      <c r="H589" s="2">
        <f>'Budget Detail FY 2013-18'!S813</f>
        <v>200</v>
      </c>
      <c r="I589" s="2">
        <f>'Budget Detail FY 2013-18'!T813</f>
        <v>200</v>
      </c>
      <c r="J589" s="2">
        <f>'Budget Detail FY 2013-18'!U813</f>
        <v>200</v>
      </c>
      <c r="K589" s="2">
        <f>'Budget Detail FY 2013-18'!V813</f>
        <v>200</v>
      </c>
    </row>
    <row r="590" spans="1:11" ht="20.100000000000001" customHeight="1">
      <c r="A590" s="190"/>
      <c r="B590" s="5" t="s">
        <v>1053</v>
      </c>
      <c r="C590" s="2">
        <f>SUM('Budget Detail FY 2013-18'!N814:N815)</f>
        <v>7329</v>
      </c>
      <c r="D590" s="2">
        <f>SUM('Budget Detail FY 2013-18'!O814:O815)</f>
        <v>3336</v>
      </c>
      <c r="E590" s="2">
        <f>SUM('Budget Detail FY 2013-18'!P814:P815)</f>
        <v>11661</v>
      </c>
      <c r="F590" s="2">
        <f>SUM('Budget Detail FY 2013-18'!Q814:Q815)</f>
        <v>12265</v>
      </c>
      <c r="G590" s="2">
        <f>SUM('Budget Detail FY 2013-18'!R814:R815)</f>
        <v>0</v>
      </c>
      <c r="H590" s="2">
        <f>SUM('Budget Detail FY 2013-18'!S814:S815)</f>
        <v>0</v>
      </c>
      <c r="I590" s="2">
        <f>SUM('Budget Detail FY 2013-18'!T814:T815)</f>
        <v>0</v>
      </c>
      <c r="J590" s="2">
        <f>SUM('Budget Detail FY 2013-18'!U814:U815)</f>
        <v>0</v>
      </c>
      <c r="K590" s="2">
        <f>SUM('Budget Detail FY 2013-18'!V814:V815)</f>
        <v>0</v>
      </c>
    </row>
    <row r="591" spans="1:11" ht="20.100000000000001" customHeight="1">
      <c r="A591" s="190"/>
      <c r="B591" s="5" t="s">
        <v>1054</v>
      </c>
      <c r="C591" s="2">
        <f>SUM('Budget Detail FY 2013-18'!N816:N820)</f>
        <v>186780</v>
      </c>
      <c r="D591" s="2">
        <f>SUM('Budget Detail FY 2013-18'!O816:O820)</f>
        <v>193688</v>
      </c>
      <c r="E591" s="2">
        <f>SUM('Budget Detail FY 2013-18'!P816:P820)</f>
        <v>263700</v>
      </c>
      <c r="F591" s="2">
        <f>SUM('Budget Detail FY 2013-18'!Q816:Q820)</f>
        <v>202235</v>
      </c>
      <c r="G591" s="2">
        <f>SUM('Budget Detail FY 2013-18'!R816:R820)</f>
        <v>223000</v>
      </c>
      <c r="H591" s="2">
        <f>SUM('Budget Detail FY 2013-18'!S816:S820)</f>
        <v>223000</v>
      </c>
      <c r="I591" s="2">
        <f>SUM('Budget Detail FY 2013-18'!T816:T820)</f>
        <v>223000</v>
      </c>
      <c r="J591" s="2">
        <f>SUM('Budget Detail FY 2013-18'!U816:U820)</f>
        <v>223000</v>
      </c>
      <c r="K591" s="2">
        <f>SUM('Budget Detail FY 2013-18'!V816:V820)</f>
        <v>232700</v>
      </c>
    </row>
    <row r="592" spans="1:11" ht="20.100000000000001" customHeight="1">
      <c r="A592" s="190"/>
      <c r="B592" s="5" t="s">
        <v>1055</v>
      </c>
      <c r="C592" s="2">
        <f>'Budget Detail FY 2013-18'!N821</f>
        <v>951890</v>
      </c>
      <c r="D592" s="2">
        <f>'Budget Detail FY 2013-18'!O821</f>
        <v>736710</v>
      </c>
      <c r="E592" s="2">
        <f>'Budget Detail FY 2013-18'!P821</f>
        <v>955886</v>
      </c>
      <c r="F592" s="2">
        <f>'Budget Detail FY 2013-18'!Q821</f>
        <v>955886</v>
      </c>
      <c r="G592" s="2">
        <f>'Budget Detail FY 2013-18'!R821</f>
        <v>1765504</v>
      </c>
      <c r="H592" s="2">
        <f>'Budget Detail FY 2013-18'!S821</f>
        <v>1110111</v>
      </c>
      <c r="I592" s="2">
        <f>'Budget Detail FY 2013-18'!T821</f>
        <v>1192708</v>
      </c>
      <c r="J592" s="2">
        <f>'Budget Detail FY 2013-18'!U821</f>
        <v>1217069</v>
      </c>
      <c r="K592" s="2">
        <f>'Budget Detail FY 2013-18'!V821</f>
        <v>1229444</v>
      </c>
    </row>
    <row r="593" spans="1:12" ht="20.100000000000001" customHeight="1" thickBot="1">
      <c r="A593" s="190"/>
      <c r="B593" s="193" t="s">
        <v>1056</v>
      </c>
      <c r="C593" s="188">
        <f>SUM(C588:C592)</f>
        <v>1367262</v>
      </c>
      <c r="D593" s="188">
        <f t="shared" ref="D593:K593" si="93">SUM(D588:D592)</f>
        <v>1199608</v>
      </c>
      <c r="E593" s="188">
        <f t="shared" si="93"/>
        <v>1451447</v>
      </c>
      <c r="F593" s="188">
        <f t="shared" si="93"/>
        <v>1419136</v>
      </c>
      <c r="G593" s="188">
        <f t="shared" si="93"/>
        <v>2228704</v>
      </c>
      <c r="H593" s="188">
        <f t="shared" si="93"/>
        <v>1573311</v>
      </c>
      <c r="I593" s="188">
        <f t="shared" si="93"/>
        <v>1655908</v>
      </c>
      <c r="J593" s="188">
        <f t="shared" si="93"/>
        <v>1680269</v>
      </c>
      <c r="K593" s="188">
        <f t="shared" si="93"/>
        <v>1702344</v>
      </c>
    </row>
    <row r="594" spans="1:12" s="152" customFormat="1" ht="15" hidden="1" customHeight="1">
      <c r="A594" s="194"/>
      <c r="B594" s="195"/>
      <c r="C594" s="163">
        <f>'Budget Detail FY 2013-18'!N823</f>
        <v>1367262</v>
      </c>
      <c r="D594" s="163">
        <f>'Budget Detail FY 2013-18'!O823</f>
        <v>1199608</v>
      </c>
      <c r="E594" s="163">
        <f>'Budget Detail FY 2013-18'!P823</f>
        <v>1451447</v>
      </c>
      <c r="F594" s="163">
        <f>'Budget Detail FY 2013-18'!Q823</f>
        <v>1419136</v>
      </c>
      <c r="G594" s="163">
        <f>'Budget Detail FY 2013-18'!R823</f>
        <v>2228704</v>
      </c>
      <c r="H594" s="163">
        <f>'Budget Detail FY 2013-18'!S823</f>
        <v>1573311</v>
      </c>
      <c r="I594" s="163">
        <f>'Budget Detail FY 2013-18'!T823</f>
        <v>1655908</v>
      </c>
      <c r="J594" s="163">
        <f>'Budget Detail FY 2013-18'!U823</f>
        <v>1680269</v>
      </c>
      <c r="K594" s="163">
        <f>'Budget Detail FY 2013-18'!V823</f>
        <v>1702344</v>
      </c>
      <c r="L594" s="166" t="s">
        <v>1462</v>
      </c>
    </row>
    <row r="595" spans="1:12" s="158" customFormat="1" ht="14.25" hidden="1" customHeight="1">
      <c r="A595" s="196"/>
      <c r="B595" s="197"/>
      <c r="C595" s="164">
        <f>C593-C594</f>
        <v>0</v>
      </c>
      <c r="D595" s="164">
        <f t="shared" ref="D595:K595" si="94">D593-D594</f>
        <v>0</v>
      </c>
      <c r="E595" s="164">
        <f t="shared" si="94"/>
        <v>0</v>
      </c>
      <c r="F595" s="164">
        <f t="shared" si="94"/>
        <v>0</v>
      </c>
      <c r="G595" s="164">
        <f t="shared" si="94"/>
        <v>0</v>
      </c>
      <c r="H595" s="164">
        <f t="shared" si="94"/>
        <v>0</v>
      </c>
      <c r="I595" s="164">
        <f t="shared" si="94"/>
        <v>0</v>
      </c>
      <c r="J595" s="164">
        <f t="shared" si="94"/>
        <v>0</v>
      </c>
      <c r="K595" s="164">
        <f t="shared" si="94"/>
        <v>0</v>
      </c>
      <c r="L595" s="167" t="s">
        <v>1463</v>
      </c>
    </row>
    <row r="596" spans="1:12" ht="7.5" customHeight="1">
      <c r="A596" s="190"/>
      <c r="B596" s="1"/>
      <c r="C596" s="2"/>
      <c r="D596" s="2"/>
      <c r="E596" s="2"/>
      <c r="F596" s="2"/>
      <c r="G596" s="2"/>
      <c r="H596" s="2"/>
      <c r="I596" s="2"/>
      <c r="J596" s="2"/>
      <c r="K596" s="2"/>
    </row>
    <row r="597" spans="1:12" ht="15">
      <c r="A597" s="190"/>
      <c r="B597" s="198" t="s">
        <v>761</v>
      </c>
      <c r="C597" s="2"/>
      <c r="D597" s="2"/>
      <c r="E597" s="2"/>
      <c r="F597" s="2"/>
      <c r="G597" s="2"/>
      <c r="H597" s="2"/>
      <c r="I597" s="2"/>
      <c r="J597" s="2"/>
      <c r="K597" s="2"/>
    </row>
    <row r="598" spans="1:12" ht="20.100000000000001" customHeight="1">
      <c r="A598" s="190"/>
      <c r="B598" s="199" t="s">
        <v>1057</v>
      </c>
      <c r="C598" s="2">
        <f>SUM('Budget Detail FY 2013-18'!N826:N828)+SUM('Budget Detail FY 2013-18'!N852:N857)</f>
        <v>687511</v>
      </c>
      <c r="D598" s="2">
        <f>SUM('Budget Detail FY 2013-18'!O826:O828)+SUM('Budget Detail FY 2013-18'!O852:O857)</f>
        <v>651906</v>
      </c>
      <c r="E598" s="2">
        <f>SUM('Budget Detail FY 2013-18'!P826:P828)+SUM('Budget Detail FY 2013-18'!P852:P857)</f>
        <v>702800</v>
      </c>
      <c r="F598" s="2">
        <f>SUM('Budget Detail FY 2013-18'!Q826:Q828)+SUM('Budget Detail FY 2013-18'!Q852:Q857)</f>
        <v>665800</v>
      </c>
      <c r="G598" s="2">
        <f>SUM('Budget Detail FY 2013-18'!R826:R828)+SUM('Budget Detail FY 2013-18'!R852:R857)</f>
        <v>771493</v>
      </c>
      <c r="H598" s="2">
        <f>SUM('Budget Detail FY 2013-18'!S826:S828)+SUM('Budget Detail FY 2013-18'!S852:S857)</f>
        <v>772993</v>
      </c>
      <c r="I598" s="2">
        <f>SUM('Budget Detail FY 2013-18'!T826:T828)+SUM('Budget Detail FY 2013-18'!T852:T857)</f>
        <v>774568</v>
      </c>
      <c r="J598" s="2">
        <f>SUM('Budget Detail FY 2013-18'!U826:U828)+SUM('Budget Detail FY 2013-18'!U852:U857)</f>
        <v>776222</v>
      </c>
      <c r="K598" s="2">
        <f>SUM('Budget Detail FY 2013-18'!V826:V828)+SUM('Budget Detail FY 2013-18'!V852:V857)</f>
        <v>777958</v>
      </c>
    </row>
    <row r="599" spans="1:12" ht="20.100000000000001" customHeight="1">
      <c r="A599" s="190"/>
      <c r="B599" s="199" t="s">
        <v>1058</v>
      </c>
      <c r="C599" s="2">
        <f>SUM('Budget Detail FY 2013-18'!N829:N834)+SUM('Budget Detail FY 2013-18'!N858:N863)</f>
        <v>109114</v>
      </c>
      <c r="D599" s="2">
        <f>SUM('Budget Detail FY 2013-18'!O829:O834)+SUM('Budget Detail FY 2013-18'!O858:O863)</f>
        <v>107010</v>
      </c>
      <c r="E599" s="2">
        <f>SUM('Budget Detail FY 2013-18'!P829:P834)+SUM('Budget Detail FY 2013-18'!P858:P863)</f>
        <v>296477</v>
      </c>
      <c r="F599" s="2">
        <f>SUM('Budget Detail FY 2013-18'!Q829:Q834)+SUM('Budget Detail FY 2013-18'!Q858:Q863)</f>
        <v>302766</v>
      </c>
      <c r="G599" s="2">
        <f>SUM('Budget Detail FY 2013-18'!R829:R834)+SUM('Budget Detail FY 2013-18'!R858:R863)</f>
        <v>351668</v>
      </c>
      <c r="H599" s="2">
        <f>SUM('Budget Detail FY 2013-18'!S829:S834)+SUM('Budget Detail FY 2013-18'!S858:S863)</f>
        <v>373476</v>
      </c>
      <c r="I599" s="2">
        <f>SUM('Budget Detail FY 2013-18'!T829:T834)+SUM('Budget Detail FY 2013-18'!T858:T863)</f>
        <v>397463</v>
      </c>
      <c r="J599" s="2">
        <f>SUM('Budget Detail FY 2013-18'!U829:U834)+SUM('Budget Detail FY 2013-18'!U858:U863)</f>
        <v>413300</v>
      </c>
      <c r="K599" s="2">
        <f>SUM('Budget Detail FY 2013-18'!V829:V834)+SUM('Budget Detail FY 2013-18'!V858:V863)</f>
        <v>430087</v>
      </c>
    </row>
    <row r="600" spans="1:12" ht="20.100000000000001" customHeight="1">
      <c r="A600" s="190"/>
      <c r="B600" s="199" t="s">
        <v>1059</v>
      </c>
      <c r="C600" s="2">
        <f>SUM('Budget Detail FY 2013-18'!N835:N841)+SUM('Budget Detail FY 2013-18'!N864:N876)</f>
        <v>126382</v>
      </c>
      <c r="D600" s="2">
        <f>SUM('Budget Detail FY 2013-18'!O835:O841)+SUM('Budget Detail FY 2013-18'!O864:O876)</f>
        <v>147598</v>
      </c>
      <c r="E600" s="2">
        <f>SUM('Budget Detail FY 2013-18'!P835:P841)+SUM('Budget Detail FY 2013-18'!P864:P876)</f>
        <v>177530</v>
      </c>
      <c r="F600" s="2">
        <f>SUM('Budget Detail FY 2013-18'!Q835:Q841)+SUM('Budget Detail FY 2013-18'!Q864:Q876)</f>
        <v>161630</v>
      </c>
      <c r="G600" s="2">
        <f>SUM('Budget Detail FY 2013-18'!R835:R841)+SUM('Budget Detail FY 2013-18'!R864:R876)</f>
        <v>227280</v>
      </c>
      <c r="H600" s="2">
        <f>SUM('Budget Detail FY 2013-18'!S835:S841)+SUM('Budget Detail FY 2013-18'!S864:S876)</f>
        <v>222530</v>
      </c>
      <c r="I600" s="2">
        <f>SUM('Budget Detail FY 2013-18'!T835:T841)+SUM('Budget Detail FY 2013-18'!T864:T876)</f>
        <v>196993</v>
      </c>
      <c r="J600" s="2">
        <f>SUM('Budget Detail FY 2013-18'!U835:U841)+SUM('Budget Detail FY 2013-18'!U864:U876)</f>
        <v>201679</v>
      </c>
      <c r="K600" s="2">
        <f>SUM('Budget Detail FY 2013-18'!V835:V841)+SUM('Budget Detail FY 2013-18'!V864:V876)</f>
        <v>206598</v>
      </c>
    </row>
    <row r="601" spans="1:12" ht="20.100000000000001" customHeight="1">
      <c r="A601" s="190"/>
      <c r="B601" s="199" t="s">
        <v>1060</v>
      </c>
      <c r="C601" s="2">
        <f>SUM('Budget Detail FY 2013-18'!N842:N848)+SUM('Budget Detail FY 2013-18'!N877:N887)</f>
        <v>237847</v>
      </c>
      <c r="D601" s="2">
        <f>SUM('Budget Detail FY 2013-18'!O842:O848)+SUM('Budget Detail FY 2013-18'!O877:O887)</f>
        <v>244584</v>
      </c>
      <c r="E601" s="2">
        <f>SUM('Budget Detail FY 2013-18'!P842:P848)+SUM('Budget Detail FY 2013-18'!P877:P887)</f>
        <v>329960</v>
      </c>
      <c r="F601" s="2">
        <f>SUM('Budget Detail FY 2013-18'!Q842:Q848)+SUM('Budget Detail FY 2013-18'!Q877:Q887)</f>
        <v>275962</v>
      </c>
      <c r="G601" s="2">
        <f>SUM('Budget Detail FY 2013-18'!R842:R848)+SUM('Budget Detail FY 2013-18'!R877:R887)</f>
        <v>291650</v>
      </c>
      <c r="H601" s="2">
        <f>SUM('Budget Detail FY 2013-18'!S842:S848)+SUM('Budget Detail FY 2013-18'!S877:S887)</f>
        <v>293358</v>
      </c>
      <c r="I601" s="2">
        <f>SUM('Budget Detail FY 2013-18'!T842:T848)+SUM('Budget Detail FY 2013-18'!T877:T887)</f>
        <v>295186</v>
      </c>
      <c r="J601" s="2">
        <f>SUM('Budget Detail FY 2013-18'!U842:U848)+SUM('Budget Detail FY 2013-18'!U877:U887)</f>
        <v>297141</v>
      </c>
      <c r="K601" s="2">
        <f>SUM('Budget Detail FY 2013-18'!V842:V848)+SUM('Budget Detail FY 2013-18'!V877:V887)</f>
        <v>299233</v>
      </c>
    </row>
    <row r="602" spans="1:12" ht="20.100000000000001" customHeight="1">
      <c r="A602" s="190"/>
      <c r="B602" s="205" t="s">
        <v>1063</v>
      </c>
      <c r="C602" s="2">
        <f>'Budget Detail FY 2013-18'!N888</f>
        <v>0</v>
      </c>
      <c r="D602" s="2">
        <f>'Budget Detail FY 2013-18'!O888</f>
        <v>0</v>
      </c>
      <c r="E602" s="2">
        <f>'Budget Detail FY 2013-18'!P888</f>
        <v>0</v>
      </c>
      <c r="F602" s="2">
        <f>'Budget Detail FY 2013-18'!Q888</f>
        <v>0</v>
      </c>
      <c r="G602" s="2">
        <f>'Budget Detail FY 2013-18'!R888</f>
        <v>556957</v>
      </c>
      <c r="H602" s="2">
        <f>'Budget Detail FY 2013-18'!S888</f>
        <v>0</v>
      </c>
      <c r="I602" s="2">
        <f>'Budget Detail FY 2013-18'!T888</f>
        <v>0</v>
      </c>
      <c r="J602" s="2">
        <f>'Budget Detail FY 2013-18'!U888</f>
        <v>0</v>
      </c>
      <c r="K602" s="2">
        <f>'Budget Detail FY 2013-18'!V888</f>
        <v>0</v>
      </c>
    </row>
    <row r="603" spans="1:12" ht="20.100000000000001" customHeight="1" thickBot="1">
      <c r="A603" s="190"/>
      <c r="B603" s="193" t="s">
        <v>1064</v>
      </c>
      <c r="C603" s="188">
        <f>SUM(C598:C602)</f>
        <v>1160854</v>
      </c>
      <c r="D603" s="188">
        <f t="shared" ref="D603:K603" si="95">SUM(D598:D602)</f>
        <v>1151098</v>
      </c>
      <c r="E603" s="188">
        <f t="shared" si="95"/>
        <v>1506767</v>
      </c>
      <c r="F603" s="188">
        <f t="shared" si="95"/>
        <v>1406158</v>
      </c>
      <c r="G603" s="188">
        <f t="shared" si="95"/>
        <v>2199048</v>
      </c>
      <c r="H603" s="188">
        <f t="shared" si="95"/>
        <v>1662357</v>
      </c>
      <c r="I603" s="188">
        <f t="shared" si="95"/>
        <v>1664210</v>
      </c>
      <c r="J603" s="188">
        <f t="shared" si="95"/>
        <v>1688342</v>
      </c>
      <c r="K603" s="188">
        <f t="shared" si="95"/>
        <v>1713876</v>
      </c>
    </row>
    <row r="604" spans="1:12" s="152" customFormat="1" ht="15" hidden="1" customHeight="1">
      <c r="A604" s="194"/>
      <c r="B604" s="195"/>
      <c r="C604" s="163">
        <f>'Budget Detail FY 2013-18'!N891</f>
        <v>1160854</v>
      </c>
      <c r="D604" s="163">
        <f>'Budget Detail FY 2013-18'!O891</f>
        <v>1151098</v>
      </c>
      <c r="E604" s="163">
        <f>'Budget Detail FY 2013-18'!P891</f>
        <v>1506767</v>
      </c>
      <c r="F604" s="163">
        <f>'Budget Detail FY 2013-18'!Q891</f>
        <v>1406158</v>
      </c>
      <c r="G604" s="163">
        <f>'Budget Detail FY 2013-18'!R891</f>
        <v>2199048</v>
      </c>
      <c r="H604" s="163">
        <f>'Budget Detail FY 2013-18'!S891</f>
        <v>1662357</v>
      </c>
      <c r="I604" s="163">
        <f>'Budget Detail FY 2013-18'!T891</f>
        <v>1664210</v>
      </c>
      <c r="J604" s="163">
        <f>'Budget Detail FY 2013-18'!U891</f>
        <v>1688342</v>
      </c>
      <c r="K604" s="163">
        <f>'Budget Detail FY 2013-18'!V891</f>
        <v>1713876</v>
      </c>
      <c r="L604" s="166" t="s">
        <v>1462</v>
      </c>
    </row>
    <row r="605" spans="1:12" s="158" customFormat="1" ht="15" hidden="1" customHeight="1">
      <c r="A605" s="196"/>
      <c r="B605" s="197"/>
      <c r="C605" s="203">
        <f>C603-C604</f>
        <v>0</v>
      </c>
      <c r="D605" s="203">
        <f t="shared" ref="D605:K605" si="96">D603-D604</f>
        <v>0</v>
      </c>
      <c r="E605" s="203">
        <f t="shared" si="96"/>
        <v>0</v>
      </c>
      <c r="F605" s="203">
        <f t="shared" si="96"/>
        <v>0</v>
      </c>
      <c r="G605" s="203">
        <f t="shared" si="96"/>
        <v>0</v>
      </c>
      <c r="H605" s="203">
        <f t="shared" si="96"/>
        <v>0</v>
      </c>
      <c r="I605" s="203">
        <f t="shared" si="96"/>
        <v>0</v>
      </c>
      <c r="J605" s="203">
        <f t="shared" si="96"/>
        <v>0</v>
      </c>
      <c r="K605" s="203">
        <f t="shared" si="96"/>
        <v>0</v>
      </c>
      <c r="L605" s="167" t="s">
        <v>1463</v>
      </c>
    </row>
    <row r="606" spans="1:12" ht="7.5" customHeight="1">
      <c r="A606" s="190"/>
      <c r="B606" s="200"/>
      <c r="C606" s="3"/>
      <c r="D606" s="2"/>
      <c r="E606" s="2"/>
      <c r="F606" s="2"/>
      <c r="G606" s="2"/>
      <c r="H606" s="2"/>
      <c r="I606" s="2"/>
      <c r="J606" s="2"/>
      <c r="K606" s="2"/>
    </row>
    <row r="607" spans="1:12" ht="20.100000000000001" customHeight="1">
      <c r="A607" s="190"/>
      <c r="B607" s="189" t="s">
        <v>1065</v>
      </c>
      <c r="C607" s="3">
        <f t="shared" ref="C607:K607" si="97">+C593-C603</f>
        <v>206408</v>
      </c>
      <c r="D607" s="3">
        <f t="shared" si="97"/>
        <v>48510</v>
      </c>
      <c r="E607" s="3">
        <f t="shared" si="97"/>
        <v>-55320</v>
      </c>
      <c r="F607" s="3">
        <f t="shared" si="97"/>
        <v>12978</v>
      </c>
      <c r="G607" s="3">
        <f t="shared" si="97"/>
        <v>29656</v>
      </c>
      <c r="H607" s="3">
        <f t="shared" si="97"/>
        <v>-89046</v>
      </c>
      <c r="I607" s="3">
        <f t="shared" si="97"/>
        <v>-8302</v>
      </c>
      <c r="J607" s="3">
        <f t="shared" si="97"/>
        <v>-8073</v>
      </c>
      <c r="K607" s="3">
        <f t="shared" si="97"/>
        <v>-11532</v>
      </c>
    </row>
    <row r="608" spans="1:12" s="152" customFormat="1" ht="15" hidden="1" customHeight="1">
      <c r="A608" s="194"/>
      <c r="B608" s="201"/>
      <c r="C608" s="163">
        <f>'Budget Detail FY 2013-18'!N893</f>
        <v>206408</v>
      </c>
      <c r="D608" s="163">
        <f>'Budget Detail FY 2013-18'!O893</f>
        <v>48510</v>
      </c>
      <c r="E608" s="163">
        <f>'Budget Detail FY 2013-18'!P893</f>
        <v>-55320</v>
      </c>
      <c r="F608" s="163">
        <f>'Budget Detail FY 2013-18'!Q893</f>
        <v>12978</v>
      </c>
      <c r="G608" s="163">
        <f>'Budget Detail FY 2013-18'!R893</f>
        <v>29656</v>
      </c>
      <c r="H608" s="163">
        <f>'Budget Detail FY 2013-18'!S893</f>
        <v>-89046</v>
      </c>
      <c r="I608" s="163">
        <f>'Budget Detail FY 2013-18'!T893</f>
        <v>-8302</v>
      </c>
      <c r="J608" s="163">
        <f>'Budget Detail FY 2013-18'!U893</f>
        <v>-8073</v>
      </c>
      <c r="K608" s="163">
        <f>'Budget Detail FY 2013-18'!V893</f>
        <v>-11532</v>
      </c>
      <c r="L608" s="166" t="s">
        <v>1462</v>
      </c>
    </row>
    <row r="609" spans="1:12" s="158" customFormat="1" ht="15" hidden="1" customHeight="1">
      <c r="A609" s="196"/>
      <c r="B609" s="202"/>
      <c r="C609" s="203">
        <f>C607-C608</f>
        <v>0</v>
      </c>
      <c r="D609" s="203">
        <f t="shared" ref="D609:K609" si="98">D607-D608</f>
        <v>0</v>
      </c>
      <c r="E609" s="203">
        <f t="shared" si="98"/>
        <v>0</v>
      </c>
      <c r="F609" s="203">
        <f t="shared" si="98"/>
        <v>0</v>
      </c>
      <c r="G609" s="203">
        <f t="shared" si="98"/>
        <v>0</v>
      </c>
      <c r="H609" s="203">
        <f t="shared" si="98"/>
        <v>0</v>
      </c>
      <c r="I609" s="203">
        <f t="shared" si="98"/>
        <v>0</v>
      </c>
      <c r="J609" s="203">
        <f t="shared" si="98"/>
        <v>0</v>
      </c>
      <c r="K609" s="203">
        <f t="shared" si="98"/>
        <v>0</v>
      </c>
      <c r="L609" s="167" t="s">
        <v>1463</v>
      </c>
    </row>
    <row r="610" spans="1:12" ht="7.5" customHeight="1">
      <c r="A610" s="190"/>
      <c r="B610" s="204"/>
      <c r="C610" s="3"/>
      <c r="D610" s="2"/>
      <c r="E610" s="2"/>
      <c r="F610" s="2"/>
      <c r="G610" s="2"/>
      <c r="H610" s="2"/>
      <c r="I610" s="2"/>
      <c r="J610" s="2"/>
      <c r="K610" s="2"/>
    </row>
    <row r="611" spans="1:12" ht="20.100000000000001" customHeight="1" thickBot="1">
      <c r="A611" s="190"/>
      <c r="B611" s="191" t="s">
        <v>1066</v>
      </c>
      <c r="C611" s="99">
        <v>231558</v>
      </c>
      <c r="D611" s="99">
        <v>280065</v>
      </c>
      <c r="E611" s="99">
        <v>185635</v>
      </c>
      <c r="F611" s="99">
        <f>D611+F607</f>
        <v>293043</v>
      </c>
      <c r="G611" s="99">
        <f>F611+G607</f>
        <v>322699</v>
      </c>
      <c r="H611" s="99">
        <f>G611+H607</f>
        <v>233653</v>
      </c>
      <c r="I611" s="99">
        <f>H611+I607</f>
        <v>225351</v>
      </c>
      <c r="J611" s="99">
        <f>I611+J607</f>
        <v>217278</v>
      </c>
      <c r="K611" s="99">
        <f>J611+K607</f>
        <v>205746</v>
      </c>
    </row>
    <row r="612" spans="1:12" s="152" customFormat="1" ht="15.75" hidden="1" thickTop="1">
      <c r="A612" s="194"/>
      <c r="B612" s="195"/>
      <c r="C612" s="163">
        <f>'Budget Detail FY 2013-18'!N895</f>
        <v>231558</v>
      </c>
      <c r="D612" s="163">
        <f>'Budget Detail FY 2013-18'!O895</f>
        <v>280065</v>
      </c>
      <c r="E612" s="163">
        <f>'Budget Detail FY 2013-18'!P895</f>
        <v>185635</v>
      </c>
      <c r="F612" s="163">
        <f>'Budget Detail FY 2013-18'!Q895</f>
        <v>293043</v>
      </c>
      <c r="G612" s="163">
        <f>'Budget Detail FY 2013-18'!R895</f>
        <v>322699</v>
      </c>
      <c r="H612" s="163">
        <f>'Budget Detail FY 2013-18'!S895</f>
        <v>233653</v>
      </c>
      <c r="I612" s="163">
        <f>'Budget Detail FY 2013-18'!T895</f>
        <v>225351</v>
      </c>
      <c r="J612" s="163">
        <f>'Budget Detail FY 2013-18'!U895</f>
        <v>217278</v>
      </c>
      <c r="K612" s="163">
        <f>'Budget Detail FY 2013-18'!V895</f>
        <v>205746</v>
      </c>
      <c r="L612" s="166" t="s">
        <v>1462</v>
      </c>
    </row>
    <row r="613" spans="1:12" s="158" customFormat="1" ht="15" hidden="1">
      <c r="A613" s="196"/>
      <c r="B613" s="197"/>
      <c r="C613" s="203">
        <f>C611-C612</f>
        <v>0</v>
      </c>
      <c r="D613" s="203">
        <f t="shared" ref="D613:K613" si="99">D611-D612</f>
        <v>0</v>
      </c>
      <c r="E613" s="203">
        <f t="shared" si="99"/>
        <v>0</v>
      </c>
      <c r="F613" s="203">
        <f t="shared" si="99"/>
        <v>0</v>
      </c>
      <c r="G613" s="203">
        <f t="shared" si="99"/>
        <v>0</v>
      </c>
      <c r="H613" s="203">
        <f t="shared" si="99"/>
        <v>0</v>
      </c>
      <c r="I613" s="203">
        <f t="shared" si="99"/>
        <v>0</v>
      </c>
      <c r="J613" s="203">
        <f t="shared" si="99"/>
        <v>0</v>
      </c>
      <c r="K613" s="203">
        <f t="shared" si="99"/>
        <v>0</v>
      </c>
      <c r="L613" s="167" t="s">
        <v>1463</v>
      </c>
    </row>
    <row r="614" spans="1:12" ht="15.75" thickTop="1">
      <c r="A614" s="190"/>
      <c r="B614" s="205"/>
      <c r="C614" s="206">
        <f>+C611/C603</f>
        <v>0.19947211277214877</v>
      </c>
      <c r="D614" s="206">
        <f t="shared" ref="D614:J614" si="100">+D611/D603</f>
        <v>0.24330248163058227</v>
      </c>
      <c r="E614" s="206">
        <f t="shared" si="100"/>
        <v>0.1232008664909704</v>
      </c>
      <c r="F614" s="206">
        <f t="shared" si="100"/>
        <v>0.2083997673092213</v>
      </c>
      <c r="G614" s="206">
        <f t="shared" si="100"/>
        <v>0.14674486414121019</v>
      </c>
      <c r="H614" s="206">
        <f t="shared" si="100"/>
        <v>0.14055524775965691</v>
      </c>
      <c r="I614" s="206">
        <f t="shared" si="100"/>
        <v>0.13541019462688003</v>
      </c>
      <c r="J614" s="206">
        <f t="shared" si="100"/>
        <v>0.12869312023274906</v>
      </c>
      <c r="K614" s="206">
        <f>+K611/K603</f>
        <v>0.12004719127871562</v>
      </c>
    </row>
    <row r="615" spans="1:12" ht="7.5" customHeight="1">
      <c r="A615" s="190"/>
      <c r="B615" s="205"/>
      <c r="C615" s="2"/>
      <c r="D615" s="2"/>
      <c r="E615" s="2"/>
      <c r="F615" s="2"/>
      <c r="G615" s="2"/>
      <c r="H615" s="2"/>
      <c r="I615" s="2"/>
      <c r="J615" s="2"/>
      <c r="K615" s="2"/>
    </row>
    <row r="616" spans="1:12" ht="15">
      <c r="A616" s="190"/>
      <c r="B616" s="1"/>
      <c r="C616" s="2"/>
      <c r="D616" s="2"/>
      <c r="E616" s="2"/>
      <c r="F616" s="2"/>
      <c r="G616" s="2"/>
      <c r="H616" s="2"/>
      <c r="I616" s="2"/>
      <c r="J616" s="2"/>
      <c r="K616" s="2"/>
    </row>
    <row r="617" spans="1:12" ht="15">
      <c r="A617" s="190"/>
      <c r="B617" s="1"/>
      <c r="C617" s="2"/>
      <c r="D617" s="2"/>
      <c r="E617" s="2"/>
      <c r="F617" s="2"/>
      <c r="G617" s="2"/>
      <c r="H617" s="2"/>
      <c r="I617" s="2"/>
      <c r="J617" s="2"/>
      <c r="K617" s="2"/>
    </row>
    <row r="618" spans="1:12" ht="15">
      <c r="A618" s="190"/>
      <c r="B618" s="1"/>
      <c r="C618" s="2"/>
      <c r="D618" s="2"/>
      <c r="E618" s="2"/>
      <c r="F618" s="2"/>
      <c r="G618" s="2"/>
      <c r="H618" s="2"/>
      <c r="I618" s="2"/>
      <c r="J618" s="2"/>
      <c r="K618" s="2"/>
    </row>
    <row r="619" spans="1:12" ht="15">
      <c r="A619" s="190"/>
      <c r="B619" s="1"/>
      <c r="C619" s="2"/>
      <c r="D619" s="2"/>
      <c r="E619" s="2"/>
      <c r="F619" s="2"/>
      <c r="G619" s="2"/>
      <c r="H619" s="2"/>
      <c r="I619" s="2"/>
      <c r="J619" s="2"/>
      <c r="K619" s="2"/>
    </row>
    <row r="620" spans="1:12" ht="15">
      <c r="A620" s="190"/>
      <c r="B620" s="1"/>
      <c r="C620" s="2"/>
      <c r="D620" s="2"/>
      <c r="E620" s="2"/>
      <c r="F620" s="2"/>
      <c r="G620" s="2"/>
      <c r="H620" s="2"/>
      <c r="I620" s="2"/>
      <c r="J620" s="2"/>
      <c r="K620" s="2"/>
    </row>
    <row r="621" spans="1:12" ht="15">
      <c r="A621" s="190"/>
      <c r="B621" s="1"/>
      <c r="C621" s="2"/>
      <c r="D621" s="2"/>
      <c r="E621" s="2"/>
      <c r="F621" s="2"/>
      <c r="G621" s="2"/>
      <c r="H621" s="2"/>
      <c r="I621" s="2"/>
      <c r="J621" s="2"/>
      <c r="K621" s="2"/>
    </row>
    <row r="622" spans="1:12" ht="15">
      <c r="A622" s="190"/>
      <c r="B622" s="1"/>
      <c r="C622" s="2"/>
      <c r="D622" s="2"/>
      <c r="E622" s="2"/>
      <c r="F622" s="2"/>
      <c r="G622" s="2"/>
      <c r="H622" s="2"/>
      <c r="I622" s="2"/>
      <c r="J622" s="2"/>
      <c r="K622" s="2"/>
    </row>
    <row r="623" spans="1:12" ht="15">
      <c r="A623" s="190"/>
      <c r="B623" s="1"/>
      <c r="C623" s="2"/>
      <c r="D623" s="2"/>
      <c r="E623" s="2"/>
      <c r="F623" s="2"/>
      <c r="G623" s="2"/>
      <c r="H623" s="2"/>
      <c r="I623" s="2"/>
      <c r="J623" s="2"/>
      <c r="K623" s="2"/>
    </row>
    <row r="624" spans="1:12" ht="15">
      <c r="A624" s="190"/>
      <c r="B624" s="1"/>
      <c r="C624" s="2"/>
      <c r="D624" s="2"/>
      <c r="E624" s="2"/>
      <c r="F624" s="2"/>
      <c r="G624" s="2"/>
      <c r="H624" s="2"/>
      <c r="I624" s="2"/>
      <c r="J624" s="2"/>
      <c r="K624" s="2"/>
    </row>
    <row r="625" spans="1:11" ht="15">
      <c r="A625" s="190"/>
      <c r="B625" s="1"/>
      <c r="C625" s="2"/>
      <c r="D625" s="2"/>
      <c r="E625" s="2"/>
      <c r="F625" s="2"/>
      <c r="G625" s="2"/>
      <c r="H625" s="2"/>
      <c r="I625" s="2"/>
      <c r="J625" s="2"/>
      <c r="K625" s="2"/>
    </row>
    <row r="626" spans="1:11">
      <c r="A626" s="190"/>
      <c r="B626" s="190"/>
      <c r="C626" s="207"/>
      <c r="D626" s="207"/>
      <c r="E626" s="208"/>
      <c r="F626" s="208"/>
      <c r="G626" s="208"/>
      <c r="H626" s="208"/>
      <c r="I626" s="208"/>
      <c r="J626" s="208"/>
      <c r="K626" s="208"/>
    </row>
    <row r="627" spans="1:11">
      <c r="A627" s="190"/>
      <c r="B627" s="190"/>
      <c r="C627" s="207"/>
      <c r="D627" s="207"/>
      <c r="E627" s="208"/>
      <c r="F627" s="208"/>
      <c r="G627" s="208"/>
      <c r="H627" s="208"/>
      <c r="I627" s="208"/>
      <c r="J627" s="208"/>
      <c r="K627" s="208"/>
    </row>
    <row r="628" spans="1:11" ht="18.75" customHeight="1">
      <c r="A628" s="190"/>
      <c r="B628" s="523" t="s">
        <v>1087</v>
      </c>
      <c r="C628" s="523"/>
      <c r="D628" s="523"/>
      <c r="E628" s="523"/>
      <c r="F628" s="523"/>
      <c r="G628" s="523"/>
      <c r="H628" s="523"/>
      <c r="I628" s="523"/>
      <c r="J628" s="523"/>
      <c r="K628" s="523"/>
    </row>
    <row r="629" spans="1:11" ht="15">
      <c r="A629" s="190"/>
      <c r="B629" s="80"/>
      <c r="C629" s="3"/>
      <c r="D629" s="2"/>
      <c r="E629" s="2"/>
      <c r="F629" s="2"/>
      <c r="G629" s="2"/>
      <c r="H629" s="2"/>
      <c r="I629" s="2"/>
      <c r="J629" s="2"/>
      <c r="K629" s="2"/>
    </row>
    <row r="630" spans="1:11" ht="12.75" customHeight="1">
      <c r="A630" s="190"/>
      <c r="B630" s="529" t="s">
        <v>1518</v>
      </c>
      <c r="C630" s="529"/>
      <c r="D630" s="529"/>
      <c r="E630" s="529"/>
      <c r="F630" s="529"/>
      <c r="G630" s="529"/>
      <c r="H630" s="529"/>
      <c r="I630" s="529"/>
      <c r="J630" s="529"/>
      <c r="K630" s="529"/>
    </row>
    <row r="631" spans="1:11" ht="12.75" customHeight="1">
      <c r="A631" s="190"/>
      <c r="B631" s="529"/>
      <c r="C631" s="529"/>
      <c r="D631" s="529"/>
      <c r="E631" s="529"/>
      <c r="F631" s="529"/>
      <c r="G631" s="529"/>
      <c r="H631" s="529"/>
      <c r="I631" s="529"/>
      <c r="J631" s="529"/>
      <c r="K631" s="529"/>
    </row>
    <row r="632" spans="1:11" ht="12.75" customHeight="1">
      <c r="A632" s="190"/>
      <c r="B632" s="529"/>
      <c r="C632" s="529"/>
      <c r="D632" s="529"/>
      <c r="E632" s="529"/>
      <c r="F632" s="529"/>
      <c r="G632" s="529"/>
      <c r="H632" s="529"/>
      <c r="I632" s="529"/>
      <c r="J632" s="529"/>
      <c r="K632" s="529"/>
    </row>
    <row r="633" spans="1:11" ht="7.5" customHeight="1">
      <c r="A633" s="190"/>
      <c r="B633" s="187"/>
      <c r="C633" s="31"/>
      <c r="D633" s="31"/>
      <c r="E633" s="31"/>
      <c r="F633" s="31"/>
      <c r="G633" s="31"/>
      <c r="H633" s="2"/>
      <c r="I633" s="2"/>
      <c r="J633" s="2"/>
      <c r="K633" s="2"/>
    </row>
    <row r="634" spans="1:11" ht="15">
      <c r="A634" s="190"/>
      <c r="B634" s="5"/>
      <c r="C634" s="80"/>
      <c r="D634" s="81"/>
      <c r="E634" s="80" t="s">
        <v>312</v>
      </c>
      <c r="F634" s="1"/>
      <c r="G634" s="1"/>
      <c r="H634" s="1"/>
      <c r="I634" s="1"/>
      <c r="J634" s="1"/>
      <c r="K634" s="1"/>
    </row>
    <row r="635" spans="1:11" ht="15">
      <c r="A635" s="190"/>
      <c r="B635" s="81"/>
      <c r="C635" s="80" t="s">
        <v>23</v>
      </c>
      <c r="D635" s="104" t="s">
        <v>253</v>
      </c>
      <c r="E635" s="81" t="s">
        <v>1045</v>
      </c>
      <c r="F635" s="81" t="s">
        <v>312</v>
      </c>
      <c r="G635" s="81" t="s">
        <v>313</v>
      </c>
      <c r="H635" s="81" t="s">
        <v>329</v>
      </c>
      <c r="I635" s="81" t="s">
        <v>332</v>
      </c>
      <c r="J635" s="81" t="s">
        <v>333</v>
      </c>
      <c r="K635" s="81" t="s">
        <v>1224</v>
      </c>
    </row>
    <row r="636" spans="1:11" ht="15.75" thickBot="1">
      <c r="A636" s="190"/>
      <c r="B636" s="209"/>
      <c r="C636" s="83" t="s">
        <v>1</v>
      </c>
      <c r="D636" s="83" t="s">
        <v>1</v>
      </c>
      <c r="E636" s="83" t="s">
        <v>987</v>
      </c>
      <c r="F636" s="83" t="s">
        <v>24</v>
      </c>
      <c r="G636" s="83" t="s">
        <v>1045</v>
      </c>
      <c r="H636" s="83" t="s">
        <v>24</v>
      </c>
      <c r="I636" s="83" t="s">
        <v>24</v>
      </c>
      <c r="J636" s="83" t="s">
        <v>24</v>
      </c>
      <c r="K636" s="83" t="s">
        <v>24</v>
      </c>
    </row>
    <row r="637" spans="1:11" ht="15">
      <c r="A637" s="190"/>
      <c r="B637" s="79"/>
      <c r="C637" s="210"/>
      <c r="D637" s="2"/>
      <c r="E637" s="2"/>
      <c r="F637" s="2"/>
      <c r="G637" s="2"/>
      <c r="H637" s="2"/>
      <c r="I637" s="2"/>
      <c r="J637" s="2"/>
      <c r="K637" s="2"/>
    </row>
    <row r="638" spans="1:11" ht="15">
      <c r="A638" s="190"/>
      <c r="B638" s="198" t="s">
        <v>1046</v>
      </c>
      <c r="C638" s="2"/>
      <c r="D638" s="2"/>
      <c r="E638" s="2"/>
      <c r="F638" s="2"/>
      <c r="G638" s="2"/>
      <c r="H638" s="2"/>
      <c r="I638" s="2"/>
      <c r="J638" s="2"/>
      <c r="K638" s="2"/>
    </row>
    <row r="639" spans="1:11" ht="20.100000000000001" customHeight="1">
      <c r="A639" s="190"/>
      <c r="B639" s="5" t="s">
        <v>1051</v>
      </c>
      <c r="C639" s="2">
        <f>SUM('Budget Detail FY 2013-18'!N900:N906)</f>
        <v>608154</v>
      </c>
      <c r="D639" s="2">
        <f>SUM('Budget Detail FY 2013-18'!O900:O906)</f>
        <v>620489</v>
      </c>
      <c r="E639" s="2">
        <f>SUM('Budget Detail FY 2013-18'!P900:P906)</f>
        <v>607000</v>
      </c>
      <c r="F639" s="2">
        <f>SUM('Budget Detail FY 2013-18'!Q900:Q906)</f>
        <v>498750</v>
      </c>
      <c r="G639" s="2">
        <f>SUM('Budget Detail FY 2013-18'!R900:R906)</f>
        <v>61000</v>
      </c>
      <c r="H639" s="2">
        <f>SUM('Budget Detail FY 2013-18'!S900:S906)</f>
        <v>0</v>
      </c>
      <c r="I639" s="2">
        <f>SUM('Budget Detail FY 2013-18'!T900:T906)</f>
        <v>0</v>
      </c>
      <c r="J639" s="2">
        <f>SUM('Budget Detail FY 2013-18'!U900:U906)</f>
        <v>0</v>
      </c>
      <c r="K639" s="2">
        <f>SUM('Budget Detail FY 2013-18'!V900:V906)</f>
        <v>0</v>
      </c>
    </row>
    <row r="640" spans="1:11" ht="20.100000000000001" customHeight="1">
      <c r="A640" s="190"/>
      <c r="B640" s="5" t="s">
        <v>1054</v>
      </c>
      <c r="C640" s="2">
        <f>SUM('Budget Detail FY 2013-18'!N907:N909)</f>
        <v>11864</v>
      </c>
      <c r="D640" s="2">
        <f>SUM('Budget Detail FY 2013-18'!O907:O909)</f>
        <v>14074</v>
      </c>
      <c r="E640" s="2">
        <f>SUM('Budget Detail FY 2013-18'!P907:P909)</f>
        <v>15500</v>
      </c>
      <c r="F640" s="2">
        <f>SUM('Budget Detail FY 2013-18'!Q907:Q909)</f>
        <v>14456</v>
      </c>
      <c r="G640" s="2">
        <f>SUM('Budget Detail FY 2013-18'!R907:R909)</f>
        <v>0</v>
      </c>
      <c r="H640" s="2">
        <f>SUM('Budget Detail FY 2013-18'!S907:S909)</f>
        <v>0</v>
      </c>
      <c r="I640" s="2">
        <f>SUM('Budget Detail FY 2013-18'!T907:T909)</f>
        <v>0</v>
      </c>
      <c r="J640" s="2">
        <f>SUM('Budget Detail FY 2013-18'!U907:U909)</f>
        <v>0</v>
      </c>
      <c r="K640" s="2">
        <f>SUM('Budget Detail FY 2013-18'!V907:V909)</f>
        <v>0</v>
      </c>
    </row>
    <row r="641" spans="1:12" ht="20.100000000000001" customHeight="1">
      <c r="A641" s="190"/>
      <c r="B641" s="5" t="s">
        <v>1055</v>
      </c>
      <c r="C641" s="2">
        <f>'Budget Detail FY 2013-18'!N910</f>
        <v>0</v>
      </c>
      <c r="D641" s="2">
        <f>'Budget Detail FY 2013-18'!O910</f>
        <v>0</v>
      </c>
      <c r="E641" s="2">
        <f>'Budget Detail FY 2013-18'!P910</f>
        <v>0</v>
      </c>
      <c r="F641" s="2">
        <f>'Budget Detail FY 2013-18'!Q910</f>
        <v>0</v>
      </c>
      <c r="G641" s="2">
        <f>'Budget Detail FY 2013-18'!R910</f>
        <v>556957</v>
      </c>
      <c r="H641" s="2">
        <f>'Budget Detail FY 2013-18'!S910</f>
        <v>0</v>
      </c>
      <c r="I641" s="2">
        <f>'Budget Detail FY 2013-18'!T910</f>
        <v>0</v>
      </c>
      <c r="J641" s="2">
        <f>'Budget Detail FY 2013-18'!U910</f>
        <v>0</v>
      </c>
      <c r="K641" s="2">
        <f>'Budget Detail FY 2013-18'!V910</f>
        <v>0</v>
      </c>
    </row>
    <row r="642" spans="1:12" ht="20.100000000000001" customHeight="1" thickBot="1">
      <c r="A642" s="190"/>
      <c r="B642" s="193" t="s">
        <v>1056</v>
      </c>
      <c r="C642" s="188">
        <f>SUM(C639:C641)</f>
        <v>620018</v>
      </c>
      <c r="D642" s="188">
        <f t="shared" ref="D642:K642" si="101">SUM(D639:D641)</f>
        <v>634563</v>
      </c>
      <c r="E642" s="188">
        <f t="shared" si="101"/>
        <v>622500</v>
      </c>
      <c r="F642" s="188">
        <f t="shared" si="101"/>
        <v>513206</v>
      </c>
      <c r="G642" s="188">
        <f t="shared" si="101"/>
        <v>617957</v>
      </c>
      <c r="H642" s="188">
        <f t="shared" si="101"/>
        <v>0</v>
      </c>
      <c r="I642" s="188">
        <f t="shared" si="101"/>
        <v>0</v>
      </c>
      <c r="J642" s="188">
        <f t="shared" si="101"/>
        <v>0</v>
      </c>
      <c r="K642" s="188">
        <f t="shared" si="101"/>
        <v>0</v>
      </c>
    </row>
    <row r="643" spans="1:12" s="152" customFormat="1" ht="15" hidden="1">
      <c r="A643" s="194"/>
      <c r="B643" s="195"/>
      <c r="C643" s="163">
        <f>'Budget Detail FY 2013-18'!N912</f>
        <v>620018</v>
      </c>
      <c r="D643" s="163">
        <f>'Budget Detail FY 2013-18'!O912</f>
        <v>634563</v>
      </c>
      <c r="E643" s="163">
        <f>'Budget Detail FY 2013-18'!P912</f>
        <v>622500</v>
      </c>
      <c r="F643" s="163">
        <f>'Budget Detail FY 2013-18'!Q912</f>
        <v>513206</v>
      </c>
      <c r="G643" s="163">
        <f>'Budget Detail FY 2013-18'!R912</f>
        <v>617957</v>
      </c>
      <c r="H643" s="163">
        <f>'Budget Detail FY 2013-18'!S912</f>
        <v>0</v>
      </c>
      <c r="I643" s="163">
        <f>'Budget Detail FY 2013-18'!T912</f>
        <v>0</v>
      </c>
      <c r="J643" s="163">
        <f>'Budget Detail FY 2013-18'!U912</f>
        <v>0</v>
      </c>
      <c r="K643" s="163">
        <f>'Budget Detail FY 2013-18'!V912</f>
        <v>0</v>
      </c>
      <c r="L643" s="166" t="s">
        <v>1462</v>
      </c>
    </row>
    <row r="644" spans="1:12" s="158" customFormat="1" ht="14.25" hidden="1">
      <c r="A644" s="196"/>
      <c r="B644" s="197"/>
      <c r="C644" s="164">
        <f>C642-C643</f>
        <v>0</v>
      </c>
      <c r="D644" s="164">
        <f t="shared" ref="D644:K644" si="102">D642-D643</f>
        <v>0</v>
      </c>
      <c r="E644" s="164">
        <f t="shared" si="102"/>
        <v>0</v>
      </c>
      <c r="F644" s="164">
        <f t="shared" si="102"/>
        <v>0</v>
      </c>
      <c r="G644" s="164">
        <f t="shared" si="102"/>
        <v>0</v>
      </c>
      <c r="H644" s="164">
        <f t="shared" si="102"/>
        <v>0</v>
      </c>
      <c r="I644" s="164">
        <f t="shared" si="102"/>
        <v>0</v>
      </c>
      <c r="J644" s="164">
        <f t="shared" si="102"/>
        <v>0</v>
      </c>
      <c r="K644" s="164">
        <f t="shared" si="102"/>
        <v>0</v>
      </c>
      <c r="L644" s="167" t="s">
        <v>1463</v>
      </c>
    </row>
    <row r="645" spans="1:12" ht="15">
      <c r="A645" s="190"/>
      <c r="B645" s="1"/>
      <c r="C645" s="2"/>
      <c r="D645" s="2"/>
      <c r="E645" s="2"/>
      <c r="F645" s="2"/>
      <c r="G645" s="2"/>
      <c r="H645" s="2"/>
      <c r="I645" s="2"/>
      <c r="J645" s="2"/>
      <c r="K645" s="2"/>
    </row>
    <row r="646" spans="1:12" ht="15">
      <c r="A646" s="190"/>
      <c r="B646" s="198" t="s">
        <v>763</v>
      </c>
      <c r="C646" s="2"/>
      <c r="D646" s="2"/>
      <c r="E646" s="2"/>
      <c r="F646" s="2"/>
      <c r="G646" s="2"/>
      <c r="H646" s="2"/>
      <c r="I646" s="2"/>
      <c r="J646" s="2"/>
      <c r="K646" s="2"/>
    </row>
    <row r="647" spans="1:12" ht="20.100000000000001" customHeight="1">
      <c r="A647" s="190"/>
      <c r="B647" s="199" t="s">
        <v>1057</v>
      </c>
      <c r="C647" s="2">
        <f>SUM('Budget Detail FY 2013-18'!N914:N917)</f>
        <v>224988</v>
      </c>
      <c r="D647" s="2">
        <f>SUM('Budget Detail FY 2013-18'!O914:O917)</f>
        <v>201757</v>
      </c>
      <c r="E647" s="2">
        <f>SUM('Budget Detail FY 2013-18'!P914:P917)</f>
        <v>223000</v>
      </c>
      <c r="F647" s="2">
        <f>SUM('Budget Detail FY 2013-18'!Q914:Q917)</f>
        <v>174250</v>
      </c>
      <c r="G647" s="2">
        <f>SUM('Budget Detail FY 2013-18'!R914:R917)</f>
        <v>20000</v>
      </c>
      <c r="H647" s="2">
        <f>SUM('Budget Detail FY 2013-18'!S914:S917)</f>
        <v>0</v>
      </c>
      <c r="I647" s="2">
        <f>SUM('Budget Detail FY 2013-18'!T914:T917)</f>
        <v>0</v>
      </c>
      <c r="J647" s="2">
        <f>SUM('Budget Detail FY 2013-18'!U914:U917)</f>
        <v>0</v>
      </c>
      <c r="K647" s="2">
        <f>SUM('Budget Detail FY 2013-18'!V914:V917)</f>
        <v>0</v>
      </c>
    </row>
    <row r="648" spans="1:12" ht="20.100000000000001" customHeight="1">
      <c r="A648" s="190"/>
      <c r="B648" s="199" t="s">
        <v>1058</v>
      </c>
      <c r="C648" s="2">
        <f>SUM('Budget Detail FY 2013-18'!N918:N923)</f>
        <v>28603</v>
      </c>
      <c r="D648" s="2">
        <f>SUM('Budget Detail FY 2013-18'!O918:O923)</f>
        <v>25706</v>
      </c>
      <c r="E648" s="2">
        <f>SUM('Budget Detail FY 2013-18'!P918:P923)</f>
        <v>29212</v>
      </c>
      <c r="F648" s="2">
        <f>SUM('Budget Detail FY 2013-18'!Q918:Q923)</f>
        <v>29179</v>
      </c>
      <c r="G648" s="2">
        <f>SUM('Budget Detail FY 2013-18'!R918:R923)</f>
        <v>0</v>
      </c>
      <c r="H648" s="2">
        <f>SUM('Budget Detail FY 2013-18'!S918:S923)</f>
        <v>0</v>
      </c>
      <c r="I648" s="2">
        <f>SUM('Budget Detail FY 2013-18'!T918:T923)</f>
        <v>0</v>
      </c>
      <c r="J648" s="2">
        <f>SUM('Budget Detail FY 2013-18'!U918:U923)</f>
        <v>0</v>
      </c>
      <c r="K648" s="2">
        <f>SUM('Budget Detail FY 2013-18'!V918:V923)</f>
        <v>0</v>
      </c>
    </row>
    <row r="649" spans="1:12" ht="20.100000000000001" customHeight="1">
      <c r="A649" s="190"/>
      <c r="B649" s="199" t="s">
        <v>1059</v>
      </c>
      <c r="C649" s="2">
        <f>SUM('Budget Detail FY 2013-18'!N924:N936)</f>
        <v>384248</v>
      </c>
      <c r="D649" s="2">
        <f>SUM('Budget Detail FY 2013-18'!O924:O936)</f>
        <v>392972</v>
      </c>
      <c r="E649" s="2">
        <f>SUM('Budget Detail FY 2013-18'!P924:P936)</f>
        <v>408250</v>
      </c>
      <c r="F649" s="2">
        <f>SUM('Budget Detail FY 2013-18'!Q924:Q936)</f>
        <v>476050</v>
      </c>
      <c r="G649" s="2">
        <f>SUM('Budget Detail FY 2013-18'!R924:R936)</f>
        <v>114250</v>
      </c>
      <c r="H649" s="2">
        <f>SUM('Budget Detail FY 2013-18'!S924:S936)</f>
        <v>0</v>
      </c>
      <c r="I649" s="2">
        <f>SUM('Budget Detail FY 2013-18'!T924:T936)</f>
        <v>0</v>
      </c>
      <c r="J649" s="2">
        <f>SUM('Budget Detail FY 2013-18'!U924:U936)</f>
        <v>0</v>
      </c>
      <c r="K649" s="2">
        <f>SUM('Budget Detail FY 2013-18'!V924:V936)</f>
        <v>0</v>
      </c>
    </row>
    <row r="650" spans="1:12" ht="20.100000000000001" customHeight="1">
      <c r="A650" s="190"/>
      <c r="B650" s="199" t="s">
        <v>1060</v>
      </c>
      <c r="C650" s="2">
        <f>SUM('Budget Detail FY 2013-18'!N937:N945)</f>
        <v>49451</v>
      </c>
      <c r="D650" s="2">
        <f>SUM('Budget Detail FY 2013-18'!O937:O945)</f>
        <v>39041</v>
      </c>
      <c r="E650" s="2">
        <f>SUM('Budget Detail FY 2013-18'!P937:P945)</f>
        <v>43171</v>
      </c>
      <c r="F650" s="2">
        <f>SUM('Budget Detail FY 2013-18'!Q937:Q945)</f>
        <v>81194</v>
      </c>
      <c r="G650" s="2">
        <f>SUM('Budget Detail FY 2013-18'!R937:R945)</f>
        <v>16239</v>
      </c>
      <c r="H650" s="2">
        <f>SUM('Budget Detail FY 2013-18'!S937:S945)</f>
        <v>0</v>
      </c>
      <c r="I650" s="2">
        <f>SUM('Budget Detail FY 2013-18'!T937:T945)</f>
        <v>0</v>
      </c>
      <c r="J650" s="2">
        <f>SUM('Budget Detail FY 2013-18'!U937:U945)</f>
        <v>0</v>
      </c>
      <c r="K650" s="2">
        <f>SUM('Budget Detail FY 2013-18'!V937:V945)</f>
        <v>0</v>
      </c>
    </row>
    <row r="651" spans="1:12" ht="20.100000000000001" customHeight="1" thickBot="1">
      <c r="A651" s="190"/>
      <c r="B651" s="193" t="s">
        <v>1078</v>
      </c>
      <c r="C651" s="188">
        <f t="shared" ref="C651:J651" si="103">SUM(C647:C650)</f>
        <v>687290</v>
      </c>
      <c r="D651" s="188">
        <f>SUM(D647:D650)</f>
        <v>659476</v>
      </c>
      <c r="E651" s="188">
        <f t="shared" si="103"/>
        <v>703633</v>
      </c>
      <c r="F651" s="188">
        <f t="shared" si="103"/>
        <v>760673</v>
      </c>
      <c r="G651" s="188">
        <f t="shared" si="103"/>
        <v>150489</v>
      </c>
      <c r="H651" s="188">
        <f t="shared" si="103"/>
        <v>0</v>
      </c>
      <c r="I651" s="188">
        <f t="shared" si="103"/>
        <v>0</v>
      </c>
      <c r="J651" s="188">
        <f t="shared" si="103"/>
        <v>0</v>
      </c>
      <c r="K651" s="188">
        <f>SUM(K647:K650)</f>
        <v>0</v>
      </c>
    </row>
    <row r="652" spans="1:12" s="152" customFormat="1" ht="15" hidden="1">
      <c r="A652" s="194"/>
      <c r="B652" s="195"/>
      <c r="C652" s="163">
        <f>'Budget Detail FY 2013-18'!N947</f>
        <v>687290</v>
      </c>
      <c r="D652" s="163">
        <f>'Budget Detail FY 2013-18'!O947</f>
        <v>659476</v>
      </c>
      <c r="E652" s="163">
        <f>'Budget Detail FY 2013-18'!P947</f>
        <v>703633</v>
      </c>
      <c r="F652" s="163">
        <f>'Budget Detail FY 2013-18'!Q947</f>
        <v>760673</v>
      </c>
      <c r="G652" s="163">
        <f>'Budget Detail FY 2013-18'!R947</f>
        <v>150489</v>
      </c>
      <c r="H652" s="163">
        <f>'Budget Detail FY 2013-18'!S947</f>
        <v>0</v>
      </c>
      <c r="I652" s="163">
        <f>'Budget Detail FY 2013-18'!T947</f>
        <v>0</v>
      </c>
      <c r="J652" s="163">
        <f>'Budget Detail FY 2013-18'!U947</f>
        <v>0</v>
      </c>
      <c r="K652" s="163">
        <f>'Budget Detail FY 2013-18'!V947</f>
        <v>0</v>
      </c>
      <c r="L652" s="166" t="s">
        <v>1462</v>
      </c>
    </row>
    <row r="653" spans="1:12" s="158" customFormat="1" ht="15" hidden="1">
      <c r="A653" s="196"/>
      <c r="B653" s="197"/>
      <c r="C653" s="203">
        <f>C651-C652</f>
        <v>0</v>
      </c>
      <c r="D653" s="203">
        <f t="shared" ref="D653:K653" si="104">D651-D652</f>
        <v>0</v>
      </c>
      <c r="E653" s="203">
        <f t="shared" si="104"/>
        <v>0</v>
      </c>
      <c r="F653" s="203">
        <f t="shared" si="104"/>
        <v>0</v>
      </c>
      <c r="G653" s="203">
        <f t="shared" si="104"/>
        <v>0</v>
      </c>
      <c r="H653" s="203">
        <f t="shared" si="104"/>
        <v>0</v>
      </c>
      <c r="I653" s="203">
        <f t="shared" si="104"/>
        <v>0</v>
      </c>
      <c r="J653" s="203">
        <f t="shared" si="104"/>
        <v>0</v>
      </c>
      <c r="K653" s="203">
        <f t="shared" si="104"/>
        <v>0</v>
      </c>
      <c r="L653" s="167" t="s">
        <v>1463</v>
      </c>
    </row>
    <row r="654" spans="1:12" ht="7.5" customHeight="1">
      <c r="A654" s="190"/>
      <c r="B654" s="200"/>
      <c r="C654" s="3"/>
      <c r="D654" s="2"/>
      <c r="E654" s="2"/>
      <c r="F654" s="2"/>
      <c r="G654" s="2"/>
      <c r="H654" s="2"/>
      <c r="I654" s="2"/>
      <c r="J654" s="2"/>
      <c r="K654" s="2"/>
    </row>
    <row r="655" spans="1:12" ht="20.100000000000001" customHeight="1">
      <c r="A655" s="190"/>
      <c r="B655" s="189" t="s">
        <v>1065</v>
      </c>
      <c r="C655" s="3">
        <f t="shared" ref="C655:J655" si="105">+C642-C651</f>
        <v>-67272</v>
      </c>
      <c r="D655" s="3">
        <f>+D642-D651</f>
        <v>-24913</v>
      </c>
      <c r="E655" s="3">
        <f t="shared" si="105"/>
        <v>-81133</v>
      </c>
      <c r="F655" s="3">
        <f t="shared" si="105"/>
        <v>-247467</v>
      </c>
      <c r="G655" s="3">
        <f t="shared" si="105"/>
        <v>467468</v>
      </c>
      <c r="H655" s="3">
        <f t="shared" si="105"/>
        <v>0</v>
      </c>
      <c r="I655" s="3">
        <f t="shared" si="105"/>
        <v>0</v>
      </c>
      <c r="J655" s="3">
        <f t="shared" si="105"/>
        <v>0</v>
      </c>
      <c r="K655" s="3">
        <f>+K642-K651</f>
        <v>0</v>
      </c>
    </row>
    <row r="656" spans="1:12" s="152" customFormat="1" ht="15" hidden="1">
      <c r="A656" s="194"/>
      <c r="B656" s="201"/>
      <c r="C656" s="163">
        <f>'Budget Detail FY 2013-18'!N949</f>
        <v>-67272</v>
      </c>
      <c r="D656" s="163">
        <f>'Budget Detail FY 2013-18'!O949</f>
        <v>-24913</v>
      </c>
      <c r="E656" s="163">
        <f>'Budget Detail FY 2013-18'!P949</f>
        <v>-81133</v>
      </c>
      <c r="F656" s="163">
        <f>'Budget Detail FY 2013-18'!Q949</f>
        <v>-247467</v>
      </c>
      <c r="G656" s="163">
        <f>'Budget Detail FY 2013-18'!R949</f>
        <v>467468</v>
      </c>
      <c r="H656" s="163">
        <f>'Budget Detail FY 2013-18'!S949</f>
        <v>0</v>
      </c>
      <c r="I656" s="163">
        <f>'Budget Detail FY 2013-18'!T949</f>
        <v>0</v>
      </c>
      <c r="J656" s="163">
        <f>'Budget Detail FY 2013-18'!U949</f>
        <v>0</v>
      </c>
      <c r="K656" s="163">
        <f>'Budget Detail FY 2013-18'!V949</f>
        <v>0</v>
      </c>
      <c r="L656" s="166" t="s">
        <v>1462</v>
      </c>
    </row>
    <row r="657" spans="1:12" s="158" customFormat="1" ht="15" hidden="1">
      <c r="A657" s="196"/>
      <c r="B657" s="202"/>
      <c r="C657" s="203">
        <f>C655-C656</f>
        <v>0</v>
      </c>
      <c r="D657" s="203">
        <f t="shared" ref="D657:K657" si="106">D655-D656</f>
        <v>0</v>
      </c>
      <c r="E657" s="203">
        <f t="shared" si="106"/>
        <v>0</v>
      </c>
      <c r="F657" s="203">
        <f t="shared" si="106"/>
        <v>0</v>
      </c>
      <c r="G657" s="203">
        <f t="shared" si="106"/>
        <v>0</v>
      </c>
      <c r="H657" s="203">
        <f t="shared" si="106"/>
        <v>0</v>
      </c>
      <c r="I657" s="203">
        <f t="shared" si="106"/>
        <v>0</v>
      </c>
      <c r="J657" s="203">
        <f t="shared" si="106"/>
        <v>0</v>
      </c>
      <c r="K657" s="203">
        <f t="shared" si="106"/>
        <v>0</v>
      </c>
      <c r="L657" s="167" t="s">
        <v>1463</v>
      </c>
    </row>
    <row r="658" spans="1:12" ht="7.5" customHeight="1">
      <c r="A658" s="190"/>
      <c r="B658" s="204"/>
      <c r="C658" s="3"/>
      <c r="D658" s="2"/>
      <c r="E658" s="2"/>
      <c r="F658" s="2"/>
      <c r="G658" s="2"/>
      <c r="H658" s="2"/>
      <c r="I658" s="2"/>
      <c r="J658" s="2"/>
      <c r="K658" s="2"/>
    </row>
    <row r="659" spans="1:12" ht="20.100000000000001" customHeight="1" thickBot="1">
      <c r="A659" s="190"/>
      <c r="B659" s="191" t="s">
        <v>1079</v>
      </c>
      <c r="C659" s="99">
        <v>-195087</v>
      </c>
      <c r="D659" s="99">
        <v>-220001</v>
      </c>
      <c r="E659" s="99">
        <v>-367521</v>
      </c>
      <c r="F659" s="99">
        <f>D659+F655</f>
        <v>-467468</v>
      </c>
      <c r="G659" s="99">
        <f>F659+G655</f>
        <v>0</v>
      </c>
      <c r="H659" s="99">
        <f>G659+H655</f>
        <v>0</v>
      </c>
      <c r="I659" s="99">
        <f>H659+I655</f>
        <v>0</v>
      </c>
      <c r="J659" s="99">
        <f>I659+J655</f>
        <v>0</v>
      </c>
      <c r="K659" s="99">
        <f>J659+K655</f>
        <v>0</v>
      </c>
    </row>
    <row r="660" spans="1:12" s="152" customFormat="1" ht="15.75" hidden="1" thickTop="1">
      <c r="A660" s="194"/>
      <c r="B660" s="195"/>
      <c r="C660" s="163">
        <f>'Budget Detail FY 2013-18'!N951</f>
        <v>-195087</v>
      </c>
      <c r="D660" s="163">
        <f>'Budget Detail FY 2013-18'!O951</f>
        <v>-220001</v>
      </c>
      <c r="E660" s="163">
        <f>'Budget Detail FY 2013-18'!P951</f>
        <v>-367521</v>
      </c>
      <c r="F660" s="163">
        <f>'Budget Detail FY 2013-18'!Q951</f>
        <v>-467468</v>
      </c>
      <c r="G660" s="163">
        <f>'Budget Detail FY 2013-18'!R951</f>
        <v>0</v>
      </c>
      <c r="H660" s="163">
        <f>'Budget Detail FY 2013-18'!S951</f>
        <v>0</v>
      </c>
      <c r="I660" s="163">
        <f>'Budget Detail FY 2013-18'!T951</f>
        <v>0</v>
      </c>
      <c r="J660" s="163">
        <f>'Budget Detail FY 2013-18'!U951</f>
        <v>0</v>
      </c>
      <c r="K660" s="163">
        <f>'Budget Detail FY 2013-18'!V951</f>
        <v>0</v>
      </c>
      <c r="L660" s="166" t="s">
        <v>1462</v>
      </c>
    </row>
    <row r="661" spans="1:12" s="158" customFormat="1" ht="15" hidden="1">
      <c r="A661" s="196"/>
      <c r="B661" s="197"/>
      <c r="C661" s="203">
        <f>C659-C660</f>
        <v>0</v>
      </c>
      <c r="D661" s="203">
        <f t="shared" ref="D661:K661" si="107">D659-D660</f>
        <v>0</v>
      </c>
      <c r="E661" s="203">
        <f t="shared" si="107"/>
        <v>0</v>
      </c>
      <c r="F661" s="203">
        <f t="shared" si="107"/>
        <v>0</v>
      </c>
      <c r="G661" s="203">
        <f t="shared" si="107"/>
        <v>0</v>
      </c>
      <c r="H661" s="203">
        <f t="shared" si="107"/>
        <v>0</v>
      </c>
      <c r="I661" s="203">
        <f t="shared" si="107"/>
        <v>0</v>
      </c>
      <c r="J661" s="203">
        <f t="shared" si="107"/>
        <v>0</v>
      </c>
      <c r="K661" s="203">
        <f t="shared" si="107"/>
        <v>0</v>
      </c>
      <c r="L661" s="167" t="s">
        <v>1463</v>
      </c>
    </row>
    <row r="662" spans="1:12" ht="15.75" thickTop="1">
      <c r="A662" s="190"/>
      <c r="B662" s="205"/>
      <c r="C662" s="206">
        <f>+C659/C651</f>
        <v>-0.28384961224519489</v>
      </c>
      <c r="D662" s="206">
        <f>+D659/D651</f>
        <v>-0.33359970643359271</v>
      </c>
      <c r="E662" s="206">
        <f>+E659/E651</f>
        <v>-0.5223191635412211</v>
      </c>
      <c r="F662" s="206">
        <f>+F659/F651</f>
        <v>-0.61454527766859079</v>
      </c>
      <c r="G662" s="517">
        <f>+G659/G651</f>
        <v>0</v>
      </c>
      <c r="H662" s="517">
        <v>0</v>
      </c>
      <c r="I662" s="517">
        <v>0</v>
      </c>
      <c r="J662" s="517">
        <v>0</v>
      </c>
      <c r="K662" s="517">
        <v>0</v>
      </c>
    </row>
    <row r="663" spans="1:12" ht="7.5" customHeight="1">
      <c r="A663" s="190"/>
      <c r="B663" s="205"/>
      <c r="C663" s="2"/>
      <c r="D663" s="2"/>
      <c r="E663" s="2"/>
      <c r="F663" s="2"/>
      <c r="G663" s="2"/>
      <c r="H663" s="2"/>
      <c r="I663" s="2"/>
      <c r="J663" s="2"/>
      <c r="K663" s="2"/>
    </row>
    <row r="664" spans="1:12" ht="15">
      <c r="A664" s="190"/>
      <c r="B664" s="1"/>
      <c r="C664" s="2"/>
      <c r="D664" s="2"/>
      <c r="E664" s="2"/>
      <c r="F664" s="2"/>
      <c r="G664" s="2"/>
      <c r="H664" s="2"/>
      <c r="I664" s="2"/>
      <c r="J664" s="2"/>
      <c r="K664" s="2"/>
    </row>
    <row r="665" spans="1:12" ht="15">
      <c r="A665" s="190"/>
      <c r="B665" s="1"/>
      <c r="C665" s="2"/>
      <c r="D665" s="2"/>
      <c r="E665" s="2"/>
      <c r="F665" s="2"/>
      <c r="G665" s="2"/>
      <c r="H665" s="2"/>
      <c r="I665" s="2"/>
      <c r="J665" s="2"/>
      <c r="K665" s="2"/>
    </row>
    <row r="666" spans="1:12" ht="15">
      <c r="A666" s="190"/>
      <c r="B666" s="1"/>
      <c r="C666" s="2"/>
      <c r="D666" s="2"/>
      <c r="E666" s="2"/>
      <c r="F666" s="2"/>
      <c r="G666" s="2"/>
      <c r="H666" s="2"/>
      <c r="I666" s="2"/>
      <c r="J666" s="2"/>
      <c r="K666" s="2"/>
    </row>
    <row r="667" spans="1:12" ht="15">
      <c r="A667" s="190"/>
      <c r="B667" s="1"/>
      <c r="C667" s="2"/>
      <c r="D667" s="2"/>
      <c r="E667" s="2"/>
      <c r="F667" s="2"/>
      <c r="G667" s="2"/>
      <c r="H667" s="2"/>
      <c r="I667" s="2"/>
      <c r="J667" s="2"/>
      <c r="K667" s="2"/>
    </row>
    <row r="668" spans="1:12" ht="15">
      <c r="A668" s="190"/>
      <c r="B668" s="1"/>
      <c r="C668" s="2"/>
      <c r="D668" s="2"/>
      <c r="E668" s="2"/>
      <c r="F668" s="2"/>
      <c r="G668" s="2"/>
      <c r="H668" s="2"/>
      <c r="I668" s="2"/>
      <c r="J668" s="2"/>
      <c r="K668" s="2"/>
    </row>
    <row r="669" spans="1:12" ht="15">
      <c r="A669" s="190"/>
      <c r="B669" s="1"/>
      <c r="C669" s="2"/>
      <c r="D669" s="2"/>
      <c r="E669" s="2"/>
      <c r="F669" s="2"/>
      <c r="G669" s="2"/>
      <c r="H669" s="2"/>
      <c r="I669" s="2"/>
      <c r="J669" s="2"/>
      <c r="K669" s="2"/>
    </row>
    <row r="670" spans="1:12" ht="15">
      <c r="A670" s="190"/>
      <c r="B670" s="1"/>
      <c r="C670" s="2"/>
      <c r="D670" s="2"/>
      <c r="E670" s="2"/>
      <c r="F670" s="2"/>
      <c r="G670" s="2"/>
      <c r="H670" s="2"/>
      <c r="I670" s="2"/>
      <c r="J670" s="2"/>
      <c r="K670" s="2"/>
    </row>
    <row r="671" spans="1:12" ht="15">
      <c r="A671" s="190"/>
      <c r="B671" s="1"/>
      <c r="C671" s="2"/>
      <c r="D671" s="2"/>
      <c r="E671" s="2"/>
      <c r="F671" s="2"/>
      <c r="G671" s="2"/>
      <c r="H671" s="2"/>
      <c r="I671" s="2"/>
      <c r="J671" s="2"/>
      <c r="K671" s="2"/>
    </row>
    <row r="672" spans="1:12" ht="15">
      <c r="A672" s="190"/>
      <c r="B672" s="1"/>
      <c r="C672" s="2"/>
      <c r="D672" s="2"/>
      <c r="E672" s="2"/>
      <c r="F672" s="2"/>
      <c r="G672" s="2"/>
      <c r="H672" s="2"/>
      <c r="I672" s="2"/>
      <c r="J672" s="2"/>
      <c r="K672" s="2"/>
    </row>
    <row r="673" spans="1:11" ht="15">
      <c r="A673" s="190"/>
      <c r="B673" s="1"/>
      <c r="C673" s="2"/>
      <c r="D673" s="2"/>
      <c r="E673" s="2"/>
      <c r="F673" s="2"/>
      <c r="G673" s="2"/>
      <c r="H673" s="2"/>
      <c r="I673" s="2"/>
      <c r="J673" s="2"/>
      <c r="K673" s="2"/>
    </row>
    <row r="674" spans="1:11">
      <c r="A674" s="190"/>
      <c r="B674" s="190"/>
      <c r="C674" s="207"/>
      <c r="D674" s="207"/>
      <c r="E674" s="208"/>
      <c r="F674" s="208"/>
      <c r="G674" s="208"/>
      <c r="H674" s="208"/>
      <c r="I674" s="208"/>
      <c r="J674" s="208"/>
      <c r="K674" s="208"/>
    </row>
    <row r="675" spans="1:11">
      <c r="A675" s="190"/>
      <c r="B675" s="190"/>
      <c r="C675" s="207"/>
      <c r="D675" s="207"/>
      <c r="E675" s="208"/>
      <c r="F675" s="208"/>
      <c r="G675" s="208"/>
      <c r="H675" s="208"/>
      <c r="I675" s="208"/>
      <c r="J675" s="208"/>
      <c r="K675" s="208"/>
    </row>
    <row r="676" spans="1:11" ht="18.75" customHeight="1">
      <c r="A676" s="190"/>
      <c r="B676" s="523" t="s">
        <v>1088</v>
      </c>
      <c r="C676" s="523"/>
      <c r="D676" s="523"/>
      <c r="E676" s="523"/>
      <c r="F676" s="523"/>
      <c r="G676" s="523"/>
      <c r="H676" s="523"/>
      <c r="I676" s="523"/>
      <c r="J676" s="523"/>
      <c r="K676" s="523"/>
    </row>
    <row r="677" spans="1:11" ht="7.5" customHeight="1">
      <c r="A677" s="190"/>
      <c r="B677" s="80"/>
      <c r="C677" s="3"/>
      <c r="D677" s="2"/>
      <c r="E677" s="2"/>
      <c r="F677" s="2"/>
      <c r="G677" s="2"/>
      <c r="H677" s="2"/>
      <c r="I677" s="2"/>
      <c r="J677" s="2"/>
      <c r="K677" s="2"/>
    </row>
    <row r="678" spans="1:11" ht="12.75" customHeight="1">
      <c r="A678" s="190"/>
      <c r="B678" s="529" t="s">
        <v>1089</v>
      </c>
      <c r="C678" s="529"/>
      <c r="D678" s="529"/>
      <c r="E678" s="529"/>
      <c r="F678" s="529"/>
      <c r="G678" s="529"/>
      <c r="H678" s="529"/>
      <c r="I678" s="529"/>
      <c r="J678" s="529"/>
      <c r="K678" s="529"/>
    </row>
    <row r="679" spans="1:11" ht="12.75" customHeight="1">
      <c r="A679" s="190"/>
      <c r="B679" s="529"/>
      <c r="C679" s="529"/>
      <c r="D679" s="529"/>
      <c r="E679" s="529"/>
      <c r="F679" s="529"/>
      <c r="G679" s="529"/>
      <c r="H679" s="529"/>
      <c r="I679" s="529"/>
      <c r="J679" s="529"/>
      <c r="K679" s="529"/>
    </row>
    <row r="680" spans="1:11" ht="12.75" customHeight="1">
      <c r="A680" s="190"/>
      <c r="B680" s="529"/>
      <c r="C680" s="529"/>
      <c r="D680" s="529"/>
      <c r="E680" s="529"/>
      <c r="F680" s="529"/>
      <c r="G680" s="529"/>
      <c r="H680" s="529"/>
      <c r="I680" s="529"/>
      <c r="J680" s="529"/>
      <c r="K680" s="529"/>
    </row>
    <row r="681" spans="1:11" ht="15">
      <c r="A681" s="190"/>
      <c r="B681" s="5"/>
      <c r="C681" s="80"/>
      <c r="D681" s="81"/>
      <c r="E681" s="80" t="s">
        <v>312</v>
      </c>
      <c r="F681" s="1"/>
      <c r="G681" s="1"/>
      <c r="H681" s="1"/>
      <c r="I681" s="1"/>
      <c r="J681" s="1"/>
      <c r="K681" s="1"/>
    </row>
    <row r="682" spans="1:11" ht="15">
      <c r="A682" s="190"/>
      <c r="B682" s="81"/>
      <c r="C682" s="80" t="s">
        <v>23</v>
      </c>
      <c r="D682" s="104" t="s">
        <v>253</v>
      </c>
      <c r="E682" s="81" t="s">
        <v>1045</v>
      </c>
      <c r="F682" s="81" t="s">
        <v>312</v>
      </c>
      <c r="G682" s="81" t="s">
        <v>313</v>
      </c>
      <c r="H682" s="81" t="s">
        <v>329</v>
      </c>
      <c r="I682" s="81" t="s">
        <v>332</v>
      </c>
      <c r="J682" s="81" t="s">
        <v>333</v>
      </c>
      <c r="K682" s="81" t="s">
        <v>1224</v>
      </c>
    </row>
    <row r="683" spans="1:11" ht="15.75" thickBot="1">
      <c r="A683" s="190"/>
      <c r="B683" s="209"/>
      <c r="C683" s="83" t="s">
        <v>1</v>
      </c>
      <c r="D683" s="83" t="s">
        <v>1</v>
      </c>
      <c r="E683" s="83" t="s">
        <v>987</v>
      </c>
      <c r="F683" s="83" t="s">
        <v>24</v>
      </c>
      <c r="G683" s="83" t="s">
        <v>1045</v>
      </c>
      <c r="H683" s="83" t="s">
        <v>24</v>
      </c>
      <c r="I683" s="83" t="s">
        <v>24</v>
      </c>
      <c r="J683" s="83" t="s">
        <v>24</v>
      </c>
      <c r="K683" s="83" t="s">
        <v>24</v>
      </c>
    </row>
    <row r="684" spans="1:11" ht="15">
      <c r="A684" s="190"/>
      <c r="B684" s="79"/>
      <c r="C684" s="210"/>
      <c r="D684" s="2"/>
      <c r="E684" s="2"/>
      <c r="F684" s="2"/>
      <c r="G684" s="2"/>
      <c r="H684" s="2"/>
      <c r="I684" s="2"/>
      <c r="J684" s="2"/>
      <c r="K684" s="2"/>
    </row>
    <row r="685" spans="1:11" ht="15">
      <c r="A685" s="190"/>
      <c r="B685" s="198" t="s">
        <v>1046</v>
      </c>
      <c r="C685" s="2"/>
      <c r="D685" s="2"/>
      <c r="E685" s="2"/>
      <c r="F685" s="2"/>
      <c r="G685" s="2"/>
      <c r="H685" s="2"/>
      <c r="I685" s="2"/>
      <c r="J685" s="2"/>
      <c r="K685" s="2"/>
    </row>
    <row r="686" spans="1:11" ht="20.100000000000001" customHeight="1">
      <c r="A686" s="190"/>
      <c r="B686" s="192" t="s">
        <v>1047</v>
      </c>
      <c r="C686" s="2">
        <f>SUM('Budget Detail FY 2013-18'!N956:N958)</f>
        <v>1252191</v>
      </c>
      <c r="D686" s="2">
        <f>SUM('Budget Detail FY 2013-18'!O956:O958)</f>
        <v>692476</v>
      </c>
      <c r="E686" s="2">
        <f>SUM('Budget Detail FY 2013-18'!P956:P958)</f>
        <v>707500</v>
      </c>
      <c r="F686" s="2">
        <f>SUM('Budget Detail FY 2013-18'!Q956:Q958)</f>
        <v>691905</v>
      </c>
      <c r="G686" s="2">
        <f>SUM('Budget Detail FY 2013-18'!R956:R958)</f>
        <v>670415</v>
      </c>
      <c r="H686" s="2">
        <f>SUM('Budget Detail FY 2013-18'!S956:S958)</f>
        <v>700000</v>
      </c>
      <c r="I686" s="2">
        <f>SUM('Budget Detail FY 2013-18'!T956:T958)</f>
        <v>700000</v>
      </c>
      <c r="J686" s="2">
        <f>SUM('Budget Detail FY 2013-18'!U956:U958)</f>
        <v>700000</v>
      </c>
      <c r="K686" s="2">
        <f>SUM('Budget Detail FY 2013-18'!V956:V958)</f>
        <v>725000</v>
      </c>
    </row>
    <row r="687" spans="1:11" ht="20.100000000000001" customHeight="1">
      <c r="A687" s="190"/>
      <c r="B687" s="192" t="s">
        <v>1048</v>
      </c>
      <c r="C687" s="2">
        <f>SUM('Budget Detail FY 2013-18'!N959:N960)</f>
        <v>24410</v>
      </c>
      <c r="D687" s="2">
        <f>SUM('Budget Detail FY 2013-18'!O959:O960)</f>
        <v>22212</v>
      </c>
      <c r="E687" s="2">
        <f>SUM('Budget Detail FY 2013-18'!P959:P960)</f>
        <v>22200</v>
      </c>
      <c r="F687" s="2">
        <f>SUM('Budget Detail FY 2013-18'!Q959:Q960)</f>
        <v>23852</v>
      </c>
      <c r="G687" s="2">
        <f>SUM('Budget Detail FY 2013-18'!R959:R960)</f>
        <v>22200</v>
      </c>
      <c r="H687" s="2">
        <f>SUM('Budget Detail FY 2013-18'!S959:S960)</f>
        <v>22200</v>
      </c>
      <c r="I687" s="2">
        <f>SUM('Budget Detail FY 2013-18'!T959:T960)</f>
        <v>22200</v>
      </c>
      <c r="J687" s="2">
        <f>SUM('Budget Detail FY 2013-18'!U959:U960)</f>
        <v>22200</v>
      </c>
      <c r="K687" s="2">
        <f>SUM('Budget Detail FY 2013-18'!V959:V960)</f>
        <v>22200</v>
      </c>
    </row>
    <row r="688" spans="1:11" ht="20.100000000000001" customHeight="1">
      <c r="A688" s="190"/>
      <c r="B688" s="5" t="s">
        <v>1049</v>
      </c>
      <c r="C688" s="2">
        <f>SUM('Budget Detail FY 2013-18'!N961:N962)</f>
        <v>17650</v>
      </c>
      <c r="D688" s="2">
        <f>SUM('Budget Detail FY 2013-18'!O961:O962)</f>
        <v>4681</v>
      </c>
      <c r="E688" s="2">
        <f>SUM('Budget Detail FY 2013-18'!P961:P962)</f>
        <v>0</v>
      </c>
      <c r="F688" s="2">
        <f>SUM('Budget Detail FY 2013-18'!Q961:Q962)</f>
        <v>0</v>
      </c>
      <c r="G688" s="2">
        <f>SUM('Budget Detail FY 2013-18'!R961:R962)</f>
        <v>0</v>
      </c>
      <c r="H688" s="2">
        <f>SUM('Budget Detail FY 2013-18'!S961:S962)</f>
        <v>0</v>
      </c>
      <c r="I688" s="2">
        <f>SUM('Budget Detail FY 2013-18'!T961:T962)</f>
        <v>0</v>
      </c>
      <c r="J688" s="2">
        <f>SUM('Budget Detail FY 2013-18'!U961:U962)</f>
        <v>0</v>
      </c>
      <c r="K688" s="2">
        <f>SUM('Budget Detail FY 2013-18'!V961:V962)</f>
        <v>0</v>
      </c>
    </row>
    <row r="689" spans="1:12" ht="20.100000000000001" customHeight="1">
      <c r="A689" s="190"/>
      <c r="B689" s="5" t="s">
        <v>1050</v>
      </c>
      <c r="C689" s="2">
        <f>'Budget Detail FY 2013-18'!N963</f>
        <v>14161</v>
      </c>
      <c r="D689" s="2">
        <f>'Budget Detail FY 2013-18'!O963</f>
        <v>12864</v>
      </c>
      <c r="E689" s="2">
        <f>'Budget Detail FY 2013-18'!P963</f>
        <v>13000</v>
      </c>
      <c r="F689" s="2">
        <f>'Budget Detail FY 2013-18'!Q963</f>
        <v>9300</v>
      </c>
      <c r="G689" s="2">
        <f>'Budget Detail FY 2013-18'!R963</f>
        <v>9300</v>
      </c>
      <c r="H689" s="2">
        <f>'Budget Detail FY 2013-18'!S963</f>
        <v>9300</v>
      </c>
      <c r="I689" s="2">
        <f>'Budget Detail FY 2013-18'!T963</f>
        <v>9300</v>
      </c>
      <c r="J689" s="2">
        <f>'Budget Detail FY 2013-18'!U963</f>
        <v>9300</v>
      </c>
      <c r="K689" s="2">
        <f>'Budget Detail FY 2013-18'!V963</f>
        <v>9300</v>
      </c>
    </row>
    <row r="690" spans="1:12" ht="20.100000000000001" customHeight="1">
      <c r="A690" s="190"/>
      <c r="B690" s="5" t="s">
        <v>1051</v>
      </c>
      <c r="C690" s="2">
        <f>SUM('Budget Detail FY 2013-18'!N964:N966)</f>
        <v>17117</v>
      </c>
      <c r="D690" s="2">
        <f>SUM('Budget Detail FY 2013-18'!O964:O966)</f>
        <v>15368</v>
      </c>
      <c r="E690" s="2">
        <f>SUM('Budget Detail FY 2013-18'!P964:P966)</f>
        <v>17000</v>
      </c>
      <c r="F690" s="2">
        <f>SUM('Budget Detail FY 2013-18'!Q964:Q966)</f>
        <v>13450</v>
      </c>
      <c r="G690" s="2">
        <f>SUM('Budget Detail FY 2013-18'!R964:R966)</f>
        <v>14000</v>
      </c>
      <c r="H690" s="2">
        <f>SUM('Budget Detail FY 2013-18'!S964:S966)</f>
        <v>14000</v>
      </c>
      <c r="I690" s="2">
        <f>SUM('Budget Detail FY 2013-18'!T964:T966)</f>
        <v>14000</v>
      </c>
      <c r="J690" s="2">
        <f>SUM('Budget Detail FY 2013-18'!U964:U966)</f>
        <v>14000</v>
      </c>
      <c r="K690" s="2">
        <f>SUM('Budget Detail FY 2013-18'!V964:V966)</f>
        <v>14000</v>
      </c>
    </row>
    <row r="691" spans="1:12" ht="20.100000000000001" customHeight="1">
      <c r="A691" s="190"/>
      <c r="B691" s="5" t="s">
        <v>1052</v>
      </c>
      <c r="C691" s="2">
        <f>'Budget Detail FY 2013-18'!N967</f>
        <v>690</v>
      </c>
      <c r="D691" s="2">
        <f>'Budget Detail FY 2013-18'!O967</f>
        <v>393</v>
      </c>
      <c r="E691" s="2">
        <f>'Budget Detail FY 2013-18'!P967</f>
        <v>150</v>
      </c>
      <c r="F691" s="2">
        <f>'Budget Detail FY 2013-18'!Q967</f>
        <v>1260</v>
      </c>
      <c r="G691" s="2">
        <f>'Budget Detail FY 2013-18'!R967</f>
        <v>1300</v>
      </c>
      <c r="H691" s="2">
        <f>'Budget Detail FY 2013-18'!S967</f>
        <v>1300</v>
      </c>
      <c r="I691" s="2">
        <f>'Budget Detail FY 2013-18'!T967</f>
        <v>1500</v>
      </c>
      <c r="J691" s="2">
        <f>'Budget Detail FY 2013-18'!U967</f>
        <v>1500</v>
      </c>
      <c r="K691" s="2">
        <f>'Budget Detail FY 2013-18'!V967</f>
        <v>1500</v>
      </c>
    </row>
    <row r="692" spans="1:12" ht="20.100000000000001" customHeight="1">
      <c r="A692" s="190"/>
      <c r="B692" s="5" t="s">
        <v>1053</v>
      </c>
      <c r="C692" s="2">
        <f>SUM('Budget Detail FY 2013-18'!N968:N969)</f>
        <v>0</v>
      </c>
      <c r="D692" s="2">
        <f>SUM('Budget Detail FY 2013-18'!O968:O969)</f>
        <v>0</v>
      </c>
      <c r="E692" s="2">
        <f>SUM('Budget Detail FY 2013-18'!P968:P969)</f>
        <v>7306</v>
      </c>
      <c r="F692" s="2">
        <f>SUM('Budget Detail FY 2013-18'!Q968:Q969)</f>
        <v>9396</v>
      </c>
      <c r="G692" s="2">
        <f>SUM('Budget Detail FY 2013-18'!R968:R969)</f>
        <v>0</v>
      </c>
      <c r="H692" s="2">
        <f>SUM('Budget Detail FY 2013-18'!S968:S969)</f>
        <v>0</v>
      </c>
      <c r="I692" s="2">
        <f>SUM('Budget Detail FY 2013-18'!T968:T969)</f>
        <v>0</v>
      </c>
      <c r="J692" s="2">
        <f>SUM('Budget Detail FY 2013-18'!U968:U969)</f>
        <v>0</v>
      </c>
      <c r="K692" s="2">
        <f>SUM('Budget Detail FY 2013-18'!V968:V969)</f>
        <v>0</v>
      </c>
    </row>
    <row r="693" spans="1:12" ht="20.100000000000001" customHeight="1">
      <c r="A693" s="190"/>
      <c r="B693" s="5" t="s">
        <v>1054</v>
      </c>
      <c r="C693" s="2">
        <f>SUM('Budget Detail FY 2013-18'!N970:N974)</f>
        <v>7823</v>
      </c>
      <c r="D693" s="2">
        <f>SUM('Budget Detail FY 2013-18'!O970:O974)</f>
        <v>15045</v>
      </c>
      <c r="E693" s="2">
        <f>SUM('Budget Detail FY 2013-18'!P970:P974)</f>
        <v>8500</v>
      </c>
      <c r="F693" s="2">
        <f>SUM('Budget Detail FY 2013-18'!Q970:Q974)</f>
        <v>8940</v>
      </c>
      <c r="G693" s="2">
        <f>SUM('Budget Detail FY 2013-18'!R970:R974)</f>
        <v>9250</v>
      </c>
      <c r="H693" s="2">
        <f>SUM('Budget Detail FY 2013-18'!S970:S974)</f>
        <v>9250</v>
      </c>
      <c r="I693" s="2">
        <f>SUM('Budget Detail FY 2013-18'!T970:T974)</f>
        <v>9250</v>
      </c>
      <c r="J693" s="2">
        <f>SUM('Budget Detail FY 2013-18'!U970:U974)</f>
        <v>9250</v>
      </c>
      <c r="K693" s="2">
        <f>SUM('Budget Detail FY 2013-18'!V970:V974)</f>
        <v>9250</v>
      </c>
    </row>
    <row r="694" spans="1:12" ht="20.100000000000001" customHeight="1">
      <c r="A694" s="190"/>
      <c r="B694" s="205" t="s">
        <v>1055</v>
      </c>
      <c r="C694" s="2">
        <f>'Budget Detail FY 2013-18'!N976+'Budget Detail FY 2013-18'!N975</f>
        <v>0</v>
      </c>
      <c r="D694" s="2">
        <f>'Budget Detail FY 2013-18'!O976+'Budget Detail FY 2013-18'!O975</f>
        <v>332500</v>
      </c>
      <c r="E694" s="2">
        <f>'Budget Detail FY 2013-18'!P976+'Budget Detail FY 2013-18'!P975</f>
        <v>41978</v>
      </c>
      <c r="F694" s="2">
        <f>'Budget Detail FY 2013-18'!Q976+'Budget Detail FY 2013-18'!Q975</f>
        <v>30000</v>
      </c>
      <c r="G694" s="2">
        <f>'Budget Detail FY 2013-18'!R976+'Budget Detail FY 2013-18'!R975</f>
        <v>52174</v>
      </c>
      <c r="H694" s="2">
        <f>'Budget Detail FY 2013-18'!S976+'Budget Detail FY 2013-18'!S975</f>
        <v>32375</v>
      </c>
      <c r="I694" s="2">
        <f>'Budget Detail FY 2013-18'!T976+'Budget Detail FY 2013-18'!T975</f>
        <v>34168</v>
      </c>
      <c r="J694" s="2">
        <f>'Budget Detail FY 2013-18'!U976+'Budget Detail FY 2013-18'!U975</f>
        <v>36068</v>
      </c>
      <c r="K694" s="2">
        <f>'Budget Detail FY 2013-18'!V976+'Budget Detail FY 2013-18'!V975</f>
        <v>38082</v>
      </c>
    </row>
    <row r="695" spans="1:12" ht="20.100000000000001" customHeight="1" thickBot="1">
      <c r="A695" s="190"/>
      <c r="B695" s="193" t="s">
        <v>1056</v>
      </c>
      <c r="C695" s="188">
        <f t="shared" ref="C695:J695" si="108">SUM(C686:C694)</f>
        <v>1334042</v>
      </c>
      <c r="D695" s="188">
        <f>SUM(D686:D694)</f>
        <v>1095539</v>
      </c>
      <c r="E695" s="188">
        <f t="shared" si="108"/>
        <v>817634</v>
      </c>
      <c r="F695" s="188">
        <f t="shared" si="108"/>
        <v>788103</v>
      </c>
      <c r="G695" s="188">
        <f t="shared" si="108"/>
        <v>778639</v>
      </c>
      <c r="H695" s="188">
        <f t="shared" si="108"/>
        <v>788425</v>
      </c>
      <c r="I695" s="188">
        <f>SUM(I686:I694)</f>
        <v>790418</v>
      </c>
      <c r="J695" s="188">
        <f t="shared" si="108"/>
        <v>792318</v>
      </c>
      <c r="K695" s="188">
        <f>SUM(K686:K694)</f>
        <v>819332</v>
      </c>
    </row>
    <row r="696" spans="1:12" s="152" customFormat="1" ht="15" hidden="1">
      <c r="A696" s="194"/>
      <c r="B696" s="195"/>
      <c r="C696" s="163">
        <f>'Budget Detail FY 2013-18'!N978</f>
        <v>1334042</v>
      </c>
      <c r="D696" s="163">
        <f>'Budget Detail FY 2013-18'!O978</f>
        <v>1095539</v>
      </c>
      <c r="E696" s="163">
        <f>'Budget Detail FY 2013-18'!P978</f>
        <v>817634</v>
      </c>
      <c r="F696" s="163">
        <f>'Budget Detail FY 2013-18'!Q978</f>
        <v>788103</v>
      </c>
      <c r="G696" s="163">
        <f>'Budget Detail FY 2013-18'!R978</f>
        <v>778639</v>
      </c>
      <c r="H696" s="163">
        <f>'Budget Detail FY 2013-18'!S978</f>
        <v>788425</v>
      </c>
      <c r="I696" s="163">
        <f>'Budget Detail FY 2013-18'!T978</f>
        <v>790418</v>
      </c>
      <c r="J696" s="163">
        <f>'Budget Detail FY 2013-18'!U978</f>
        <v>792318</v>
      </c>
      <c r="K696" s="163">
        <f>'Budget Detail FY 2013-18'!V978</f>
        <v>819332</v>
      </c>
      <c r="L696" s="166" t="s">
        <v>1462</v>
      </c>
    </row>
    <row r="697" spans="1:12" s="158" customFormat="1" ht="14.25" hidden="1">
      <c r="A697" s="196"/>
      <c r="B697" s="197"/>
      <c r="C697" s="164">
        <f>C695-C696</f>
        <v>0</v>
      </c>
      <c r="D697" s="164">
        <f t="shared" ref="D697:K697" si="109">D695-D696</f>
        <v>0</v>
      </c>
      <c r="E697" s="164">
        <f t="shared" si="109"/>
        <v>0</v>
      </c>
      <c r="F697" s="164">
        <f t="shared" si="109"/>
        <v>0</v>
      </c>
      <c r="G697" s="164">
        <f t="shared" si="109"/>
        <v>0</v>
      </c>
      <c r="H697" s="164">
        <f t="shared" si="109"/>
        <v>0</v>
      </c>
      <c r="I697" s="164">
        <f t="shared" si="109"/>
        <v>0</v>
      </c>
      <c r="J697" s="164">
        <f t="shared" si="109"/>
        <v>0</v>
      </c>
      <c r="K697" s="164">
        <f t="shared" si="109"/>
        <v>0</v>
      </c>
      <c r="L697" s="167" t="s">
        <v>1463</v>
      </c>
    </row>
    <row r="698" spans="1:12" ht="7.5" customHeight="1">
      <c r="A698" s="190"/>
      <c r="B698" s="1"/>
      <c r="C698" s="2"/>
      <c r="D698" s="2"/>
      <c r="E698" s="2"/>
      <c r="F698" s="2"/>
      <c r="G698" s="2"/>
      <c r="H698" s="2"/>
      <c r="I698" s="2"/>
      <c r="J698" s="2"/>
      <c r="K698" s="2"/>
    </row>
    <row r="699" spans="1:12" ht="15">
      <c r="A699" s="190"/>
      <c r="B699" s="198" t="s">
        <v>761</v>
      </c>
      <c r="C699" s="2"/>
      <c r="D699" s="2"/>
      <c r="E699" s="2"/>
      <c r="F699" s="2"/>
      <c r="G699" s="2"/>
      <c r="H699" s="2"/>
      <c r="I699" s="2"/>
      <c r="J699" s="2"/>
      <c r="K699" s="2"/>
    </row>
    <row r="700" spans="1:12" ht="20.100000000000001" customHeight="1">
      <c r="A700" s="190"/>
      <c r="B700" s="199" t="s">
        <v>1057</v>
      </c>
      <c r="C700" s="2">
        <f>SUM('Budget Detail FY 2013-18'!N980:N981)</f>
        <v>501353</v>
      </c>
      <c r="D700" s="2">
        <f>SUM('Budget Detail FY 2013-18'!O980:O981)</f>
        <v>432008</v>
      </c>
      <c r="E700" s="2">
        <f>SUM('Budget Detail FY 2013-18'!P980:P981)</f>
        <v>440000</v>
      </c>
      <c r="F700" s="2">
        <f>SUM('Budget Detail FY 2013-18'!Q980:Q981)</f>
        <v>440000</v>
      </c>
      <c r="G700" s="2">
        <f>SUM('Budget Detail FY 2013-18'!R980:R981)</f>
        <v>447540</v>
      </c>
      <c r="H700" s="2">
        <f>SUM('Budget Detail FY 2013-18'!S980:S981)</f>
        <v>447540</v>
      </c>
      <c r="I700" s="2">
        <f>SUM('Budget Detail FY 2013-18'!T980:T981)</f>
        <v>447540</v>
      </c>
      <c r="J700" s="2">
        <f>SUM('Budget Detail FY 2013-18'!U980:U981)</f>
        <v>447540</v>
      </c>
      <c r="K700" s="2">
        <f>SUM('Budget Detail FY 2013-18'!V980:V981)</f>
        <v>447540</v>
      </c>
    </row>
    <row r="701" spans="1:12" ht="20.100000000000001" customHeight="1">
      <c r="A701" s="190"/>
      <c r="B701" s="199" t="s">
        <v>1058</v>
      </c>
      <c r="C701" s="2">
        <f>SUM('Budget Detail FY 2013-18'!N982:N989)</f>
        <v>143220</v>
      </c>
      <c r="D701" s="2">
        <f>SUM('Budget Detail FY 2013-18'!O982:O989)</f>
        <v>149612</v>
      </c>
      <c r="E701" s="2">
        <f>SUM('Budget Detail FY 2013-18'!P982:P989)</f>
        <v>218553</v>
      </c>
      <c r="F701" s="2">
        <f>SUM('Budget Detail FY 2013-18'!Q982:Q989)</f>
        <v>200412</v>
      </c>
      <c r="G701" s="2">
        <f>SUM('Budget Detail FY 2013-18'!R982:R989)</f>
        <v>193524</v>
      </c>
      <c r="H701" s="2">
        <f>SUM('Budget Detail FY 2013-18'!S982:S989)</f>
        <v>205290</v>
      </c>
      <c r="I701" s="2">
        <f>SUM('Budget Detail FY 2013-18'!T982:T989)</f>
        <v>218163</v>
      </c>
      <c r="J701" s="2">
        <f>SUM('Budget Detail FY 2013-18'!U982:U989)</f>
        <v>227380</v>
      </c>
      <c r="K701" s="2">
        <f>SUM('Budget Detail FY 2013-18'!V982:V989)</f>
        <v>237148</v>
      </c>
    </row>
    <row r="702" spans="1:12" ht="20.100000000000001" customHeight="1">
      <c r="A702" s="190"/>
      <c r="B702" s="199" t="s">
        <v>1059</v>
      </c>
      <c r="C702" s="2">
        <f>SUM('Budget Detail FY 2013-18'!N990:N1003)</f>
        <v>149678</v>
      </c>
      <c r="D702" s="2">
        <f>SUM('Budget Detail FY 2013-18'!O990:O1003)</f>
        <v>88124</v>
      </c>
      <c r="E702" s="2">
        <f>SUM('Budget Detail FY 2013-18'!P990:P1003)</f>
        <v>111599</v>
      </c>
      <c r="F702" s="2">
        <f>SUM('Budget Detail FY 2013-18'!Q990:Q1003)</f>
        <v>108149</v>
      </c>
      <c r="G702" s="2">
        <f>SUM('Budget Detail FY 2013-18'!R990:R1003)</f>
        <v>109049</v>
      </c>
      <c r="H702" s="2">
        <f>SUM('Budget Detail FY 2013-18'!S990:S1003)</f>
        <v>109679</v>
      </c>
      <c r="I702" s="2">
        <f>SUM('Budget Detail FY 2013-18'!T990:T1003)</f>
        <v>110341</v>
      </c>
      <c r="J702" s="2">
        <f>SUM('Budget Detail FY 2013-18'!U990:U1003)</f>
        <v>111035</v>
      </c>
      <c r="K702" s="2">
        <f>SUM('Budget Detail FY 2013-18'!V990:V1003)</f>
        <v>111764</v>
      </c>
    </row>
    <row r="703" spans="1:12" ht="20.100000000000001" customHeight="1">
      <c r="A703" s="190"/>
      <c r="B703" s="199" t="s">
        <v>1060</v>
      </c>
      <c r="C703" s="2">
        <f>SUM('Budget Detail FY 2013-18'!N1004:N1018)</f>
        <v>180831</v>
      </c>
      <c r="D703" s="2">
        <f>SUM('Budget Detail FY 2013-18'!O1004:O1018)</f>
        <v>21623</v>
      </c>
      <c r="E703" s="2">
        <f>SUM('Budget Detail FY 2013-18'!P1004:P1018)</f>
        <v>21750</v>
      </c>
      <c r="F703" s="2">
        <f>SUM('Budget Detail FY 2013-18'!Q1004:Q1018)</f>
        <v>22750</v>
      </c>
      <c r="G703" s="2">
        <f>SUM('Budget Detail FY 2013-18'!R1004:R1018)</f>
        <v>21250</v>
      </c>
      <c r="H703" s="2">
        <f>SUM('Budget Detail FY 2013-18'!S1004:S1018)</f>
        <v>21250</v>
      </c>
      <c r="I703" s="2">
        <f>SUM('Budget Detail FY 2013-18'!T1004:T1018)</f>
        <v>21250</v>
      </c>
      <c r="J703" s="2">
        <f>SUM('Budget Detail FY 2013-18'!U1004:U1018)</f>
        <v>21250</v>
      </c>
      <c r="K703" s="2">
        <f>SUM('Budget Detail FY 2013-18'!V1004:V1018)</f>
        <v>21250</v>
      </c>
    </row>
    <row r="704" spans="1:12" ht="20.100000000000001" customHeight="1">
      <c r="A704" s="190"/>
      <c r="B704" s="205" t="s">
        <v>1062</v>
      </c>
      <c r="C704" s="2">
        <f>'Budget Detail FY 2013-18'!N1019</f>
        <v>6705</v>
      </c>
      <c r="D704" s="2">
        <f>'Budget Detail FY 2013-18'!O1019</f>
        <v>158</v>
      </c>
      <c r="E704" s="2">
        <f>'Budget Detail FY 2013-18'!P1019</f>
        <v>1000</v>
      </c>
      <c r="F704" s="2">
        <f>'Budget Detail FY 2013-18'!Q1019</f>
        <v>0</v>
      </c>
      <c r="G704" s="2">
        <f>'Budget Detail FY 2013-18'!R1019</f>
        <v>0</v>
      </c>
      <c r="H704" s="2">
        <f>'Budget Detail FY 2013-18'!S1019</f>
        <v>0</v>
      </c>
      <c r="I704" s="2">
        <f>'Budget Detail FY 2013-18'!T1019</f>
        <v>0</v>
      </c>
      <c r="J704" s="2">
        <f>'Budget Detail FY 2013-18'!U1019</f>
        <v>0</v>
      </c>
      <c r="K704" s="2">
        <f>'Budget Detail FY 2013-18'!V1019</f>
        <v>0</v>
      </c>
    </row>
    <row r="705" spans="1:12" ht="20.100000000000001" customHeight="1">
      <c r="A705" s="190"/>
      <c r="B705" s="205" t="s">
        <v>967</v>
      </c>
      <c r="C705" s="2">
        <f>SUM('Budget Detail FY 2013-18'!N1021:N1025)</f>
        <v>605925</v>
      </c>
      <c r="D705" s="2">
        <f>SUM('Budget Detail FY 2013-18'!O1021:O1025)</f>
        <v>0</v>
      </c>
      <c r="E705" s="2">
        <f>SUM('Budget Detail FY 2013-18'!P1021:P1025)</f>
        <v>0</v>
      </c>
      <c r="F705" s="2">
        <f>SUM('Budget Detail FY 2013-18'!Q1021:Q1025)</f>
        <v>0</v>
      </c>
      <c r="G705" s="2">
        <f>SUM('Budget Detail FY 2013-18'!R1021:R1025)</f>
        <v>0</v>
      </c>
      <c r="H705" s="2">
        <f>SUM('Budget Detail FY 2013-18'!S1021:S1025)</f>
        <v>0</v>
      </c>
      <c r="I705" s="2">
        <f>SUM('Budget Detail FY 2013-18'!T1021:T1025)</f>
        <v>0</v>
      </c>
      <c r="J705" s="2">
        <f>SUM('Budget Detail FY 2013-18'!U1021:U1025)</f>
        <v>0</v>
      </c>
      <c r="K705" s="2">
        <f>SUM('Budget Detail FY 2013-18'!V1021:V1025)</f>
        <v>0</v>
      </c>
    </row>
    <row r="706" spans="1:12" ht="20.100000000000001" customHeight="1">
      <c r="A706" s="190"/>
      <c r="B706" s="205" t="s">
        <v>1063</v>
      </c>
      <c r="C706" s="2">
        <f>SUM('Budget Detail FY 2013-18'!N1026:N1027)</f>
        <v>0</v>
      </c>
      <c r="D706" s="2">
        <f>SUM('Budget Detail FY 2013-18'!O1026:O1027)</f>
        <v>332519</v>
      </c>
      <c r="E706" s="2">
        <f>SUM('Budget Detail FY 2013-18'!P1026:P1027)</f>
        <v>1511</v>
      </c>
      <c r="F706" s="2">
        <f>SUM('Budget Detail FY 2013-18'!Q1026:Q1027)</f>
        <v>5469</v>
      </c>
      <c r="G706" s="2">
        <f>SUM('Budget Detail FY 2013-18'!R1026:R1027)</f>
        <v>0</v>
      </c>
      <c r="H706" s="2">
        <f>SUM('Budget Detail FY 2013-18'!S1026:S1027)</f>
        <v>0</v>
      </c>
      <c r="I706" s="2">
        <f>SUM('Budget Detail FY 2013-18'!T1026:T1027)</f>
        <v>0</v>
      </c>
      <c r="J706" s="2">
        <f>SUM('Budget Detail FY 2013-18'!U1026:U1027)</f>
        <v>0</v>
      </c>
      <c r="K706" s="2">
        <f>SUM('Budget Detail FY 2013-18'!V1026:V1027)</f>
        <v>0</v>
      </c>
    </row>
    <row r="707" spans="1:12" ht="20.100000000000001" customHeight="1" thickBot="1">
      <c r="A707" s="190"/>
      <c r="B707" s="193" t="s">
        <v>1064</v>
      </c>
      <c r="C707" s="188">
        <f t="shared" ref="C707:J707" si="110">SUM(C700:C706)</f>
        <v>1587712</v>
      </c>
      <c r="D707" s="188">
        <f>SUM(D700:D706)</f>
        <v>1024044</v>
      </c>
      <c r="E707" s="188">
        <f t="shared" si="110"/>
        <v>794413</v>
      </c>
      <c r="F707" s="188">
        <f t="shared" si="110"/>
        <v>776780</v>
      </c>
      <c r="G707" s="188">
        <f t="shared" si="110"/>
        <v>771363</v>
      </c>
      <c r="H707" s="188">
        <f t="shared" si="110"/>
        <v>783759</v>
      </c>
      <c r="I707" s="188">
        <f t="shared" si="110"/>
        <v>797294</v>
      </c>
      <c r="J707" s="188">
        <f t="shared" si="110"/>
        <v>807205</v>
      </c>
      <c r="K707" s="188">
        <f>SUM(K700:K706)</f>
        <v>817702</v>
      </c>
    </row>
    <row r="708" spans="1:12" s="152" customFormat="1" ht="15" hidden="1">
      <c r="A708" s="194"/>
      <c r="B708" s="195"/>
      <c r="C708" s="163">
        <f>'Budget Detail FY 2013-18'!N1029</f>
        <v>1587712</v>
      </c>
      <c r="D708" s="163">
        <f>'Budget Detail FY 2013-18'!O1029</f>
        <v>1024044</v>
      </c>
      <c r="E708" s="163">
        <f>'Budget Detail FY 2013-18'!P1029</f>
        <v>794413</v>
      </c>
      <c r="F708" s="163">
        <f>'Budget Detail FY 2013-18'!Q1029</f>
        <v>776780</v>
      </c>
      <c r="G708" s="163">
        <f>'Budget Detail FY 2013-18'!R1029</f>
        <v>771363</v>
      </c>
      <c r="H708" s="163">
        <f>'Budget Detail FY 2013-18'!S1029</f>
        <v>783759</v>
      </c>
      <c r="I708" s="163">
        <f>'Budget Detail FY 2013-18'!T1029</f>
        <v>797294</v>
      </c>
      <c r="J708" s="163">
        <f>'Budget Detail FY 2013-18'!U1029</f>
        <v>807205</v>
      </c>
      <c r="K708" s="163">
        <f>'Budget Detail FY 2013-18'!V1029</f>
        <v>817702</v>
      </c>
      <c r="L708" s="166" t="s">
        <v>1462</v>
      </c>
    </row>
    <row r="709" spans="1:12" s="158" customFormat="1" ht="14.25" hidden="1">
      <c r="A709" s="196"/>
      <c r="B709" s="197"/>
      <c r="C709" s="164">
        <f>C707-C708</f>
        <v>0</v>
      </c>
      <c r="D709" s="164">
        <f t="shared" ref="D709:K709" si="111">D707-D708</f>
        <v>0</v>
      </c>
      <c r="E709" s="164">
        <f t="shared" si="111"/>
        <v>0</v>
      </c>
      <c r="F709" s="164">
        <f t="shared" si="111"/>
        <v>0</v>
      </c>
      <c r="G709" s="164">
        <f t="shared" si="111"/>
        <v>0</v>
      </c>
      <c r="H709" s="164">
        <f t="shared" si="111"/>
        <v>0</v>
      </c>
      <c r="I709" s="164">
        <f t="shared" si="111"/>
        <v>0</v>
      </c>
      <c r="J709" s="164">
        <f t="shared" si="111"/>
        <v>0</v>
      </c>
      <c r="K709" s="164">
        <f t="shared" si="111"/>
        <v>0</v>
      </c>
      <c r="L709" s="167" t="s">
        <v>1463</v>
      </c>
    </row>
    <row r="710" spans="1:12" ht="7.5" customHeight="1">
      <c r="A710" s="190"/>
      <c r="B710" s="200"/>
      <c r="C710" s="3"/>
      <c r="D710" s="2"/>
      <c r="E710" s="2"/>
      <c r="F710" s="2"/>
      <c r="G710" s="2"/>
      <c r="H710" s="2"/>
      <c r="I710" s="2"/>
      <c r="J710" s="2"/>
      <c r="K710" s="2"/>
    </row>
    <row r="711" spans="1:12" ht="20.100000000000001" customHeight="1">
      <c r="A711" s="190"/>
      <c r="B711" s="189" t="s">
        <v>1065</v>
      </c>
      <c r="C711" s="3">
        <f t="shared" ref="C711:J711" si="112">+C695-C707</f>
        <v>-253670</v>
      </c>
      <c r="D711" s="3">
        <f>+D695-D707</f>
        <v>71495</v>
      </c>
      <c r="E711" s="3">
        <f t="shared" si="112"/>
        <v>23221</v>
      </c>
      <c r="F711" s="3">
        <f t="shared" si="112"/>
        <v>11323</v>
      </c>
      <c r="G711" s="3">
        <f t="shared" si="112"/>
        <v>7276</v>
      </c>
      <c r="H711" s="3">
        <f t="shared" si="112"/>
        <v>4666</v>
      </c>
      <c r="I711" s="3">
        <f t="shared" si="112"/>
        <v>-6876</v>
      </c>
      <c r="J711" s="3">
        <f t="shared" si="112"/>
        <v>-14887</v>
      </c>
      <c r="K711" s="3">
        <f>+K695-K707</f>
        <v>1630</v>
      </c>
    </row>
    <row r="712" spans="1:12" s="152" customFormat="1" ht="15" hidden="1">
      <c r="A712" s="194"/>
      <c r="B712" s="201"/>
      <c r="C712" s="163">
        <f>'Budget Detail FY 2013-18'!N1031</f>
        <v>-253670</v>
      </c>
      <c r="D712" s="163">
        <f>'Budget Detail FY 2013-18'!O1031</f>
        <v>71495</v>
      </c>
      <c r="E712" s="163">
        <f>'Budget Detail FY 2013-18'!P1031</f>
        <v>23221</v>
      </c>
      <c r="F712" s="163">
        <f>'Budget Detail FY 2013-18'!Q1031</f>
        <v>11323</v>
      </c>
      <c r="G712" s="163">
        <f>'Budget Detail FY 2013-18'!R1031</f>
        <v>7276</v>
      </c>
      <c r="H712" s="163">
        <f>'Budget Detail FY 2013-18'!S1031</f>
        <v>4666</v>
      </c>
      <c r="I712" s="163">
        <f>'Budget Detail FY 2013-18'!T1031</f>
        <v>-6876</v>
      </c>
      <c r="J712" s="163">
        <f>'Budget Detail FY 2013-18'!U1031</f>
        <v>-14887</v>
      </c>
      <c r="K712" s="163">
        <f>'Budget Detail FY 2013-18'!V1031</f>
        <v>1630</v>
      </c>
      <c r="L712" s="166" t="s">
        <v>1462</v>
      </c>
    </row>
    <row r="713" spans="1:12" s="158" customFormat="1" ht="15" hidden="1">
      <c r="A713" s="196"/>
      <c r="B713" s="202"/>
      <c r="C713" s="211">
        <f>C711-C712</f>
        <v>0</v>
      </c>
      <c r="D713" s="211">
        <f t="shared" ref="D713:K713" si="113">D711-D712</f>
        <v>0</v>
      </c>
      <c r="E713" s="211">
        <f t="shared" si="113"/>
        <v>0</v>
      </c>
      <c r="F713" s="211">
        <f t="shared" si="113"/>
        <v>0</v>
      </c>
      <c r="G713" s="211">
        <f t="shared" si="113"/>
        <v>0</v>
      </c>
      <c r="H713" s="211">
        <f t="shared" si="113"/>
        <v>0</v>
      </c>
      <c r="I713" s="211">
        <f t="shared" si="113"/>
        <v>0</v>
      </c>
      <c r="J713" s="211">
        <f t="shared" si="113"/>
        <v>0</v>
      </c>
      <c r="K713" s="211">
        <f t="shared" si="113"/>
        <v>0</v>
      </c>
      <c r="L713" s="167" t="s">
        <v>1463</v>
      </c>
    </row>
    <row r="714" spans="1:12" ht="7.5" customHeight="1">
      <c r="A714" s="190"/>
      <c r="B714" s="204"/>
      <c r="C714" s="3"/>
      <c r="D714" s="2"/>
      <c r="E714" s="2"/>
      <c r="F714" s="2"/>
      <c r="G714" s="2"/>
      <c r="H714" s="2"/>
      <c r="I714" s="2"/>
      <c r="J714" s="2"/>
      <c r="K714" s="2"/>
    </row>
    <row r="715" spans="1:12" ht="20.100000000000001" customHeight="1" thickBot="1">
      <c r="A715" s="190"/>
      <c r="B715" s="191" t="s">
        <v>1066</v>
      </c>
      <c r="C715" s="99">
        <v>317336</v>
      </c>
      <c r="D715" s="99">
        <v>388831</v>
      </c>
      <c r="E715" s="99">
        <v>370330</v>
      </c>
      <c r="F715" s="99">
        <f>D715+F711</f>
        <v>400154</v>
      </c>
      <c r="G715" s="99">
        <f>F715+G711</f>
        <v>407430</v>
      </c>
      <c r="H715" s="99">
        <f>G715+H711</f>
        <v>412096</v>
      </c>
      <c r="I715" s="99">
        <f>H715+I711</f>
        <v>405220</v>
      </c>
      <c r="J715" s="99">
        <f>I715+J711</f>
        <v>390333</v>
      </c>
      <c r="K715" s="99">
        <f>J715+K711</f>
        <v>391963</v>
      </c>
    </row>
    <row r="716" spans="1:12" s="152" customFormat="1" ht="15.75" hidden="1" thickTop="1">
      <c r="A716" s="194"/>
      <c r="B716" s="195"/>
      <c r="C716" s="163">
        <f>'Budget Detail FY 2013-18'!N1033</f>
        <v>317336</v>
      </c>
      <c r="D716" s="163">
        <f>'Budget Detail FY 2013-18'!O1033</f>
        <v>388831</v>
      </c>
      <c r="E716" s="163">
        <f>'Budget Detail FY 2013-18'!P1033</f>
        <v>370330</v>
      </c>
      <c r="F716" s="163">
        <f>'Budget Detail FY 2013-18'!Q1033</f>
        <v>400154</v>
      </c>
      <c r="G716" s="163">
        <f>'Budget Detail FY 2013-18'!R1033</f>
        <v>407430</v>
      </c>
      <c r="H716" s="163">
        <f>'Budget Detail FY 2013-18'!S1033</f>
        <v>412096</v>
      </c>
      <c r="I716" s="163">
        <f>'Budget Detail FY 2013-18'!T1033</f>
        <v>405220</v>
      </c>
      <c r="J716" s="163">
        <f>'Budget Detail FY 2013-18'!U1033</f>
        <v>390333</v>
      </c>
      <c r="K716" s="163">
        <f>'Budget Detail FY 2013-18'!V1033</f>
        <v>391963</v>
      </c>
      <c r="L716" s="166" t="s">
        <v>1462</v>
      </c>
    </row>
    <row r="717" spans="1:12" s="158" customFormat="1" ht="14.25" hidden="1">
      <c r="A717" s="196"/>
      <c r="B717" s="197"/>
      <c r="C717" s="164">
        <f>C715-C716</f>
        <v>0</v>
      </c>
      <c r="D717" s="164">
        <f t="shared" ref="D717:K717" si="114">D715-D716</f>
        <v>0</v>
      </c>
      <c r="E717" s="164">
        <f t="shared" si="114"/>
        <v>0</v>
      </c>
      <c r="F717" s="164">
        <f t="shared" si="114"/>
        <v>0</v>
      </c>
      <c r="G717" s="164">
        <f t="shared" si="114"/>
        <v>0</v>
      </c>
      <c r="H717" s="164">
        <f t="shared" si="114"/>
        <v>0</v>
      </c>
      <c r="I717" s="164">
        <f t="shared" si="114"/>
        <v>0</v>
      </c>
      <c r="J717" s="164">
        <f t="shared" si="114"/>
        <v>0</v>
      </c>
      <c r="K717" s="164">
        <f t="shared" si="114"/>
        <v>0</v>
      </c>
      <c r="L717" s="167" t="s">
        <v>1463</v>
      </c>
    </row>
    <row r="718" spans="1:12" ht="15.75" thickTop="1">
      <c r="A718" s="190"/>
      <c r="B718" s="205"/>
      <c r="C718" s="206">
        <f t="shared" ref="C718:K718" si="115">+C715/C707</f>
        <v>0.19987000161238311</v>
      </c>
      <c r="D718" s="206">
        <f t="shared" si="115"/>
        <v>0.37970145814047052</v>
      </c>
      <c r="E718" s="206">
        <f t="shared" si="115"/>
        <v>0.46616810147870186</v>
      </c>
      <c r="F718" s="206">
        <f t="shared" si="115"/>
        <v>0.51514457117845469</v>
      </c>
      <c r="G718" s="206">
        <f t="shared" si="115"/>
        <v>0.52819489656620811</v>
      </c>
      <c r="H718" s="206">
        <f t="shared" si="115"/>
        <v>0.52579428115020055</v>
      </c>
      <c r="I718" s="206">
        <f t="shared" si="115"/>
        <v>0.50824413578930738</v>
      </c>
      <c r="J718" s="206">
        <f t="shared" si="115"/>
        <v>0.48356117714830804</v>
      </c>
      <c r="K718" s="206">
        <f t="shared" si="115"/>
        <v>0.47934699927357399</v>
      </c>
    </row>
    <row r="719" spans="1:12" ht="7.5" customHeight="1">
      <c r="A719" s="190"/>
      <c r="B719" s="205"/>
      <c r="C719" s="219"/>
      <c r="D719" s="219"/>
      <c r="E719" s="219"/>
      <c r="F719" s="219"/>
      <c r="G719" s="219"/>
      <c r="H719" s="219"/>
      <c r="I719" s="219"/>
      <c r="J719" s="219"/>
      <c r="K719" s="219"/>
    </row>
    <row r="720" spans="1:12" ht="15">
      <c r="A720" s="190"/>
      <c r="B720" s="205"/>
      <c r="C720" s="2"/>
      <c r="D720" s="2"/>
      <c r="E720" s="2"/>
      <c r="F720" s="2"/>
      <c r="G720" s="2"/>
      <c r="H720" s="2"/>
      <c r="I720" s="2"/>
      <c r="J720" s="2"/>
      <c r="K720" s="2"/>
    </row>
    <row r="721" spans="1:11" ht="15">
      <c r="A721" s="190"/>
      <c r="B721" s="1"/>
      <c r="C721" s="2"/>
      <c r="D721" s="2"/>
      <c r="E721" s="2"/>
      <c r="F721" s="2"/>
      <c r="G721" s="2"/>
      <c r="H721" s="2"/>
      <c r="I721" s="2"/>
      <c r="J721" s="2"/>
      <c r="K721" s="2"/>
    </row>
    <row r="722" spans="1:11" ht="15">
      <c r="A722" s="190"/>
      <c r="B722" s="1"/>
      <c r="C722" s="2"/>
      <c r="D722" s="2"/>
      <c r="E722" s="2"/>
      <c r="F722" s="2"/>
      <c r="G722" s="2"/>
      <c r="H722" s="2"/>
      <c r="I722" s="2"/>
      <c r="J722" s="2"/>
      <c r="K722" s="2"/>
    </row>
    <row r="723" spans="1:11" ht="15">
      <c r="A723" s="190"/>
      <c r="B723" s="1"/>
      <c r="C723" s="2"/>
      <c r="D723" s="2"/>
      <c r="E723" s="2"/>
      <c r="F723" s="2"/>
      <c r="G723" s="2"/>
      <c r="H723" s="2"/>
      <c r="I723" s="2"/>
      <c r="J723" s="2"/>
      <c r="K723" s="2"/>
    </row>
    <row r="724" spans="1:11" ht="15">
      <c r="A724" s="190"/>
      <c r="B724" s="1"/>
      <c r="C724" s="2"/>
      <c r="D724" s="2"/>
      <c r="E724" s="2"/>
      <c r="F724" s="2"/>
      <c r="G724" s="2"/>
      <c r="H724" s="2"/>
      <c r="I724" s="2"/>
      <c r="J724" s="2"/>
      <c r="K724" s="2"/>
    </row>
    <row r="725" spans="1:11" ht="15">
      <c r="A725" s="190"/>
      <c r="B725" s="1"/>
      <c r="C725" s="2"/>
      <c r="D725" s="2"/>
      <c r="E725" s="2"/>
      <c r="F725" s="2"/>
      <c r="G725" s="2"/>
      <c r="H725" s="2"/>
      <c r="I725" s="2"/>
      <c r="J725" s="2"/>
      <c r="K725" s="2"/>
    </row>
    <row r="726" spans="1:11" ht="15">
      <c r="A726" s="190"/>
      <c r="B726" s="1"/>
      <c r="C726" s="2"/>
      <c r="D726" s="2"/>
      <c r="E726" s="2"/>
      <c r="F726" s="2"/>
      <c r="G726" s="2"/>
      <c r="H726" s="2"/>
      <c r="I726" s="2"/>
      <c r="J726" s="2"/>
      <c r="K726" s="2"/>
    </row>
    <row r="727" spans="1:11" ht="15">
      <c r="A727" s="190"/>
      <c r="B727" s="1"/>
      <c r="C727" s="2"/>
      <c r="D727" s="2"/>
      <c r="E727" s="2"/>
      <c r="F727" s="2"/>
      <c r="G727" s="2"/>
      <c r="H727" s="2"/>
      <c r="I727" s="2"/>
      <c r="J727" s="2"/>
      <c r="K727" s="2"/>
    </row>
    <row r="728" spans="1:11" ht="15">
      <c r="A728" s="190"/>
      <c r="B728" s="1"/>
      <c r="C728" s="2"/>
      <c r="D728" s="2"/>
      <c r="E728" s="2"/>
      <c r="F728" s="2"/>
      <c r="G728" s="2"/>
      <c r="H728" s="2"/>
      <c r="I728" s="2"/>
      <c r="J728" s="2"/>
      <c r="K728" s="2"/>
    </row>
    <row r="729" spans="1:11" ht="15">
      <c r="A729" s="190"/>
      <c r="B729" s="1"/>
      <c r="C729" s="2"/>
      <c r="D729" s="2"/>
      <c r="E729" s="2"/>
      <c r="F729" s="2"/>
      <c r="G729" s="2"/>
      <c r="H729" s="2"/>
      <c r="I729" s="2"/>
      <c r="J729" s="2"/>
      <c r="K729" s="2"/>
    </row>
    <row r="730" spans="1:11" ht="15">
      <c r="A730" s="190"/>
      <c r="B730" s="1"/>
      <c r="C730" s="2"/>
      <c r="D730" s="2"/>
      <c r="E730" s="2"/>
      <c r="F730" s="2"/>
      <c r="G730" s="2"/>
      <c r="H730" s="2"/>
      <c r="I730" s="2"/>
      <c r="J730" s="2"/>
      <c r="K730" s="2"/>
    </row>
    <row r="731" spans="1:11" ht="15">
      <c r="A731" s="190"/>
      <c r="B731" s="1"/>
      <c r="C731" s="2"/>
      <c r="D731" s="2"/>
      <c r="E731" s="2"/>
      <c r="F731" s="2"/>
      <c r="G731" s="2"/>
      <c r="H731" s="2"/>
      <c r="I731" s="2"/>
      <c r="J731" s="2"/>
      <c r="K731" s="2"/>
    </row>
    <row r="732" spans="1:11" ht="15">
      <c r="A732" s="190"/>
      <c r="B732" s="1"/>
      <c r="C732" s="2"/>
      <c r="D732" s="2"/>
      <c r="E732" s="2"/>
      <c r="F732" s="2"/>
      <c r="G732" s="2"/>
      <c r="H732" s="2"/>
      <c r="I732" s="2"/>
      <c r="J732" s="2"/>
      <c r="K732" s="2"/>
    </row>
    <row r="733" spans="1:11">
      <c r="A733" s="190"/>
      <c r="B733" s="190"/>
      <c r="C733" s="207"/>
      <c r="D733" s="207"/>
      <c r="E733" s="208"/>
      <c r="F733" s="208"/>
      <c r="G733" s="208"/>
      <c r="H733" s="208"/>
      <c r="I733" s="208"/>
      <c r="J733" s="208"/>
      <c r="K733" s="208"/>
    </row>
    <row r="734" spans="1:11" ht="18.75" customHeight="1">
      <c r="A734" s="190"/>
      <c r="B734" s="523" t="s">
        <v>1090</v>
      </c>
      <c r="C734" s="523"/>
      <c r="D734" s="523"/>
      <c r="E734" s="523"/>
      <c r="F734" s="523"/>
      <c r="G734" s="523"/>
      <c r="H734" s="523"/>
      <c r="I734" s="523"/>
      <c r="J734" s="523"/>
      <c r="K734" s="523"/>
    </row>
    <row r="735" spans="1:11" ht="15">
      <c r="A735" s="190"/>
      <c r="B735" s="80"/>
      <c r="C735" s="3"/>
      <c r="D735" s="2"/>
      <c r="E735" s="2"/>
      <c r="F735" s="2"/>
      <c r="G735" s="2"/>
      <c r="H735" s="2"/>
      <c r="I735" s="2"/>
      <c r="J735" s="2"/>
      <c r="K735" s="2"/>
    </row>
    <row r="736" spans="1:11" ht="12.75" customHeight="1">
      <c r="A736" s="190"/>
      <c r="B736" s="529" t="s">
        <v>1091</v>
      </c>
      <c r="C736" s="529"/>
      <c r="D736" s="529"/>
      <c r="E736" s="529"/>
      <c r="F736" s="529"/>
      <c r="G736" s="529"/>
      <c r="H736" s="529"/>
      <c r="I736" s="529"/>
      <c r="J736" s="529"/>
      <c r="K736" s="529"/>
    </row>
    <row r="737" spans="1:12" ht="12.75" customHeight="1">
      <c r="A737" s="190"/>
      <c r="B737" s="529"/>
      <c r="C737" s="529"/>
      <c r="D737" s="529"/>
      <c r="E737" s="529"/>
      <c r="F737" s="529"/>
      <c r="G737" s="529"/>
      <c r="H737" s="529"/>
      <c r="I737" s="529"/>
      <c r="J737" s="529"/>
      <c r="K737" s="529"/>
    </row>
    <row r="738" spans="1:12" ht="15">
      <c r="A738" s="190"/>
      <c r="B738" s="187"/>
      <c r="C738" s="31"/>
      <c r="D738" s="31"/>
      <c r="E738" s="31"/>
      <c r="F738" s="31"/>
      <c r="G738" s="31"/>
      <c r="H738" s="2"/>
      <c r="I738" s="2"/>
      <c r="J738" s="2"/>
      <c r="K738" s="2"/>
    </row>
    <row r="739" spans="1:12" ht="15">
      <c r="A739" s="190"/>
      <c r="B739" s="5"/>
      <c r="C739" s="80"/>
      <c r="D739" s="81"/>
      <c r="E739" s="80" t="s">
        <v>312</v>
      </c>
      <c r="F739" s="1"/>
      <c r="G739" s="1"/>
      <c r="H739" s="1"/>
      <c r="I739" s="1"/>
      <c r="J739" s="1"/>
      <c r="K739" s="1"/>
    </row>
    <row r="740" spans="1:12" ht="15">
      <c r="A740" s="190"/>
      <c r="B740" s="81"/>
      <c r="C740" s="80" t="s">
        <v>23</v>
      </c>
      <c r="D740" s="104" t="s">
        <v>253</v>
      </c>
      <c r="E740" s="81" t="s">
        <v>1045</v>
      </c>
      <c r="F740" s="81" t="s">
        <v>312</v>
      </c>
      <c r="G740" s="81" t="s">
        <v>313</v>
      </c>
      <c r="H740" s="81" t="s">
        <v>329</v>
      </c>
      <c r="I740" s="81" t="s">
        <v>332</v>
      </c>
      <c r="J740" s="81" t="s">
        <v>333</v>
      </c>
      <c r="K740" s="81" t="s">
        <v>1224</v>
      </c>
    </row>
    <row r="741" spans="1:12" ht="15.75" thickBot="1">
      <c r="A741" s="190"/>
      <c r="B741" s="209"/>
      <c r="C741" s="83" t="s">
        <v>1</v>
      </c>
      <c r="D741" s="83" t="s">
        <v>1</v>
      </c>
      <c r="E741" s="83" t="s">
        <v>987</v>
      </c>
      <c r="F741" s="83" t="s">
        <v>24</v>
      </c>
      <c r="G741" s="83" t="s">
        <v>1045</v>
      </c>
      <c r="H741" s="83" t="s">
        <v>24</v>
      </c>
      <c r="I741" s="83" t="s">
        <v>24</v>
      </c>
      <c r="J741" s="83" t="s">
        <v>24</v>
      </c>
      <c r="K741" s="83" t="s">
        <v>24</v>
      </c>
    </row>
    <row r="742" spans="1:12" ht="15">
      <c r="A742" s="190"/>
      <c r="B742" s="79"/>
      <c r="C742" s="210"/>
      <c r="D742" s="2"/>
      <c r="E742" s="2"/>
      <c r="F742" s="2"/>
      <c r="G742" s="2"/>
      <c r="H742" s="2"/>
      <c r="I742" s="2"/>
      <c r="J742" s="2"/>
      <c r="K742" s="2"/>
    </row>
    <row r="743" spans="1:12" ht="15">
      <c r="A743" s="190"/>
      <c r="B743" s="198" t="s">
        <v>1046</v>
      </c>
      <c r="C743" s="2"/>
      <c r="D743" s="2"/>
      <c r="E743" s="2"/>
      <c r="F743" s="2"/>
      <c r="G743" s="2"/>
      <c r="H743" s="2"/>
      <c r="I743" s="2"/>
      <c r="J743" s="2"/>
      <c r="K743" s="2"/>
    </row>
    <row r="744" spans="1:12" ht="20.100000000000001" customHeight="1">
      <c r="A744" s="190"/>
      <c r="B744" s="192" t="s">
        <v>1047</v>
      </c>
      <c r="C744" s="2">
        <f>'Budget Detail FY 2013-18'!N1038</f>
        <v>0</v>
      </c>
      <c r="D744" s="2">
        <f>'Budget Detail FY 2013-18'!O1038</f>
        <v>718839</v>
      </c>
      <c r="E744" s="2">
        <f>'Budget Detail FY 2013-18'!P1038</f>
        <v>795488</v>
      </c>
      <c r="F744" s="2">
        <f>'Budget Detail FY 2013-18'!Q1038</f>
        <v>791640</v>
      </c>
      <c r="G744" s="2">
        <f>'Budget Detail FY 2013-18'!R1038</f>
        <v>771763</v>
      </c>
      <c r="H744" s="2">
        <f>'Budget Detail FY 2013-18'!S1038</f>
        <v>730288</v>
      </c>
      <c r="I744" s="2">
        <f>'Budget Detail FY 2013-18'!T1038</f>
        <v>743513</v>
      </c>
      <c r="J744" s="2">
        <f>'Budget Detail FY 2013-18'!U1038</f>
        <v>751238</v>
      </c>
      <c r="K744" s="2">
        <f>'Budget Detail FY 2013-18'!V1038</f>
        <v>753563</v>
      </c>
    </row>
    <row r="745" spans="1:12" ht="20.100000000000001" customHeight="1">
      <c r="A745" s="190"/>
      <c r="B745" s="5" t="s">
        <v>1052</v>
      </c>
      <c r="C745" s="2">
        <f>'Budget Detail FY 2013-18'!N1039</f>
        <v>0</v>
      </c>
      <c r="D745" s="2">
        <f>'Budget Detail FY 2013-18'!O1039</f>
        <v>140</v>
      </c>
      <c r="E745" s="2">
        <f>'Budget Detail FY 2013-18'!P1039</f>
        <v>300</v>
      </c>
      <c r="F745" s="2">
        <f>'Budget Detail FY 2013-18'!Q1039</f>
        <v>200</v>
      </c>
      <c r="G745" s="2">
        <f>'Budget Detail FY 2013-18'!R1039</f>
        <v>200</v>
      </c>
      <c r="H745" s="2">
        <f>'Budget Detail FY 2013-18'!S1039</f>
        <v>200</v>
      </c>
      <c r="I745" s="2">
        <f>'Budget Detail FY 2013-18'!T1039</f>
        <v>200</v>
      </c>
      <c r="J745" s="2">
        <f>'Budget Detail FY 2013-18'!U1039</f>
        <v>200</v>
      </c>
      <c r="K745" s="2">
        <f>'Budget Detail FY 2013-18'!V1039</f>
        <v>200</v>
      </c>
    </row>
    <row r="746" spans="1:12" ht="20.100000000000001" customHeight="1">
      <c r="A746" s="190"/>
      <c r="B746" s="205" t="s">
        <v>1055</v>
      </c>
      <c r="C746" s="2">
        <f>'Budget Detail FY 2013-18'!N1040</f>
        <v>0</v>
      </c>
      <c r="D746" s="2">
        <f>'Budget Detail FY 2013-18'!O1040</f>
        <v>0</v>
      </c>
      <c r="E746" s="2">
        <f>'Budget Detail FY 2013-18'!P1040</f>
        <v>1511</v>
      </c>
      <c r="F746" s="2">
        <f>'Budget Detail FY 2013-18'!Q1040</f>
        <v>5469</v>
      </c>
      <c r="G746" s="2">
        <f>'Budget Detail FY 2013-18'!R1040</f>
        <v>0</v>
      </c>
      <c r="H746" s="2">
        <f>'Budget Detail FY 2013-18'!S1040</f>
        <v>0</v>
      </c>
      <c r="I746" s="2">
        <f>'Budget Detail FY 2013-18'!T1040</f>
        <v>0</v>
      </c>
      <c r="J746" s="2">
        <f>'Budget Detail FY 2013-18'!U1040</f>
        <v>0</v>
      </c>
      <c r="K746" s="2">
        <f>'Budget Detail FY 2013-18'!V1040</f>
        <v>0</v>
      </c>
    </row>
    <row r="747" spans="1:12" ht="20.100000000000001" customHeight="1" thickBot="1">
      <c r="A747" s="190"/>
      <c r="B747" s="193" t="s">
        <v>1056</v>
      </c>
      <c r="C747" s="188">
        <f t="shared" ref="C747:J747" si="116">SUM(C744:C746)</f>
        <v>0</v>
      </c>
      <c r="D747" s="188">
        <f t="shared" si="116"/>
        <v>718979</v>
      </c>
      <c r="E747" s="188">
        <f>SUM(E744:E746)</f>
        <v>797299</v>
      </c>
      <c r="F747" s="188">
        <f t="shared" si="116"/>
        <v>797309</v>
      </c>
      <c r="G747" s="188">
        <f t="shared" si="116"/>
        <v>771963</v>
      </c>
      <c r="H747" s="188">
        <f t="shared" si="116"/>
        <v>730488</v>
      </c>
      <c r="I747" s="188">
        <f t="shared" si="116"/>
        <v>743713</v>
      </c>
      <c r="J747" s="188">
        <f t="shared" si="116"/>
        <v>751438</v>
      </c>
      <c r="K747" s="188">
        <f>SUM(K744:K746)</f>
        <v>753763</v>
      </c>
    </row>
    <row r="748" spans="1:12" s="152" customFormat="1" ht="15" hidden="1">
      <c r="A748" s="194"/>
      <c r="B748" s="195"/>
      <c r="C748" s="163">
        <f>'Budget Detail FY 2013-18'!N1042</f>
        <v>0</v>
      </c>
      <c r="D748" s="163">
        <f>'Budget Detail FY 2013-18'!O1042</f>
        <v>718979</v>
      </c>
      <c r="E748" s="163">
        <f>'Budget Detail FY 2013-18'!P1042</f>
        <v>797299</v>
      </c>
      <c r="F748" s="163">
        <f>'Budget Detail FY 2013-18'!Q1042</f>
        <v>797309</v>
      </c>
      <c r="G748" s="163">
        <f>'Budget Detail FY 2013-18'!R1042</f>
        <v>771963</v>
      </c>
      <c r="H748" s="163">
        <f>'Budget Detail FY 2013-18'!S1042</f>
        <v>730488</v>
      </c>
      <c r="I748" s="163">
        <f>'Budget Detail FY 2013-18'!T1042</f>
        <v>743713</v>
      </c>
      <c r="J748" s="163">
        <f>'Budget Detail FY 2013-18'!U1042</f>
        <v>751438</v>
      </c>
      <c r="K748" s="163">
        <f>'Budget Detail FY 2013-18'!V1042</f>
        <v>753763</v>
      </c>
      <c r="L748" s="166" t="s">
        <v>1462</v>
      </c>
    </row>
    <row r="749" spans="1:12" s="158" customFormat="1" ht="14.25" hidden="1">
      <c r="A749" s="196"/>
      <c r="B749" s="197"/>
      <c r="C749" s="164">
        <f>C747-C748</f>
        <v>0</v>
      </c>
      <c r="D749" s="164">
        <f t="shared" ref="D749:K749" si="117">D747-D748</f>
        <v>0</v>
      </c>
      <c r="E749" s="164">
        <f t="shared" si="117"/>
        <v>0</v>
      </c>
      <c r="F749" s="164">
        <f t="shared" si="117"/>
        <v>0</v>
      </c>
      <c r="G749" s="164">
        <f t="shared" si="117"/>
        <v>0</v>
      </c>
      <c r="H749" s="164">
        <f t="shared" si="117"/>
        <v>0</v>
      </c>
      <c r="I749" s="164">
        <f t="shared" si="117"/>
        <v>0</v>
      </c>
      <c r="J749" s="164">
        <f t="shared" si="117"/>
        <v>0</v>
      </c>
      <c r="K749" s="164">
        <f t="shared" si="117"/>
        <v>0</v>
      </c>
      <c r="L749" s="167" t="s">
        <v>1463</v>
      </c>
    </row>
    <row r="750" spans="1:12" ht="15">
      <c r="A750" s="190"/>
      <c r="B750" s="1"/>
      <c r="C750" s="2"/>
      <c r="D750" s="2"/>
      <c r="E750" s="2"/>
      <c r="F750" s="2"/>
      <c r="G750" s="2"/>
      <c r="H750" s="2"/>
      <c r="I750" s="2"/>
      <c r="J750" s="2"/>
      <c r="K750" s="2"/>
    </row>
    <row r="751" spans="1:12" ht="15">
      <c r="A751" s="190"/>
      <c r="B751" s="198" t="s">
        <v>761</v>
      </c>
      <c r="C751" s="2"/>
      <c r="D751" s="2"/>
      <c r="E751" s="2"/>
      <c r="F751" s="2"/>
      <c r="G751" s="2"/>
      <c r="H751" s="2"/>
      <c r="I751" s="2"/>
      <c r="J751" s="2"/>
      <c r="K751" s="2"/>
    </row>
    <row r="752" spans="1:12" ht="20.100000000000001" customHeight="1">
      <c r="A752" s="190"/>
      <c r="B752" s="205" t="s">
        <v>967</v>
      </c>
      <c r="C752" s="2">
        <f>SUM('Budget Detail FY 2013-18'!N1045:N1052)</f>
        <v>0</v>
      </c>
      <c r="D752" s="2">
        <f>SUM('Budget Detail FY 2013-18'!O1045:O1052)</f>
        <v>720800</v>
      </c>
      <c r="E752" s="2">
        <f>SUM('Budget Detail FY 2013-18'!P1045:P1052)</f>
        <v>795488</v>
      </c>
      <c r="F752" s="2">
        <f>SUM('Budget Detail FY 2013-18'!Q1045:Q1052)</f>
        <v>795488</v>
      </c>
      <c r="G752" s="2">
        <f>SUM('Budget Detail FY 2013-18'!R1045:R1052)</f>
        <v>769638</v>
      </c>
      <c r="H752" s="2">
        <f>SUM('Budget Detail FY 2013-18'!S1045:S1052)</f>
        <v>730288</v>
      </c>
      <c r="I752" s="2">
        <f>SUM('Budget Detail FY 2013-18'!T1045:T1052)</f>
        <v>743513</v>
      </c>
      <c r="J752" s="2">
        <f>SUM('Budget Detail FY 2013-18'!U1045:U1052)</f>
        <v>751238</v>
      </c>
      <c r="K752" s="2">
        <f>SUM('Budget Detail FY 2013-18'!V1045:V1052)</f>
        <v>753563</v>
      </c>
    </row>
    <row r="753" spans="1:12" ht="20.100000000000001" customHeight="1" thickBot="1">
      <c r="A753" s="190"/>
      <c r="B753" s="193" t="s">
        <v>1064</v>
      </c>
      <c r="C753" s="188">
        <f t="shared" ref="C753:J753" si="118">SUM(C752:C752)</f>
        <v>0</v>
      </c>
      <c r="D753" s="188">
        <f t="shared" si="118"/>
        <v>720800</v>
      </c>
      <c r="E753" s="188">
        <f>SUM(E752:E752)</f>
        <v>795488</v>
      </c>
      <c r="F753" s="188">
        <f t="shared" si="118"/>
        <v>795488</v>
      </c>
      <c r="G753" s="188">
        <f t="shared" si="118"/>
        <v>769638</v>
      </c>
      <c r="H753" s="188">
        <f t="shared" si="118"/>
        <v>730288</v>
      </c>
      <c r="I753" s="188">
        <f t="shared" si="118"/>
        <v>743513</v>
      </c>
      <c r="J753" s="188">
        <f t="shared" si="118"/>
        <v>751238</v>
      </c>
      <c r="K753" s="188">
        <f>SUM(K752:K752)</f>
        <v>753563</v>
      </c>
    </row>
    <row r="754" spans="1:12" s="152" customFormat="1" ht="15" hidden="1">
      <c r="A754" s="194"/>
      <c r="B754" s="195"/>
      <c r="C754" s="163">
        <f>'Budget Detail FY 2013-18'!N1054</f>
        <v>0</v>
      </c>
      <c r="D754" s="163">
        <f>'Budget Detail FY 2013-18'!O1054</f>
        <v>720800</v>
      </c>
      <c r="E754" s="163">
        <f>'Budget Detail FY 2013-18'!P1054</f>
        <v>795488</v>
      </c>
      <c r="F754" s="163">
        <f>'Budget Detail FY 2013-18'!Q1054</f>
        <v>795488</v>
      </c>
      <c r="G754" s="163">
        <f>'Budget Detail FY 2013-18'!R1054</f>
        <v>769638</v>
      </c>
      <c r="H754" s="163">
        <f>'Budget Detail FY 2013-18'!S1054</f>
        <v>730288</v>
      </c>
      <c r="I754" s="163">
        <f>'Budget Detail FY 2013-18'!T1054</f>
        <v>743513</v>
      </c>
      <c r="J754" s="163">
        <f>'Budget Detail FY 2013-18'!U1054</f>
        <v>751238</v>
      </c>
      <c r="K754" s="163">
        <f>'Budget Detail FY 2013-18'!V1054</f>
        <v>753563</v>
      </c>
      <c r="L754" s="166" t="s">
        <v>1462</v>
      </c>
    </row>
    <row r="755" spans="1:12" s="158" customFormat="1" ht="14.25" hidden="1">
      <c r="A755" s="196"/>
      <c r="B755" s="197"/>
      <c r="C755" s="164">
        <f>C753-C754</f>
        <v>0</v>
      </c>
      <c r="D755" s="164">
        <f t="shared" ref="D755:K755" si="119">D753-D754</f>
        <v>0</v>
      </c>
      <c r="E755" s="164">
        <f t="shared" si="119"/>
        <v>0</v>
      </c>
      <c r="F755" s="164">
        <f t="shared" si="119"/>
        <v>0</v>
      </c>
      <c r="G755" s="164">
        <f t="shared" si="119"/>
        <v>0</v>
      </c>
      <c r="H755" s="164">
        <f t="shared" si="119"/>
        <v>0</v>
      </c>
      <c r="I755" s="164">
        <f t="shared" si="119"/>
        <v>0</v>
      </c>
      <c r="J755" s="164">
        <f t="shared" si="119"/>
        <v>0</v>
      </c>
      <c r="K755" s="164">
        <f t="shared" si="119"/>
        <v>0</v>
      </c>
      <c r="L755" s="167" t="s">
        <v>1463</v>
      </c>
    </row>
    <row r="756" spans="1:12" ht="15">
      <c r="A756" s="190"/>
      <c r="B756" s="200"/>
      <c r="C756" s="3"/>
      <c r="D756" s="2"/>
      <c r="E756" s="2"/>
      <c r="F756" s="2"/>
      <c r="G756" s="2"/>
      <c r="H756" s="2"/>
      <c r="I756" s="2"/>
      <c r="J756" s="2"/>
      <c r="K756" s="2"/>
    </row>
    <row r="757" spans="1:12" ht="20.100000000000001" customHeight="1">
      <c r="A757" s="190"/>
      <c r="B757" s="189" t="s">
        <v>1065</v>
      </c>
      <c r="C757" s="3">
        <f t="shared" ref="C757:J757" si="120">+C747-C753</f>
        <v>0</v>
      </c>
      <c r="D757" s="3">
        <f t="shared" si="120"/>
        <v>-1821</v>
      </c>
      <c r="E757" s="3">
        <f>+E747-E753</f>
        <v>1811</v>
      </c>
      <c r="F757" s="3">
        <f t="shared" si="120"/>
        <v>1821</v>
      </c>
      <c r="G757" s="3">
        <f t="shared" si="120"/>
        <v>2325</v>
      </c>
      <c r="H757" s="3">
        <f t="shared" si="120"/>
        <v>200</v>
      </c>
      <c r="I757" s="3">
        <f t="shared" si="120"/>
        <v>200</v>
      </c>
      <c r="J757" s="3">
        <f t="shared" si="120"/>
        <v>200</v>
      </c>
      <c r="K757" s="3">
        <f>+K747-K753</f>
        <v>200</v>
      </c>
    </row>
    <row r="758" spans="1:12" s="152" customFormat="1" ht="15" hidden="1">
      <c r="A758" s="194"/>
      <c r="B758" s="201"/>
      <c r="C758" s="163">
        <f>'Budget Detail FY 2013-18'!N1056</f>
        <v>0</v>
      </c>
      <c r="D758" s="163">
        <f>'Budget Detail FY 2013-18'!O1056</f>
        <v>-1821</v>
      </c>
      <c r="E758" s="163">
        <f>'Budget Detail FY 2013-18'!P1056</f>
        <v>1811</v>
      </c>
      <c r="F758" s="163">
        <f>'Budget Detail FY 2013-18'!Q1056</f>
        <v>1821</v>
      </c>
      <c r="G758" s="163">
        <f>'Budget Detail FY 2013-18'!R1056</f>
        <v>2325</v>
      </c>
      <c r="H758" s="163">
        <f>'Budget Detail FY 2013-18'!S1056</f>
        <v>200</v>
      </c>
      <c r="I758" s="163">
        <f>'Budget Detail FY 2013-18'!T1056</f>
        <v>200</v>
      </c>
      <c r="J758" s="163">
        <f>'Budget Detail FY 2013-18'!U1056</f>
        <v>200</v>
      </c>
      <c r="K758" s="163">
        <f>'Budget Detail FY 2013-18'!V1056</f>
        <v>200</v>
      </c>
      <c r="L758" s="166" t="s">
        <v>1462</v>
      </c>
    </row>
    <row r="759" spans="1:12" s="158" customFormat="1" ht="15" hidden="1">
      <c r="A759" s="196"/>
      <c r="B759" s="202"/>
      <c r="C759" s="211">
        <f>C757-C758</f>
        <v>0</v>
      </c>
      <c r="D759" s="211">
        <f t="shared" ref="D759:K759" si="121">D757-D758</f>
        <v>0</v>
      </c>
      <c r="E759" s="211">
        <f t="shared" si="121"/>
        <v>0</v>
      </c>
      <c r="F759" s="211">
        <f t="shared" si="121"/>
        <v>0</v>
      </c>
      <c r="G759" s="211">
        <f t="shared" si="121"/>
        <v>0</v>
      </c>
      <c r="H759" s="211">
        <f t="shared" si="121"/>
        <v>0</v>
      </c>
      <c r="I759" s="211">
        <f t="shared" si="121"/>
        <v>0</v>
      </c>
      <c r="J759" s="211">
        <f t="shared" si="121"/>
        <v>0</v>
      </c>
      <c r="K759" s="211">
        <f t="shared" si="121"/>
        <v>0</v>
      </c>
      <c r="L759" s="167" t="s">
        <v>1463</v>
      </c>
    </row>
    <row r="760" spans="1:12" ht="15">
      <c r="A760" s="190"/>
      <c r="B760" s="204"/>
      <c r="C760" s="3"/>
      <c r="D760" s="2"/>
      <c r="E760" s="2"/>
      <c r="F760" s="2"/>
      <c r="G760" s="2"/>
      <c r="H760" s="2"/>
      <c r="I760" s="2"/>
      <c r="J760" s="2"/>
      <c r="K760" s="2"/>
    </row>
    <row r="761" spans="1:12" ht="20.100000000000001" customHeight="1" thickBot="1">
      <c r="A761" s="190"/>
      <c r="B761" s="191" t="s">
        <v>1066</v>
      </c>
      <c r="C761" s="99">
        <v>0</v>
      </c>
      <c r="D761" s="99">
        <v>-1821</v>
      </c>
      <c r="E761" s="99">
        <v>0</v>
      </c>
      <c r="F761" s="99">
        <f>D761+F757</f>
        <v>0</v>
      </c>
      <c r="G761" s="99">
        <f>F761+G757</f>
        <v>2325</v>
      </c>
      <c r="H761" s="99">
        <f>G761+H757</f>
        <v>2525</v>
      </c>
      <c r="I761" s="99">
        <f>H761+I757</f>
        <v>2725</v>
      </c>
      <c r="J761" s="99">
        <f>I761+J757</f>
        <v>2925</v>
      </c>
      <c r="K761" s="99">
        <f>J761+K757</f>
        <v>3125</v>
      </c>
    </row>
    <row r="762" spans="1:12" s="152" customFormat="1" ht="15.75" hidden="1" thickTop="1">
      <c r="A762" s="194"/>
      <c r="B762" s="195"/>
      <c r="C762" s="163">
        <f>'Budget Detail FY 2013-18'!N1058</f>
        <v>0</v>
      </c>
      <c r="D762" s="163">
        <f>'Budget Detail FY 2013-18'!O1058</f>
        <v>-1821</v>
      </c>
      <c r="E762" s="163">
        <f>'Budget Detail FY 2013-18'!P1058</f>
        <v>0</v>
      </c>
      <c r="F762" s="163">
        <f>'Budget Detail FY 2013-18'!Q1058</f>
        <v>0</v>
      </c>
      <c r="G762" s="163">
        <f>'Budget Detail FY 2013-18'!R1058</f>
        <v>2325</v>
      </c>
      <c r="H762" s="163">
        <f>'Budget Detail FY 2013-18'!S1058</f>
        <v>2525</v>
      </c>
      <c r="I762" s="163">
        <f>'Budget Detail FY 2013-18'!T1058</f>
        <v>2725</v>
      </c>
      <c r="J762" s="163">
        <f>'Budget Detail FY 2013-18'!U1058</f>
        <v>2925</v>
      </c>
      <c r="K762" s="163">
        <f>'Budget Detail FY 2013-18'!V1058</f>
        <v>3125</v>
      </c>
      <c r="L762" s="166" t="s">
        <v>1462</v>
      </c>
    </row>
    <row r="763" spans="1:12" s="158" customFormat="1" ht="14.25" hidden="1">
      <c r="A763" s="196"/>
      <c r="B763" s="197"/>
      <c r="C763" s="164">
        <f>C761-C762</f>
        <v>0</v>
      </c>
      <c r="D763" s="164">
        <f t="shared" ref="D763:K763" si="122">D761-D762</f>
        <v>0</v>
      </c>
      <c r="E763" s="164">
        <f t="shared" si="122"/>
        <v>0</v>
      </c>
      <c r="F763" s="164">
        <f t="shared" si="122"/>
        <v>0</v>
      </c>
      <c r="G763" s="164">
        <f t="shared" si="122"/>
        <v>0</v>
      </c>
      <c r="H763" s="164">
        <f t="shared" si="122"/>
        <v>0</v>
      </c>
      <c r="I763" s="164">
        <f t="shared" si="122"/>
        <v>0</v>
      </c>
      <c r="J763" s="164">
        <f t="shared" si="122"/>
        <v>0</v>
      </c>
      <c r="K763" s="164">
        <f t="shared" si="122"/>
        <v>0</v>
      </c>
      <c r="L763" s="167" t="s">
        <v>1463</v>
      </c>
    </row>
    <row r="764" spans="1:12" ht="15.75" thickTop="1">
      <c r="A764" s="190"/>
      <c r="B764" s="205"/>
      <c r="C764" s="3"/>
      <c r="D764" s="3"/>
      <c r="E764" s="3"/>
      <c r="F764" s="3"/>
      <c r="G764" s="3"/>
      <c r="H764" s="2"/>
      <c r="I764" s="2"/>
      <c r="J764" s="2"/>
      <c r="K764" s="2"/>
    </row>
    <row r="765" spans="1:12" ht="15">
      <c r="A765" s="190"/>
      <c r="B765" s="205"/>
      <c r="C765" s="2"/>
      <c r="D765" s="2"/>
      <c r="E765" s="2"/>
      <c r="F765" s="2"/>
      <c r="G765" s="2"/>
      <c r="H765" s="2"/>
      <c r="I765" s="2"/>
      <c r="J765" s="2"/>
      <c r="K765" s="2"/>
    </row>
    <row r="766" spans="1:12" ht="15">
      <c r="A766" s="190"/>
      <c r="B766" s="1"/>
      <c r="C766" s="2"/>
      <c r="D766" s="2"/>
      <c r="E766" s="2"/>
      <c r="F766" s="2"/>
      <c r="G766" s="2"/>
      <c r="H766" s="2"/>
      <c r="I766" s="2"/>
      <c r="J766" s="2"/>
      <c r="K766" s="2"/>
    </row>
    <row r="767" spans="1:12" ht="15">
      <c r="A767" s="190"/>
      <c r="B767" s="1"/>
      <c r="C767" s="2"/>
      <c r="D767" s="2"/>
      <c r="E767" s="2"/>
      <c r="F767" s="2"/>
      <c r="G767" s="2"/>
      <c r="H767" s="2"/>
      <c r="I767" s="2"/>
      <c r="J767" s="2"/>
      <c r="K767" s="2"/>
    </row>
    <row r="768" spans="1:12" ht="15">
      <c r="A768" s="190"/>
      <c r="B768" s="1"/>
      <c r="C768" s="2"/>
      <c r="D768" s="2"/>
      <c r="E768" s="2"/>
      <c r="F768" s="2"/>
      <c r="G768" s="2"/>
      <c r="H768" s="2"/>
      <c r="I768" s="2"/>
      <c r="J768" s="2"/>
      <c r="K768" s="2"/>
    </row>
    <row r="769" spans="1:11" ht="15">
      <c r="A769" s="190"/>
      <c r="B769" s="1"/>
      <c r="C769" s="2"/>
      <c r="D769" s="2"/>
      <c r="E769" s="2"/>
      <c r="F769" s="2"/>
      <c r="G769" s="2"/>
      <c r="H769" s="2"/>
      <c r="I769" s="2"/>
      <c r="J769" s="2"/>
      <c r="K769" s="2"/>
    </row>
    <row r="770" spans="1:11" ht="15">
      <c r="A770" s="190"/>
      <c r="B770" s="1"/>
      <c r="C770" s="2"/>
      <c r="D770" s="2"/>
      <c r="E770" s="2"/>
      <c r="F770" s="2"/>
      <c r="G770" s="2"/>
      <c r="H770" s="2"/>
      <c r="I770" s="2"/>
      <c r="J770" s="2"/>
      <c r="K770" s="2"/>
    </row>
    <row r="771" spans="1:11" ht="15">
      <c r="A771" s="190"/>
      <c r="B771" s="1"/>
      <c r="C771" s="2"/>
      <c r="D771" s="2"/>
      <c r="E771" s="2"/>
      <c r="F771" s="2"/>
      <c r="G771" s="2"/>
      <c r="H771" s="2"/>
      <c r="I771" s="2"/>
      <c r="J771" s="2"/>
      <c r="K771" s="2"/>
    </row>
    <row r="772" spans="1:11" ht="15">
      <c r="A772" s="190"/>
      <c r="B772" s="1"/>
      <c r="C772" s="2"/>
      <c r="D772" s="2"/>
      <c r="E772" s="2"/>
      <c r="F772" s="2"/>
      <c r="G772" s="2"/>
      <c r="H772" s="2"/>
      <c r="I772" s="2"/>
      <c r="J772" s="2"/>
      <c r="K772" s="2"/>
    </row>
    <row r="773" spans="1:11" ht="15">
      <c r="A773" s="190"/>
      <c r="B773" s="1"/>
      <c r="C773" s="2"/>
      <c r="D773" s="2"/>
      <c r="E773" s="2"/>
      <c r="F773" s="2"/>
      <c r="G773" s="2"/>
      <c r="H773" s="2"/>
      <c r="I773" s="2"/>
      <c r="J773" s="2"/>
      <c r="K773" s="2"/>
    </row>
    <row r="774" spans="1:11" ht="15">
      <c r="A774" s="190"/>
      <c r="B774" s="1"/>
      <c r="C774" s="2"/>
      <c r="D774" s="2"/>
      <c r="E774" s="2"/>
      <c r="F774" s="2"/>
      <c r="G774" s="2"/>
      <c r="H774" s="2"/>
      <c r="I774" s="2"/>
      <c r="J774" s="2"/>
      <c r="K774" s="2"/>
    </row>
    <row r="775" spans="1:11" ht="15">
      <c r="A775" s="190"/>
      <c r="B775" s="1"/>
      <c r="C775" s="2"/>
      <c r="D775" s="2"/>
      <c r="E775" s="2"/>
      <c r="F775" s="2"/>
      <c r="G775" s="2"/>
      <c r="H775" s="2"/>
      <c r="I775" s="2"/>
      <c r="J775" s="2"/>
      <c r="K775" s="2"/>
    </row>
    <row r="776" spans="1:11" ht="15">
      <c r="A776" s="190"/>
      <c r="B776" s="1"/>
      <c r="C776" s="2"/>
      <c r="D776" s="2"/>
      <c r="E776" s="2"/>
      <c r="F776" s="2"/>
      <c r="G776" s="2"/>
      <c r="H776" s="2"/>
      <c r="I776" s="2"/>
      <c r="J776" s="2"/>
      <c r="K776" s="2"/>
    </row>
    <row r="777" spans="1:11">
      <c r="A777" s="190"/>
      <c r="B777" s="190"/>
      <c r="C777" s="207"/>
      <c r="D777" s="207"/>
      <c r="E777" s="208"/>
      <c r="F777" s="208"/>
      <c r="G777" s="208"/>
      <c r="H777" s="208"/>
      <c r="I777" s="208"/>
      <c r="J777" s="208"/>
      <c r="K777" s="208"/>
    </row>
    <row r="778" spans="1:11">
      <c r="A778" s="190"/>
      <c r="B778" s="190"/>
      <c r="C778" s="207"/>
      <c r="D778" s="207"/>
      <c r="E778" s="208"/>
      <c r="F778" s="208"/>
      <c r="G778" s="208"/>
      <c r="H778" s="208"/>
      <c r="I778" s="208"/>
      <c r="J778" s="208"/>
      <c r="K778" s="208"/>
    </row>
    <row r="779" spans="1:11" ht="18.75">
      <c r="A779" s="190"/>
      <c r="B779" s="523" t="s">
        <v>1092</v>
      </c>
      <c r="C779" s="523"/>
      <c r="D779" s="523"/>
      <c r="E779" s="523"/>
      <c r="F779" s="523"/>
      <c r="G779" s="523"/>
      <c r="H779" s="523"/>
      <c r="I779" s="523"/>
      <c r="J779" s="523"/>
      <c r="K779" s="523"/>
    </row>
    <row r="780" spans="1:11" ht="15">
      <c r="A780" s="190"/>
      <c r="B780" s="80" t="s">
        <v>1010</v>
      </c>
      <c r="C780" s="3"/>
      <c r="D780" s="2"/>
      <c r="E780" s="2"/>
      <c r="F780" s="2"/>
      <c r="G780" s="2"/>
      <c r="H780" s="2"/>
      <c r="I780" s="2"/>
      <c r="J780" s="2"/>
      <c r="K780" s="2"/>
    </row>
    <row r="781" spans="1:11" ht="12.75" customHeight="1">
      <c r="A781" s="190"/>
      <c r="B781" s="529" t="s">
        <v>1471</v>
      </c>
      <c r="C781" s="529"/>
      <c r="D781" s="529"/>
      <c r="E781" s="529"/>
      <c r="F781" s="529"/>
      <c r="G781" s="529"/>
      <c r="H781" s="529"/>
      <c r="I781" s="529"/>
      <c r="J781" s="529"/>
      <c r="K781" s="529"/>
    </row>
    <row r="782" spans="1:11" ht="18" customHeight="1">
      <c r="A782" s="190"/>
      <c r="B782" s="529"/>
      <c r="C782" s="529"/>
      <c r="D782" s="529"/>
      <c r="E782" s="529"/>
      <c r="F782" s="529"/>
      <c r="G782" s="529"/>
      <c r="H782" s="529"/>
      <c r="I782" s="529"/>
      <c r="J782" s="529"/>
      <c r="K782" s="529"/>
    </row>
    <row r="783" spans="1:11" ht="15">
      <c r="A783" s="190"/>
      <c r="B783" s="187"/>
      <c r="C783" s="31"/>
      <c r="D783" s="31"/>
      <c r="E783" s="31"/>
      <c r="F783" s="31"/>
      <c r="G783" s="31"/>
      <c r="H783" s="2"/>
      <c r="I783" s="2"/>
      <c r="J783" s="2"/>
      <c r="K783" s="2"/>
    </row>
    <row r="784" spans="1:11" ht="15">
      <c r="A784" s="190"/>
      <c r="B784" s="5"/>
      <c r="C784" s="80"/>
      <c r="D784" s="81"/>
      <c r="E784" s="80" t="s">
        <v>312</v>
      </c>
      <c r="F784" s="1"/>
      <c r="G784" s="1"/>
      <c r="H784" s="1"/>
      <c r="I784" s="1"/>
      <c r="J784" s="1"/>
      <c r="K784" s="1"/>
    </row>
    <row r="785" spans="1:12" ht="15">
      <c r="A785" s="190"/>
      <c r="B785" s="81"/>
      <c r="C785" s="80" t="s">
        <v>23</v>
      </c>
      <c r="D785" s="104" t="s">
        <v>253</v>
      </c>
      <c r="E785" s="81" t="s">
        <v>1045</v>
      </c>
      <c r="F785" s="81" t="s">
        <v>312</v>
      </c>
      <c r="G785" s="81" t="s">
        <v>313</v>
      </c>
      <c r="H785" s="81" t="s">
        <v>329</v>
      </c>
      <c r="I785" s="81" t="s">
        <v>332</v>
      </c>
      <c r="J785" s="81" t="s">
        <v>333</v>
      </c>
      <c r="K785" s="81" t="s">
        <v>1224</v>
      </c>
    </row>
    <row r="786" spans="1:12" ht="15.75" thickBot="1">
      <c r="A786" s="190"/>
      <c r="B786" s="209"/>
      <c r="C786" s="83" t="s">
        <v>1</v>
      </c>
      <c r="D786" s="83" t="s">
        <v>1</v>
      </c>
      <c r="E786" s="83" t="s">
        <v>987</v>
      </c>
      <c r="F786" s="83" t="s">
        <v>24</v>
      </c>
      <c r="G786" s="83" t="s">
        <v>1045</v>
      </c>
      <c r="H786" s="83" t="s">
        <v>24</v>
      </c>
      <c r="I786" s="83" t="s">
        <v>24</v>
      </c>
      <c r="J786" s="83" t="s">
        <v>24</v>
      </c>
      <c r="K786" s="83" t="s">
        <v>24</v>
      </c>
    </row>
    <row r="787" spans="1:12" ht="15">
      <c r="A787" s="190"/>
      <c r="B787" s="79"/>
      <c r="C787" s="210"/>
      <c r="D787" s="2"/>
      <c r="E787" s="2"/>
      <c r="F787" s="2"/>
      <c r="G787" s="2"/>
      <c r="H787" s="2"/>
      <c r="I787" s="2"/>
      <c r="J787" s="2"/>
      <c r="K787" s="2"/>
    </row>
    <row r="788" spans="1:12" ht="15">
      <c r="A788" s="190"/>
      <c r="B788" s="198" t="s">
        <v>1046</v>
      </c>
      <c r="C788" s="2"/>
      <c r="D788" s="2"/>
      <c r="E788" s="2"/>
      <c r="F788" s="2"/>
      <c r="G788" s="2"/>
      <c r="H788" s="2"/>
      <c r="I788" s="2"/>
      <c r="J788" s="2"/>
      <c r="K788" s="2"/>
    </row>
    <row r="789" spans="1:12" ht="20.100000000000001" customHeight="1">
      <c r="A789" s="190"/>
      <c r="B789" s="5" t="s">
        <v>1049</v>
      </c>
      <c r="C789" s="2">
        <f>'Budget Detail FY 2013-18'!N1062</f>
        <v>0</v>
      </c>
      <c r="D789" s="2">
        <f>'Budget Detail FY 2013-18'!O1062</f>
        <v>17669</v>
      </c>
      <c r="E789" s="2">
        <f>'Budget Detail FY 2013-18'!P1062</f>
        <v>16250</v>
      </c>
      <c r="F789" s="2">
        <f>'Budget Detail FY 2013-18'!Q1062</f>
        <v>30000</v>
      </c>
      <c r="G789" s="2">
        <f>'Budget Detail FY 2013-18'!R1062</f>
        <v>20000</v>
      </c>
      <c r="H789" s="2">
        <f>'Budget Detail FY 2013-18'!S1062</f>
        <v>20000</v>
      </c>
      <c r="I789" s="2">
        <f>'Budget Detail FY 2013-18'!T1062</f>
        <v>20000</v>
      </c>
      <c r="J789" s="2">
        <f>'Budget Detail FY 2013-18'!U1062</f>
        <v>20000</v>
      </c>
      <c r="K789" s="2">
        <f>'Budget Detail FY 2013-18'!V1062</f>
        <v>20000</v>
      </c>
    </row>
    <row r="790" spans="1:12" ht="20.100000000000001" customHeight="1">
      <c r="A790" s="190"/>
      <c r="B790" s="5" t="s">
        <v>1052</v>
      </c>
      <c r="C790" s="2">
        <f>'Budget Detail FY 2013-18'!N1063</f>
        <v>0</v>
      </c>
      <c r="D790" s="2">
        <f>'Budget Detail FY 2013-18'!O1063</f>
        <v>71</v>
      </c>
      <c r="E790" s="2">
        <f>'Budget Detail FY 2013-18'!P1063</f>
        <v>100</v>
      </c>
      <c r="F790" s="2">
        <f>'Budget Detail FY 2013-18'!Q1063</f>
        <v>10</v>
      </c>
      <c r="G790" s="2">
        <f>'Budget Detail FY 2013-18'!R1063</f>
        <v>20</v>
      </c>
      <c r="H790" s="2">
        <f>'Budget Detail FY 2013-18'!S1063</f>
        <v>20</v>
      </c>
      <c r="I790" s="2">
        <f>'Budget Detail FY 2013-18'!T1063</f>
        <v>20</v>
      </c>
      <c r="J790" s="2">
        <f>'Budget Detail FY 2013-18'!U1063</f>
        <v>20</v>
      </c>
      <c r="K790" s="2">
        <f>'Budget Detail FY 2013-18'!V1063</f>
        <v>20</v>
      </c>
    </row>
    <row r="791" spans="1:12" ht="20.100000000000001" customHeight="1">
      <c r="A791" s="190"/>
      <c r="B791" s="5" t="s">
        <v>1055</v>
      </c>
      <c r="C791" s="2">
        <f>'Budget Detail FY 2013-18'!N1064</f>
        <v>0</v>
      </c>
      <c r="D791" s="2">
        <f>'Budget Detail FY 2013-18'!O1064</f>
        <v>332519</v>
      </c>
      <c r="E791" s="2">
        <f>'Budget Detail FY 2013-18'!P1064</f>
        <v>0</v>
      </c>
      <c r="F791" s="2">
        <f>'Budget Detail FY 2013-18'!Q1064</f>
        <v>0</v>
      </c>
      <c r="G791" s="2">
        <f>'Budget Detail FY 2013-18'!R1064</f>
        <v>0</v>
      </c>
      <c r="H791" s="2">
        <f>'Budget Detail FY 2013-18'!S1064</f>
        <v>0</v>
      </c>
      <c r="I791" s="2">
        <f>'Budget Detail FY 2013-18'!T1064</f>
        <v>0</v>
      </c>
      <c r="J791" s="2">
        <f>'Budget Detail FY 2013-18'!U1064</f>
        <v>0</v>
      </c>
      <c r="K791" s="2">
        <f>'Budget Detail FY 2013-18'!V1064</f>
        <v>0</v>
      </c>
    </row>
    <row r="792" spans="1:12" ht="20.100000000000001" customHeight="1" thickBot="1">
      <c r="A792" s="190"/>
      <c r="B792" s="193" t="s">
        <v>1056</v>
      </c>
      <c r="C792" s="188">
        <f>SUM(C789:C791)</f>
        <v>0</v>
      </c>
      <c r="D792" s="188">
        <f t="shared" ref="D792:J792" si="123">SUM(D789:D791)</f>
        <v>350259</v>
      </c>
      <c r="E792" s="188">
        <f>SUM(E789:E791)</f>
        <v>16350</v>
      </c>
      <c r="F792" s="188">
        <f t="shared" si="123"/>
        <v>30010</v>
      </c>
      <c r="G792" s="188">
        <f t="shared" si="123"/>
        <v>20020</v>
      </c>
      <c r="H792" s="188">
        <f t="shared" si="123"/>
        <v>20020</v>
      </c>
      <c r="I792" s="188">
        <f t="shared" si="123"/>
        <v>20020</v>
      </c>
      <c r="J792" s="188">
        <f t="shared" si="123"/>
        <v>20020</v>
      </c>
      <c r="K792" s="188">
        <f>SUM(K789:K791)</f>
        <v>20020</v>
      </c>
    </row>
    <row r="793" spans="1:12" s="152" customFormat="1" ht="15" hidden="1">
      <c r="A793" s="194"/>
      <c r="B793" s="195"/>
      <c r="C793" s="163">
        <f>'Budget Detail FY 2013-18'!N1066</f>
        <v>0</v>
      </c>
      <c r="D793" s="163">
        <f>'Budget Detail FY 2013-18'!O1066</f>
        <v>350259</v>
      </c>
      <c r="E793" s="163">
        <f>'Budget Detail FY 2013-18'!P1066</f>
        <v>16350</v>
      </c>
      <c r="F793" s="163">
        <f>'Budget Detail FY 2013-18'!Q1066</f>
        <v>30010</v>
      </c>
      <c r="G793" s="163">
        <f>'Budget Detail FY 2013-18'!R1066</f>
        <v>20020</v>
      </c>
      <c r="H793" s="163">
        <f>'Budget Detail FY 2013-18'!S1066</f>
        <v>20020</v>
      </c>
      <c r="I793" s="163">
        <f>'Budget Detail FY 2013-18'!T1066</f>
        <v>20020</v>
      </c>
      <c r="J793" s="163">
        <f>'Budget Detail FY 2013-18'!U1066</f>
        <v>20020</v>
      </c>
      <c r="K793" s="163">
        <f>'Budget Detail FY 2013-18'!V1066</f>
        <v>20020</v>
      </c>
      <c r="L793" s="166" t="s">
        <v>1462</v>
      </c>
    </row>
    <row r="794" spans="1:12" s="158" customFormat="1" ht="15" hidden="1">
      <c r="A794" s="196"/>
      <c r="B794" s="197"/>
      <c r="C794" s="211">
        <f>C792-C793</f>
        <v>0</v>
      </c>
      <c r="D794" s="211">
        <f t="shared" ref="D794:K794" si="124">D792-D793</f>
        <v>0</v>
      </c>
      <c r="E794" s="211">
        <f t="shared" si="124"/>
        <v>0</v>
      </c>
      <c r="F794" s="211">
        <f t="shared" si="124"/>
        <v>0</v>
      </c>
      <c r="G794" s="211">
        <f t="shared" si="124"/>
        <v>0</v>
      </c>
      <c r="H794" s="211">
        <f t="shared" si="124"/>
        <v>0</v>
      </c>
      <c r="I794" s="211">
        <f t="shared" si="124"/>
        <v>0</v>
      </c>
      <c r="J794" s="211">
        <f t="shared" si="124"/>
        <v>0</v>
      </c>
      <c r="K794" s="211">
        <f t="shared" si="124"/>
        <v>0</v>
      </c>
      <c r="L794" s="167" t="s">
        <v>1463</v>
      </c>
    </row>
    <row r="795" spans="1:12" ht="15">
      <c r="A795" s="190"/>
      <c r="B795" s="1"/>
      <c r="C795" s="2"/>
      <c r="D795" s="2"/>
      <c r="E795" s="2"/>
      <c r="F795" s="2"/>
      <c r="G795" s="2"/>
      <c r="H795" s="2"/>
      <c r="I795" s="2"/>
      <c r="J795" s="2"/>
      <c r="K795" s="2"/>
    </row>
    <row r="796" spans="1:12" ht="15">
      <c r="A796" s="190"/>
      <c r="B796" s="198" t="s">
        <v>761</v>
      </c>
      <c r="C796" s="2"/>
      <c r="D796" s="2"/>
      <c r="E796" s="2"/>
      <c r="F796" s="2"/>
      <c r="G796" s="2"/>
      <c r="H796" s="2"/>
      <c r="I796" s="2"/>
      <c r="J796" s="2"/>
      <c r="K796" s="2"/>
    </row>
    <row r="797" spans="1:12" ht="20.100000000000001" customHeight="1">
      <c r="A797" s="190"/>
      <c r="B797" s="199" t="s">
        <v>1059</v>
      </c>
      <c r="C797" s="2">
        <f>'Budget Detail FY 2013-18'!N1068</f>
        <v>0</v>
      </c>
      <c r="D797" s="2">
        <f>'Budget Detail FY 2013-18'!O1068</f>
        <v>0</v>
      </c>
      <c r="E797" s="2">
        <f>'Budget Detail FY 2013-18'!P1068</f>
        <v>0</v>
      </c>
      <c r="F797" s="2">
        <f>'Budget Detail FY 2013-18'!Q1068</f>
        <v>3500</v>
      </c>
      <c r="G797" s="2">
        <f>'Budget Detail FY 2013-18'!R1068</f>
        <v>3500</v>
      </c>
      <c r="H797" s="2">
        <f>'Budget Detail FY 2013-18'!S1068</f>
        <v>3500</v>
      </c>
      <c r="I797" s="2">
        <f>'Budget Detail FY 2013-18'!T1068</f>
        <v>3500</v>
      </c>
      <c r="J797" s="2">
        <f>'Budget Detail FY 2013-18'!U1068</f>
        <v>3500</v>
      </c>
      <c r="K797" s="2">
        <f>'Budget Detail FY 2013-18'!V1068</f>
        <v>3500</v>
      </c>
    </row>
    <row r="798" spans="1:12" ht="20.100000000000001" customHeight="1">
      <c r="A798" s="190"/>
      <c r="B798" s="199" t="s">
        <v>1060</v>
      </c>
      <c r="C798" s="2">
        <f>SUM('Budget Detail FY 2013-18'!N1069:N1073)</f>
        <v>0</v>
      </c>
      <c r="D798" s="2">
        <f>SUM('Budget Detail FY 2013-18'!O1069:O1073)</f>
        <v>0</v>
      </c>
      <c r="E798" s="2">
        <f>SUM('Budget Detail FY 2013-18'!P1069:P1073)</f>
        <v>13474</v>
      </c>
      <c r="F798" s="2">
        <f>SUM('Budget Detail FY 2013-18'!Q1069:Q1073)</f>
        <v>14474</v>
      </c>
      <c r="G798" s="2">
        <f>SUM('Budget Detail FY 2013-18'!R1069:R1073)</f>
        <v>35350</v>
      </c>
      <c r="H798" s="2">
        <f>SUM('Budget Detail FY 2013-18'!S1069:S1073)</f>
        <v>16520</v>
      </c>
      <c r="I798" s="2">
        <f>SUM('Budget Detail FY 2013-18'!T1069:T1073)</f>
        <v>16520</v>
      </c>
      <c r="J798" s="2">
        <f>SUM('Budget Detail FY 2013-18'!U1069:U1073)</f>
        <v>16520</v>
      </c>
      <c r="K798" s="2">
        <f>SUM('Budget Detail FY 2013-18'!V1069:V1073)</f>
        <v>16520</v>
      </c>
    </row>
    <row r="799" spans="1:12" ht="20.100000000000001" customHeight="1">
      <c r="A799" s="190"/>
      <c r="B799" s="199" t="s">
        <v>1061</v>
      </c>
      <c r="C799" s="2">
        <f>'Budget Detail FY 2013-18'!N1074</f>
        <v>0</v>
      </c>
      <c r="D799" s="2">
        <f>'Budget Detail FY 2013-18'!O1074</f>
        <v>10965</v>
      </c>
      <c r="E799" s="2">
        <f>'Budget Detail FY 2013-18'!P1074</f>
        <v>0</v>
      </c>
      <c r="F799" s="2">
        <f>'Budget Detail FY 2013-18'!Q1074</f>
        <v>0</v>
      </c>
      <c r="G799" s="2">
        <f>'Budget Detail FY 2013-18'!R1074</f>
        <v>0</v>
      </c>
      <c r="H799" s="2">
        <f>'Budget Detail FY 2013-18'!S1074</f>
        <v>0</v>
      </c>
      <c r="I799" s="2">
        <f>'Budget Detail FY 2013-18'!T1074</f>
        <v>0</v>
      </c>
      <c r="J799" s="2">
        <f>'Budget Detail FY 2013-18'!U1074</f>
        <v>0</v>
      </c>
      <c r="K799" s="2">
        <f>'Budget Detail FY 2013-18'!V1074</f>
        <v>0</v>
      </c>
    </row>
    <row r="800" spans="1:12" ht="20.100000000000001" customHeight="1">
      <c r="A800" s="190"/>
      <c r="B800" s="5" t="s">
        <v>1063</v>
      </c>
      <c r="C800" s="2">
        <f>'Budget Detail FY 2013-18'!N1075</f>
        <v>0</v>
      </c>
      <c r="D800" s="2">
        <f>'Budget Detail FY 2013-18'!O1075</f>
        <v>332500</v>
      </c>
      <c r="E800" s="2">
        <f>'Budget Detail FY 2013-18'!P1075</f>
        <v>0</v>
      </c>
      <c r="F800" s="2">
        <f>'Budget Detail FY 2013-18'!Q1075</f>
        <v>0</v>
      </c>
      <c r="G800" s="2">
        <f>'Budget Detail FY 2013-18'!R1075</f>
        <v>0</v>
      </c>
      <c r="H800" s="2">
        <f>'Budget Detail FY 2013-18'!S1075</f>
        <v>0</v>
      </c>
      <c r="I800" s="2">
        <f>'Budget Detail FY 2013-18'!T1075</f>
        <v>0</v>
      </c>
      <c r="J800" s="2">
        <f>'Budget Detail FY 2013-18'!U1075</f>
        <v>0</v>
      </c>
      <c r="K800" s="2">
        <f>'Budget Detail FY 2013-18'!V1075</f>
        <v>0</v>
      </c>
    </row>
    <row r="801" spans="1:12" ht="20.100000000000001" customHeight="1" thickBot="1">
      <c r="A801" s="190"/>
      <c r="B801" s="193" t="s">
        <v>1064</v>
      </c>
      <c r="C801" s="188">
        <f>SUM(C797:C800)</f>
        <v>0</v>
      </c>
      <c r="D801" s="188">
        <f t="shared" ref="D801:K801" si="125">SUM(D797:D800)</f>
        <v>343465</v>
      </c>
      <c r="E801" s="188">
        <f t="shared" si="125"/>
        <v>13474</v>
      </c>
      <c r="F801" s="188">
        <f t="shared" si="125"/>
        <v>17974</v>
      </c>
      <c r="G801" s="188">
        <f t="shared" si="125"/>
        <v>38850</v>
      </c>
      <c r="H801" s="188">
        <f t="shared" si="125"/>
        <v>20020</v>
      </c>
      <c r="I801" s="188">
        <f t="shared" si="125"/>
        <v>20020</v>
      </c>
      <c r="J801" s="188">
        <f t="shared" si="125"/>
        <v>20020</v>
      </c>
      <c r="K801" s="188">
        <f t="shared" si="125"/>
        <v>20020</v>
      </c>
    </row>
    <row r="802" spans="1:12" s="152" customFormat="1" ht="15" hidden="1">
      <c r="A802" s="194"/>
      <c r="B802" s="195"/>
      <c r="C802" s="163">
        <f>'Budget Detail FY 2013-18'!N1077</f>
        <v>0</v>
      </c>
      <c r="D802" s="163">
        <f>'Budget Detail FY 2013-18'!O1077</f>
        <v>343465</v>
      </c>
      <c r="E802" s="163">
        <f>'Budget Detail FY 2013-18'!P1077</f>
        <v>13474</v>
      </c>
      <c r="F802" s="163">
        <f>'Budget Detail FY 2013-18'!Q1077</f>
        <v>17974</v>
      </c>
      <c r="G802" s="163">
        <f>'Budget Detail FY 2013-18'!R1077</f>
        <v>38850</v>
      </c>
      <c r="H802" s="163">
        <f>'Budget Detail FY 2013-18'!S1077</f>
        <v>20020</v>
      </c>
      <c r="I802" s="163">
        <f>'Budget Detail FY 2013-18'!T1077</f>
        <v>20020</v>
      </c>
      <c r="J802" s="163">
        <f>'Budget Detail FY 2013-18'!U1077</f>
        <v>20020</v>
      </c>
      <c r="K802" s="163">
        <f>'Budget Detail FY 2013-18'!V1077</f>
        <v>20020</v>
      </c>
      <c r="L802" s="166" t="s">
        <v>1462</v>
      </c>
    </row>
    <row r="803" spans="1:12" s="158" customFormat="1" ht="14.25" hidden="1">
      <c r="A803" s="196"/>
      <c r="B803" s="197"/>
      <c r="C803" s="164">
        <f>C801-C802</f>
        <v>0</v>
      </c>
      <c r="D803" s="164">
        <f t="shared" ref="D803:K803" si="126">D801-D802</f>
        <v>0</v>
      </c>
      <c r="E803" s="164">
        <f t="shared" si="126"/>
        <v>0</v>
      </c>
      <c r="F803" s="164">
        <f t="shared" si="126"/>
        <v>0</v>
      </c>
      <c r="G803" s="164">
        <f t="shared" si="126"/>
        <v>0</v>
      </c>
      <c r="H803" s="164">
        <f t="shared" si="126"/>
        <v>0</v>
      </c>
      <c r="I803" s="164">
        <f t="shared" si="126"/>
        <v>0</v>
      </c>
      <c r="J803" s="164">
        <f t="shared" si="126"/>
        <v>0</v>
      </c>
      <c r="K803" s="164">
        <f t="shared" si="126"/>
        <v>0</v>
      </c>
      <c r="L803" s="167" t="s">
        <v>1463</v>
      </c>
    </row>
    <row r="804" spans="1:12" ht="15">
      <c r="A804" s="190"/>
      <c r="B804" s="200"/>
      <c r="C804" s="3"/>
      <c r="D804" s="2"/>
      <c r="E804" s="2"/>
      <c r="F804" s="2"/>
      <c r="G804" s="2"/>
      <c r="H804" s="2"/>
      <c r="I804" s="2"/>
      <c r="J804" s="2"/>
      <c r="K804" s="2"/>
    </row>
    <row r="805" spans="1:12" ht="20.100000000000001" customHeight="1">
      <c r="A805" s="190"/>
      <c r="B805" s="189" t="s">
        <v>1065</v>
      </c>
      <c r="C805" s="3">
        <f>C792-C801</f>
        <v>0</v>
      </c>
      <c r="D805" s="3">
        <f t="shared" ref="D805:K805" si="127">D792-D801</f>
        <v>6794</v>
      </c>
      <c r="E805" s="3">
        <f t="shared" si="127"/>
        <v>2876</v>
      </c>
      <c r="F805" s="3">
        <f>F792-F801</f>
        <v>12036</v>
      </c>
      <c r="G805" s="3">
        <f>G792-G801</f>
        <v>-18830</v>
      </c>
      <c r="H805" s="3">
        <f>H792-H801</f>
        <v>0</v>
      </c>
      <c r="I805" s="3">
        <f t="shared" si="127"/>
        <v>0</v>
      </c>
      <c r="J805" s="3">
        <f t="shared" si="127"/>
        <v>0</v>
      </c>
      <c r="K805" s="3">
        <f t="shared" si="127"/>
        <v>0</v>
      </c>
    </row>
    <row r="806" spans="1:12" s="152" customFormat="1" ht="15" hidden="1">
      <c r="A806" s="194"/>
      <c r="B806" s="201"/>
      <c r="C806" s="163">
        <f>'Budget Detail FY 2013-18'!N1079</f>
        <v>0</v>
      </c>
      <c r="D806" s="163">
        <f>'Budget Detail FY 2013-18'!O1079</f>
        <v>6794</v>
      </c>
      <c r="E806" s="163">
        <f>'Budget Detail FY 2013-18'!P1079</f>
        <v>2876</v>
      </c>
      <c r="F806" s="163">
        <f>'Budget Detail FY 2013-18'!Q1079</f>
        <v>12036</v>
      </c>
      <c r="G806" s="163">
        <f>'Budget Detail FY 2013-18'!R1079</f>
        <v>-18830</v>
      </c>
      <c r="H806" s="163">
        <f>'Budget Detail FY 2013-18'!S1079</f>
        <v>0</v>
      </c>
      <c r="I806" s="163">
        <f>'Budget Detail FY 2013-18'!T1079</f>
        <v>0</v>
      </c>
      <c r="J806" s="163">
        <f>'Budget Detail FY 2013-18'!U1079</f>
        <v>0</v>
      </c>
      <c r="K806" s="163">
        <f>'Budget Detail FY 2013-18'!V1079</f>
        <v>0</v>
      </c>
      <c r="L806" s="166" t="s">
        <v>1462</v>
      </c>
    </row>
    <row r="807" spans="1:12" s="158" customFormat="1" ht="15" hidden="1">
      <c r="A807" s="196"/>
      <c r="B807" s="202"/>
      <c r="C807" s="211">
        <f>C805-C806</f>
        <v>0</v>
      </c>
      <c r="D807" s="211">
        <f t="shared" ref="D807:K807" si="128">D805-D806</f>
        <v>0</v>
      </c>
      <c r="E807" s="211">
        <f t="shared" si="128"/>
        <v>0</v>
      </c>
      <c r="F807" s="211">
        <f t="shared" si="128"/>
        <v>0</v>
      </c>
      <c r="G807" s="211">
        <f t="shared" si="128"/>
        <v>0</v>
      </c>
      <c r="H807" s="211">
        <f t="shared" si="128"/>
        <v>0</v>
      </c>
      <c r="I807" s="211">
        <f t="shared" si="128"/>
        <v>0</v>
      </c>
      <c r="J807" s="211">
        <f t="shared" si="128"/>
        <v>0</v>
      </c>
      <c r="K807" s="211">
        <f t="shared" si="128"/>
        <v>0</v>
      </c>
      <c r="L807" s="167" t="s">
        <v>1463</v>
      </c>
    </row>
    <row r="808" spans="1:12" ht="15">
      <c r="A808" s="190"/>
      <c r="B808" s="204"/>
      <c r="C808" s="3"/>
      <c r="D808" s="2"/>
      <c r="E808" s="2"/>
      <c r="F808" s="2"/>
      <c r="G808" s="2"/>
      <c r="H808" s="2"/>
      <c r="I808" s="2"/>
      <c r="J808" s="2"/>
      <c r="K808" s="2"/>
    </row>
    <row r="809" spans="1:12" ht="20.100000000000001" customHeight="1" thickBot="1">
      <c r="A809" s="190"/>
      <c r="B809" s="191" t="s">
        <v>1066</v>
      </c>
      <c r="C809" s="99">
        <v>0</v>
      </c>
      <c r="D809" s="99">
        <v>6794</v>
      </c>
      <c r="E809" s="99">
        <v>0</v>
      </c>
      <c r="F809" s="99">
        <f>D809+F805</f>
        <v>18830</v>
      </c>
      <c r="G809" s="99">
        <f>F809+G805</f>
        <v>0</v>
      </c>
      <c r="H809" s="99">
        <f>G809+H805</f>
        <v>0</v>
      </c>
      <c r="I809" s="99">
        <f>H809+I805</f>
        <v>0</v>
      </c>
      <c r="J809" s="99">
        <f>I809+J805</f>
        <v>0</v>
      </c>
      <c r="K809" s="99">
        <f>J809+K805</f>
        <v>0</v>
      </c>
    </row>
    <row r="810" spans="1:12" s="152" customFormat="1" ht="15.75" hidden="1" thickTop="1">
      <c r="A810" s="194"/>
      <c r="B810" s="195"/>
      <c r="C810" s="163">
        <f>'Budget Detail FY 2013-18'!N1081</f>
        <v>0</v>
      </c>
      <c r="D810" s="163">
        <f>'Budget Detail FY 2013-18'!O1081</f>
        <v>6794</v>
      </c>
      <c r="E810" s="163">
        <f>'Budget Detail FY 2013-18'!P1081</f>
        <v>0</v>
      </c>
      <c r="F810" s="163">
        <f>'Budget Detail FY 2013-18'!Q1081</f>
        <v>18830</v>
      </c>
      <c r="G810" s="163">
        <f>'Budget Detail FY 2013-18'!R1081</f>
        <v>0</v>
      </c>
      <c r="H810" s="163">
        <f>'Budget Detail FY 2013-18'!S1081</f>
        <v>0</v>
      </c>
      <c r="I810" s="163">
        <f>'Budget Detail FY 2013-18'!T1081</f>
        <v>0</v>
      </c>
      <c r="J810" s="163">
        <f>'Budget Detail FY 2013-18'!U1081</f>
        <v>0</v>
      </c>
      <c r="K810" s="163">
        <f>'Budget Detail FY 2013-18'!V1081</f>
        <v>0</v>
      </c>
      <c r="L810" s="166" t="s">
        <v>1462</v>
      </c>
    </row>
    <row r="811" spans="1:12" s="158" customFormat="1" ht="14.25" hidden="1">
      <c r="A811" s="196"/>
      <c r="B811" s="197"/>
      <c r="C811" s="164">
        <f>C809-C810</f>
        <v>0</v>
      </c>
      <c r="D811" s="164">
        <f t="shared" ref="D811:K811" si="129">D809-D810</f>
        <v>0</v>
      </c>
      <c r="E811" s="164">
        <f t="shared" si="129"/>
        <v>0</v>
      </c>
      <c r="F811" s="164">
        <f t="shared" si="129"/>
        <v>0</v>
      </c>
      <c r="G811" s="164">
        <f t="shared" si="129"/>
        <v>0</v>
      </c>
      <c r="H811" s="164">
        <f t="shared" si="129"/>
        <v>0</v>
      </c>
      <c r="I811" s="164">
        <f t="shared" si="129"/>
        <v>0</v>
      </c>
      <c r="J811" s="164">
        <f t="shared" si="129"/>
        <v>0</v>
      </c>
      <c r="K811" s="164">
        <f t="shared" si="129"/>
        <v>0</v>
      </c>
      <c r="L811" s="167" t="s">
        <v>1463</v>
      </c>
    </row>
    <row r="812" spans="1:12" ht="15.75" thickTop="1">
      <c r="A812" s="190"/>
      <c r="B812" s="205"/>
      <c r="C812" s="3"/>
      <c r="D812" s="3"/>
      <c r="E812" s="3"/>
      <c r="F812" s="3"/>
      <c r="G812" s="3"/>
      <c r="H812" s="2"/>
      <c r="I812" s="2"/>
      <c r="J812" s="2"/>
      <c r="K812" s="2"/>
    </row>
    <row r="813" spans="1:12" ht="15">
      <c r="A813" s="190"/>
      <c r="B813" s="205"/>
      <c r="C813" s="2"/>
      <c r="D813" s="2"/>
      <c r="E813" s="2"/>
      <c r="F813" s="2"/>
      <c r="G813" s="2"/>
      <c r="H813" s="2"/>
      <c r="I813" s="2"/>
      <c r="J813" s="2"/>
      <c r="K813" s="2"/>
    </row>
    <row r="814" spans="1:12" ht="15">
      <c r="A814" s="190"/>
      <c r="B814" s="1"/>
      <c r="C814" s="2"/>
      <c r="D814" s="2"/>
      <c r="E814" s="2"/>
      <c r="F814" s="2"/>
      <c r="G814" s="2"/>
      <c r="H814" s="2"/>
      <c r="I814" s="2"/>
      <c r="J814" s="2"/>
      <c r="K814" s="2"/>
    </row>
    <row r="815" spans="1:12" ht="15">
      <c r="A815" s="190"/>
      <c r="B815" s="1"/>
      <c r="C815" s="2"/>
      <c r="D815" s="2"/>
      <c r="E815" s="2"/>
      <c r="F815" s="2"/>
      <c r="G815" s="2"/>
      <c r="H815" s="2"/>
      <c r="I815" s="2"/>
      <c r="J815" s="2"/>
      <c r="K815" s="2"/>
    </row>
    <row r="816" spans="1:12" ht="15">
      <c r="A816" s="190"/>
      <c r="B816" s="1"/>
      <c r="C816" s="2"/>
      <c r="D816" s="2"/>
      <c r="E816" s="2"/>
      <c r="F816" s="2"/>
      <c r="G816" s="2"/>
      <c r="H816" s="2"/>
      <c r="I816" s="2"/>
      <c r="J816" s="2"/>
      <c r="K816" s="2"/>
    </row>
    <row r="817" spans="1:11" ht="15">
      <c r="A817" s="190"/>
      <c r="B817" s="1"/>
      <c r="C817" s="2"/>
      <c r="D817" s="2"/>
      <c r="E817" s="2"/>
      <c r="F817" s="2"/>
      <c r="G817" s="2"/>
      <c r="H817" s="2"/>
      <c r="I817" s="2"/>
      <c r="J817" s="2"/>
      <c r="K817" s="2"/>
    </row>
    <row r="818" spans="1:11" ht="15">
      <c r="A818" s="190"/>
      <c r="B818" s="1"/>
      <c r="C818" s="2"/>
      <c r="D818" s="2"/>
      <c r="E818" s="2"/>
      <c r="F818" s="2"/>
      <c r="G818" s="2"/>
      <c r="H818" s="2"/>
      <c r="I818" s="2"/>
      <c r="J818" s="2"/>
      <c r="K818" s="2"/>
    </row>
    <row r="819" spans="1:11" ht="15">
      <c r="A819" s="190"/>
      <c r="B819" s="1"/>
      <c r="C819" s="2"/>
      <c r="D819" s="2"/>
      <c r="E819" s="2"/>
      <c r="F819" s="2"/>
      <c r="G819" s="2"/>
      <c r="H819" s="2"/>
      <c r="I819" s="2"/>
      <c r="J819" s="2"/>
      <c r="K819" s="2"/>
    </row>
    <row r="820" spans="1:11" ht="15">
      <c r="A820" s="190"/>
      <c r="B820" s="1"/>
      <c r="C820" s="2"/>
      <c r="D820" s="2"/>
      <c r="E820" s="2"/>
      <c r="F820" s="2"/>
      <c r="G820" s="2"/>
      <c r="H820" s="2"/>
      <c r="I820" s="2"/>
      <c r="J820" s="2"/>
      <c r="K820" s="2"/>
    </row>
    <row r="821" spans="1:11" ht="15">
      <c r="A821" s="190"/>
      <c r="B821" s="1"/>
      <c r="C821" s="2"/>
      <c r="D821" s="2"/>
      <c r="E821" s="2"/>
      <c r="F821" s="2"/>
      <c r="G821" s="2"/>
      <c r="H821" s="2"/>
      <c r="I821" s="2"/>
      <c r="J821" s="2"/>
      <c r="K821" s="2"/>
    </row>
    <row r="822" spans="1:11" ht="15">
      <c r="A822" s="190"/>
      <c r="B822" s="1"/>
      <c r="C822" s="2"/>
      <c r="D822" s="2"/>
      <c r="E822" s="2"/>
      <c r="F822" s="2"/>
      <c r="G822" s="2"/>
      <c r="H822" s="2"/>
      <c r="I822" s="2"/>
      <c r="J822" s="2"/>
      <c r="K822" s="2"/>
    </row>
    <row r="823" spans="1:11" ht="15">
      <c r="A823" s="190"/>
      <c r="B823" s="1"/>
      <c r="C823" s="2"/>
      <c r="D823" s="2"/>
      <c r="E823" s="2"/>
      <c r="F823" s="2"/>
      <c r="G823" s="2"/>
      <c r="H823" s="2"/>
      <c r="I823" s="2"/>
      <c r="J823" s="2"/>
      <c r="K823" s="2"/>
    </row>
    <row r="824" spans="1:11" ht="15">
      <c r="A824" s="190"/>
      <c r="B824" s="1"/>
      <c r="C824" s="2"/>
      <c r="D824" s="2"/>
      <c r="E824" s="2"/>
      <c r="F824" s="2"/>
      <c r="G824" s="2"/>
      <c r="H824" s="2"/>
      <c r="I824" s="2"/>
      <c r="J824" s="2"/>
      <c r="K824" s="2"/>
    </row>
    <row r="825" spans="1:11" ht="15">
      <c r="A825" s="190"/>
      <c r="B825" s="1"/>
      <c r="C825" s="2"/>
      <c r="D825" s="2"/>
      <c r="E825" s="2"/>
      <c r="F825" s="2"/>
      <c r="G825" s="2"/>
      <c r="H825" s="2"/>
      <c r="I825" s="2"/>
      <c r="J825" s="2"/>
      <c r="K825" s="2"/>
    </row>
    <row r="826" spans="1:11">
      <c r="A826" s="190"/>
      <c r="B826" s="190"/>
      <c r="C826" s="207"/>
      <c r="D826" s="207"/>
      <c r="E826" s="208"/>
      <c r="F826" s="208"/>
      <c r="G826" s="208"/>
      <c r="H826" s="208"/>
      <c r="I826" s="208"/>
      <c r="J826" s="208"/>
      <c r="K826" s="208"/>
    </row>
    <row r="827" spans="1:11" ht="18.75" customHeight="1">
      <c r="A827" s="190"/>
      <c r="B827" s="523" t="s">
        <v>1093</v>
      </c>
      <c r="C827" s="523"/>
      <c r="D827" s="523"/>
      <c r="E827" s="523"/>
      <c r="F827" s="523"/>
      <c r="G827" s="523"/>
      <c r="H827" s="523"/>
      <c r="I827" s="523"/>
      <c r="J827" s="523"/>
      <c r="K827" s="523"/>
    </row>
    <row r="828" spans="1:11" ht="15">
      <c r="A828" s="190"/>
      <c r="B828" s="80"/>
      <c r="C828" s="3"/>
      <c r="D828" s="2"/>
      <c r="E828" s="2"/>
      <c r="F828" s="2"/>
      <c r="G828" s="2"/>
      <c r="H828" s="2"/>
      <c r="I828" s="2"/>
      <c r="J828" s="2"/>
      <c r="K828" s="2"/>
    </row>
    <row r="829" spans="1:11" ht="12.75" customHeight="1">
      <c r="A829" s="190"/>
      <c r="B829" s="529" t="s">
        <v>1098</v>
      </c>
      <c r="C829" s="529"/>
      <c r="D829" s="529"/>
      <c r="E829" s="529"/>
      <c r="F829" s="529"/>
      <c r="G829" s="529"/>
      <c r="H829" s="529"/>
      <c r="I829" s="529"/>
      <c r="J829" s="529"/>
      <c r="K829" s="529"/>
    </row>
    <row r="830" spans="1:11" ht="18" customHeight="1">
      <c r="A830" s="190"/>
      <c r="B830" s="529"/>
      <c r="C830" s="529"/>
      <c r="D830" s="529"/>
      <c r="E830" s="529"/>
      <c r="F830" s="529"/>
      <c r="G830" s="529"/>
      <c r="H830" s="529"/>
      <c r="I830" s="529"/>
      <c r="J830" s="529"/>
      <c r="K830" s="529"/>
    </row>
    <row r="831" spans="1:11" ht="15">
      <c r="A831" s="190"/>
      <c r="B831" s="5"/>
      <c r="C831" s="80"/>
      <c r="D831" s="81"/>
      <c r="E831" s="80" t="s">
        <v>312</v>
      </c>
      <c r="F831" s="1"/>
      <c r="G831" s="1"/>
      <c r="H831" s="1"/>
      <c r="I831" s="1"/>
      <c r="J831" s="1"/>
      <c r="K831" s="1"/>
    </row>
    <row r="832" spans="1:11" ht="15">
      <c r="A832" s="190"/>
      <c r="B832" s="81"/>
      <c r="C832" s="80" t="s">
        <v>23</v>
      </c>
      <c r="D832" s="104" t="s">
        <v>253</v>
      </c>
      <c r="E832" s="81" t="s">
        <v>1045</v>
      </c>
      <c r="F832" s="81" t="s">
        <v>312</v>
      </c>
      <c r="G832" s="81" t="s">
        <v>313</v>
      </c>
      <c r="H832" s="81" t="s">
        <v>329</v>
      </c>
      <c r="I832" s="81" t="s">
        <v>332</v>
      </c>
      <c r="J832" s="81" t="s">
        <v>333</v>
      </c>
      <c r="K832" s="81" t="s">
        <v>1224</v>
      </c>
    </row>
    <row r="833" spans="1:12" ht="15.75" thickBot="1">
      <c r="A833" s="190"/>
      <c r="B833" s="209"/>
      <c r="C833" s="83" t="s">
        <v>1</v>
      </c>
      <c r="D833" s="83" t="s">
        <v>1</v>
      </c>
      <c r="E833" s="83" t="s">
        <v>987</v>
      </c>
      <c r="F833" s="83" t="s">
        <v>24</v>
      </c>
      <c r="G833" s="83" t="s">
        <v>1045</v>
      </c>
      <c r="H833" s="83" t="s">
        <v>24</v>
      </c>
      <c r="I833" s="83" t="s">
        <v>24</v>
      </c>
      <c r="J833" s="83" t="s">
        <v>24</v>
      </c>
      <c r="K833" s="83" t="s">
        <v>24</v>
      </c>
    </row>
    <row r="834" spans="1:12" ht="15">
      <c r="A834" s="190"/>
      <c r="B834" s="79"/>
      <c r="C834" s="210"/>
      <c r="D834" s="2"/>
      <c r="E834" s="2"/>
      <c r="F834" s="2"/>
      <c r="G834" s="2"/>
      <c r="H834" s="2"/>
      <c r="I834" s="2"/>
      <c r="J834" s="2"/>
      <c r="K834" s="2"/>
    </row>
    <row r="835" spans="1:12" ht="15">
      <c r="A835" s="190"/>
      <c r="B835" s="198" t="s">
        <v>1046</v>
      </c>
      <c r="C835" s="2"/>
      <c r="D835" s="2"/>
      <c r="E835" s="2"/>
      <c r="F835" s="2"/>
      <c r="G835" s="2"/>
      <c r="H835" s="2"/>
      <c r="I835" s="2"/>
      <c r="J835" s="2"/>
      <c r="K835" s="2"/>
    </row>
    <row r="836" spans="1:12" ht="20.100000000000001" customHeight="1">
      <c r="A836" s="190"/>
      <c r="B836" s="192" t="s">
        <v>1047</v>
      </c>
      <c r="C836" s="2">
        <f>'Budget Detail FY 2013-18'!N1085</f>
        <v>228346</v>
      </c>
      <c r="D836" s="2">
        <f>'Budget Detail FY 2013-18'!O1085</f>
        <v>259052</v>
      </c>
      <c r="E836" s="2">
        <f>'Budget Detail FY 2013-18'!P1085</f>
        <v>0</v>
      </c>
      <c r="F836" s="2">
        <f>'Budget Detail FY 2013-18'!Q1085</f>
        <v>0</v>
      </c>
      <c r="G836" s="2">
        <f>'Budget Detail FY 2013-18'!R1085</f>
        <v>0</v>
      </c>
      <c r="H836" s="2">
        <f>'Budget Detail FY 2013-18'!S1085</f>
        <v>0</v>
      </c>
      <c r="I836" s="2">
        <f>'Budget Detail FY 2013-18'!T1085</f>
        <v>0</v>
      </c>
      <c r="J836" s="2">
        <f>'Budget Detail FY 2013-18'!U1085</f>
        <v>0</v>
      </c>
      <c r="K836" s="2">
        <f>'Budget Detail FY 2013-18'!V1085</f>
        <v>0</v>
      </c>
    </row>
    <row r="837" spans="1:12" ht="20.100000000000001" customHeight="1">
      <c r="A837" s="190"/>
      <c r="B837" s="5" t="s">
        <v>1052</v>
      </c>
      <c r="C837" s="2">
        <f>'Budget Detail FY 2013-18'!N1086</f>
        <v>13</v>
      </c>
      <c r="D837" s="2">
        <f>'Budget Detail FY 2013-18'!O1086</f>
        <v>275</v>
      </c>
      <c r="E837" s="2">
        <f>'Budget Detail FY 2013-18'!P1086</f>
        <v>0</v>
      </c>
      <c r="F837" s="2">
        <f>'Budget Detail FY 2013-18'!Q1086</f>
        <v>0</v>
      </c>
      <c r="G837" s="2">
        <f>'Budget Detail FY 2013-18'!R1086</f>
        <v>0</v>
      </c>
      <c r="H837" s="2">
        <f>'Budget Detail FY 2013-18'!S1086</f>
        <v>0</v>
      </c>
      <c r="I837" s="2">
        <f>'Budget Detail FY 2013-18'!T1086</f>
        <v>0</v>
      </c>
      <c r="J837" s="2">
        <f>'Budget Detail FY 2013-18'!U1086</f>
        <v>0</v>
      </c>
      <c r="K837" s="2">
        <f>'Budget Detail FY 2013-18'!V1086</f>
        <v>0</v>
      </c>
    </row>
    <row r="838" spans="1:12" ht="20.100000000000001" customHeight="1" thickBot="1">
      <c r="A838" s="190"/>
      <c r="B838" s="193" t="s">
        <v>1056</v>
      </c>
      <c r="C838" s="188">
        <f>SUM(C836:C837)</f>
        <v>228359</v>
      </c>
      <c r="D838" s="188">
        <f t="shared" ref="D838:J838" si="130">SUM(D836:D837)</f>
        <v>259327</v>
      </c>
      <c r="E838" s="188">
        <f>SUM(E836:E837)</f>
        <v>0</v>
      </c>
      <c r="F838" s="188">
        <f t="shared" si="130"/>
        <v>0</v>
      </c>
      <c r="G838" s="188">
        <f t="shared" si="130"/>
        <v>0</v>
      </c>
      <c r="H838" s="188">
        <f t="shared" si="130"/>
        <v>0</v>
      </c>
      <c r="I838" s="188">
        <f t="shared" si="130"/>
        <v>0</v>
      </c>
      <c r="J838" s="188">
        <f t="shared" si="130"/>
        <v>0</v>
      </c>
      <c r="K838" s="188">
        <f>SUM(K836:K837)</f>
        <v>0</v>
      </c>
    </row>
    <row r="839" spans="1:12" s="152" customFormat="1" ht="15" hidden="1">
      <c r="A839" s="194"/>
      <c r="B839" s="195"/>
      <c r="C839" s="163">
        <f>'Budget Detail FY 2013-18'!N1088</f>
        <v>228359</v>
      </c>
      <c r="D839" s="163">
        <f>'Budget Detail FY 2013-18'!O1088</f>
        <v>259327</v>
      </c>
      <c r="E839" s="163">
        <f>'Budget Detail FY 2013-18'!P1088</f>
        <v>0</v>
      </c>
      <c r="F839" s="163">
        <f>'Budget Detail FY 2013-18'!Q1088</f>
        <v>0</v>
      </c>
      <c r="G839" s="163">
        <f>'Budget Detail FY 2013-18'!R1088</f>
        <v>0</v>
      </c>
      <c r="H839" s="163">
        <f>'Budget Detail FY 2013-18'!S1088</f>
        <v>0</v>
      </c>
      <c r="I839" s="163">
        <f>'Budget Detail FY 2013-18'!T1088</f>
        <v>0</v>
      </c>
      <c r="J839" s="163">
        <f>'Budget Detail FY 2013-18'!U1088</f>
        <v>0</v>
      </c>
      <c r="K839" s="163">
        <f>'Budget Detail FY 2013-18'!V1088</f>
        <v>0</v>
      </c>
      <c r="L839" s="166" t="s">
        <v>1462</v>
      </c>
    </row>
    <row r="840" spans="1:12" s="158" customFormat="1" ht="15" hidden="1">
      <c r="A840" s="196"/>
      <c r="B840" s="197"/>
      <c r="C840" s="203">
        <f>C838-C839</f>
        <v>0</v>
      </c>
      <c r="D840" s="203">
        <f t="shared" ref="D840:K840" si="131">D838-D839</f>
        <v>0</v>
      </c>
      <c r="E840" s="203">
        <f t="shared" si="131"/>
        <v>0</v>
      </c>
      <c r="F840" s="203">
        <f t="shared" si="131"/>
        <v>0</v>
      </c>
      <c r="G840" s="203">
        <f t="shared" si="131"/>
        <v>0</v>
      </c>
      <c r="H840" s="203">
        <f t="shared" si="131"/>
        <v>0</v>
      </c>
      <c r="I840" s="203">
        <f t="shared" si="131"/>
        <v>0</v>
      </c>
      <c r="J840" s="203">
        <f t="shared" si="131"/>
        <v>0</v>
      </c>
      <c r="K840" s="203">
        <f t="shared" si="131"/>
        <v>0</v>
      </c>
      <c r="L840" s="167" t="s">
        <v>1463</v>
      </c>
    </row>
    <row r="841" spans="1:12" ht="15">
      <c r="A841" s="190"/>
      <c r="B841" s="1"/>
      <c r="C841" s="2"/>
      <c r="D841" s="2"/>
      <c r="E841" s="2"/>
      <c r="F841" s="2"/>
      <c r="G841" s="2"/>
      <c r="H841" s="2"/>
      <c r="I841" s="2"/>
      <c r="J841" s="2"/>
      <c r="K841" s="2"/>
    </row>
    <row r="842" spans="1:12" ht="15">
      <c r="A842" s="190"/>
      <c r="B842" s="198" t="s">
        <v>761</v>
      </c>
      <c r="C842" s="2"/>
      <c r="D842" s="2"/>
      <c r="E842" s="2"/>
      <c r="F842" s="2"/>
      <c r="G842" s="2"/>
      <c r="H842" s="2"/>
      <c r="I842" s="2"/>
      <c r="J842" s="2"/>
      <c r="K842" s="2"/>
    </row>
    <row r="843" spans="1:12" ht="20.100000000000001" customHeight="1">
      <c r="A843" s="190"/>
      <c r="B843" s="199" t="s">
        <v>1059</v>
      </c>
      <c r="C843" s="2">
        <f>SUM('Budget Detail FY 2013-18'!N1090:N1091)</f>
        <v>1989</v>
      </c>
      <c r="D843" s="2">
        <f>SUM('Budget Detail FY 2013-18'!O1090:O1091)</f>
        <v>662322</v>
      </c>
      <c r="E843" s="2">
        <f>SUM('Budget Detail FY 2013-18'!P1090:P1091)</f>
        <v>0</v>
      </c>
      <c r="F843" s="2">
        <f>SUM('Budget Detail FY 2013-18'!Q1090:Q1091)</f>
        <v>0</v>
      </c>
      <c r="G843" s="2">
        <f>SUM('Budget Detail FY 2013-18'!R1090:R1091)</f>
        <v>0</v>
      </c>
      <c r="H843" s="2">
        <f>SUM('Budget Detail FY 2013-18'!S1090:S1091)</f>
        <v>0</v>
      </c>
      <c r="I843" s="2">
        <f>SUM('Budget Detail FY 2013-18'!T1090:T1091)</f>
        <v>0</v>
      </c>
      <c r="J843" s="2">
        <f>SUM('Budget Detail FY 2013-18'!U1090:U1091)</f>
        <v>0</v>
      </c>
      <c r="K843" s="2">
        <f>SUM('Budget Detail FY 2013-18'!V1090:V1091)</f>
        <v>0</v>
      </c>
    </row>
    <row r="844" spans="1:12" ht="20.100000000000001" customHeight="1">
      <c r="A844" s="190"/>
      <c r="B844" s="199" t="s">
        <v>1060</v>
      </c>
      <c r="C844" s="2">
        <f>'Budget Detail FY 2013-18'!N1092</f>
        <v>0</v>
      </c>
      <c r="D844" s="2">
        <f>'Budget Detail FY 2013-18'!O1092</f>
        <v>11236</v>
      </c>
      <c r="E844" s="2">
        <f>'Budget Detail FY 2013-18'!P1092</f>
        <v>0</v>
      </c>
      <c r="F844" s="2">
        <f>'Budget Detail FY 2013-18'!Q1092</f>
        <v>0</v>
      </c>
      <c r="G844" s="2">
        <f>'Budget Detail FY 2013-18'!R1092</f>
        <v>0</v>
      </c>
      <c r="H844" s="2">
        <f>'Budget Detail FY 2013-18'!S1092</f>
        <v>0</v>
      </c>
      <c r="I844" s="2">
        <f>'Budget Detail FY 2013-18'!T1092</f>
        <v>0</v>
      </c>
      <c r="J844" s="2">
        <f>'Budget Detail FY 2013-18'!U1092</f>
        <v>0</v>
      </c>
      <c r="K844" s="2">
        <f>'Budget Detail FY 2013-18'!V1092</f>
        <v>0</v>
      </c>
    </row>
    <row r="845" spans="1:12" ht="20.100000000000001" customHeight="1">
      <c r="A845" s="190"/>
      <c r="B845" s="199" t="s">
        <v>967</v>
      </c>
      <c r="C845" s="2">
        <f>SUM('Budget Detail FY 2013-18'!N1094:N1095)</f>
        <v>79933</v>
      </c>
      <c r="D845" s="2">
        <f>SUM('Budget Detail FY 2013-18'!O1094:O1095)</f>
        <v>76782</v>
      </c>
      <c r="E845" s="2">
        <f>SUM('Budget Detail FY 2013-18'!P1094:P1095)</f>
        <v>0</v>
      </c>
      <c r="F845" s="2">
        <f>SUM('Budget Detail FY 2013-18'!Q1094:Q1095)</f>
        <v>0</v>
      </c>
      <c r="G845" s="2">
        <f>SUM('Budget Detail FY 2013-18'!R1094:R1095)</f>
        <v>0</v>
      </c>
      <c r="H845" s="2">
        <f>SUM('Budget Detail FY 2013-18'!S1094:S1095)</f>
        <v>0</v>
      </c>
      <c r="I845" s="2">
        <f>SUM('Budget Detail FY 2013-18'!T1094:T1095)</f>
        <v>0</v>
      </c>
      <c r="J845" s="2">
        <f>SUM('Budget Detail FY 2013-18'!U1094:U1095)</f>
        <v>0</v>
      </c>
      <c r="K845" s="2">
        <f>SUM('Budget Detail FY 2013-18'!V1094:V1095)</f>
        <v>0</v>
      </c>
    </row>
    <row r="846" spans="1:12" ht="20.100000000000001" customHeight="1">
      <c r="A846" s="190"/>
      <c r="B846" s="5" t="s">
        <v>1063</v>
      </c>
      <c r="C846" s="2">
        <f>'Budget Detail FY 2013-18'!N1097</f>
        <v>0</v>
      </c>
      <c r="D846" s="2">
        <f>'Budget Detail FY 2013-18'!O1097</f>
        <v>78777</v>
      </c>
      <c r="E846" s="2">
        <f>'Budget Detail FY 2013-18'!P1097</f>
        <v>0</v>
      </c>
      <c r="F846" s="2">
        <f>'Budget Detail FY 2013-18'!Q1097</f>
        <v>0</v>
      </c>
      <c r="G846" s="2">
        <f>'Budget Detail FY 2013-18'!R1097</f>
        <v>0</v>
      </c>
      <c r="H846" s="2">
        <f>'Budget Detail FY 2013-18'!S1097</f>
        <v>0</v>
      </c>
      <c r="I846" s="2">
        <f>'Budget Detail FY 2013-18'!T1097</f>
        <v>0</v>
      </c>
      <c r="J846" s="2">
        <f>'Budget Detail FY 2013-18'!U1097</f>
        <v>0</v>
      </c>
      <c r="K846" s="2">
        <f>'Budget Detail FY 2013-18'!V1097</f>
        <v>0</v>
      </c>
    </row>
    <row r="847" spans="1:12" ht="20.100000000000001" customHeight="1" thickBot="1">
      <c r="A847" s="190"/>
      <c r="B847" s="193" t="s">
        <v>1064</v>
      </c>
      <c r="C847" s="188">
        <f>SUM(C843:C846)</f>
        <v>81922</v>
      </c>
      <c r="D847" s="188">
        <f t="shared" ref="D847:K847" si="132">SUM(D843:D846)</f>
        <v>829117</v>
      </c>
      <c r="E847" s="188">
        <f t="shared" si="132"/>
        <v>0</v>
      </c>
      <c r="F847" s="188">
        <f t="shared" si="132"/>
        <v>0</v>
      </c>
      <c r="G847" s="188">
        <f t="shared" si="132"/>
        <v>0</v>
      </c>
      <c r="H847" s="188">
        <f t="shared" si="132"/>
        <v>0</v>
      </c>
      <c r="I847" s="188">
        <f t="shared" si="132"/>
        <v>0</v>
      </c>
      <c r="J847" s="188">
        <f t="shared" si="132"/>
        <v>0</v>
      </c>
      <c r="K847" s="188">
        <f t="shared" si="132"/>
        <v>0</v>
      </c>
    </row>
    <row r="848" spans="1:12" s="152" customFormat="1" ht="15" hidden="1">
      <c r="A848" s="194"/>
      <c r="B848" s="195"/>
      <c r="C848" s="163">
        <f>'Budget Detail FY 2013-18'!N1099</f>
        <v>81922</v>
      </c>
      <c r="D848" s="163">
        <f>'Budget Detail FY 2013-18'!O1099</f>
        <v>829117</v>
      </c>
      <c r="E848" s="163">
        <f>'Budget Detail FY 2013-18'!P1099</f>
        <v>0</v>
      </c>
      <c r="F848" s="163">
        <f>'Budget Detail FY 2013-18'!Q1099</f>
        <v>0</v>
      </c>
      <c r="G848" s="163">
        <f>'Budget Detail FY 2013-18'!R1099</f>
        <v>0</v>
      </c>
      <c r="H848" s="163">
        <f>'Budget Detail FY 2013-18'!S1099</f>
        <v>0</v>
      </c>
      <c r="I848" s="163">
        <f>'Budget Detail FY 2013-18'!T1099</f>
        <v>0</v>
      </c>
      <c r="J848" s="163">
        <f>'Budget Detail FY 2013-18'!U1099</f>
        <v>0</v>
      </c>
      <c r="K848" s="163">
        <f>'Budget Detail FY 2013-18'!V1099</f>
        <v>0</v>
      </c>
      <c r="L848" s="166" t="s">
        <v>1462</v>
      </c>
    </row>
    <row r="849" spans="1:12" s="158" customFormat="1" ht="14.25" hidden="1">
      <c r="A849" s="196"/>
      <c r="B849" s="197"/>
      <c r="C849" s="164">
        <f>C847-C848</f>
        <v>0</v>
      </c>
      <c r="D849" s="164">
        <f t="shared" ref="D849:K849" si="133">D847-D848</f>
        <v>0</v>
      </c>
      <c r="E849" s="164">
        <f t="shared" si="133"/>
        <v>0</v>
      </c>
      <c r="F849" s="164">
        <f t="shared" si="133"/>
        <v>0</v>
      </c>
      <c r="G849" s="164">
        <f t="shared" si="133"/>
        <v>0</v>
      </c>
      <c r="H849" s="164">
        <f t="shared" si="133"/>
        <v>0</v>
      </c>
      <c r="I849" s="164">
        <f t="shared" si="133"/>
        <v>0</v>
      </c>
      <c r="J849" s="164">
        <f t="shared" si="133"/>
        <v>0</v>
      </c>
      <c r="K849" s="164">
        <f t="shared" si="133"/>
        <v>0</v>
      </c>
      <c r="L849" s="167" t="s">
        <v>1463</v>
      </c>
    </row>
    <row r="850" spans="1:12" ht="15">
      <c r="A850" s="190"/>
      <c r="B850" s="200"/>
      <c r="C850" s="3"/>
      <c r="D850" s="2"/>
      <c r="E850" s="2"/>
      <c r="F850" s="2"/>
      <c r="G850" s="2"/>
      <c r="H850" s="2"/>
      <c r="I850" s="2"/>
      <c r="J850" s="2"/>
      <c r="K850" s="2"/>
    </row>
    <row r="851" spans="1:12" ht="20.100000000000001" customHeight="1">
      <c r="A851" s="190"/>
      <c r="B851" s="189" t="s">
        <v>1065</v>
      </c>
      <c r="C851" s="3">
        <f t="shared" ref="C851:K851" si="134">+C838-C847</f>
        <v>146437</v>
      </c>
      <c r="D851" s="3">
        <f t="shared" si="134"/>
        <v>-569790</v>
      </c>
      <c r="E851" s="3">
        <f t="shared" si="134"/>
        <v>0</v>
      </c>
      <c r="F851" s="3">
        <f t="shared" si="134"/>
        <v>0</v>
      </c>
      <c r="G851" s="3">
        <f t="shared" si="134"/>
        <v>0</v>
      </c>
      <c r="H851" s="3">
        <f t="shared" si="134"/>
        <v>0</v>
      </c>
      <c r="I851" s="3">
        <f t="shared" si="134"/>
        <v>0</v>
      </c>
      <c r="J851" s="3">
        <f t="shared" si="134"/>
        <v>0</v>
      </c>
      <c r="K851" s="3">
        <f t="shared" si="134"/>
        <v>0</v>
      </c>
    </row>
    <row r="852" spans="1:12" s="152" customFormat="1" ht="15" hidden="1">
      <c r="A852" s="194"/>
      <c r="B852" s="201"/>
      <c r="C852" s="163">
        <f>'Budget Detail FY 2013-18'!N1101</f>
        <v>146437</v>
      </c>
      <c r="D852" s="163">
        <f>'Budget Detail FY 2013-18'!O1101</f>
        <v>-569790</v>
      </c>
      <c r="E852" s="163">
        <f>'Budget Detail FY 2013-18'!P1101</f>
        <v>0</v>
      </c>
      <c r="F852" s="163">
        <f>'Budget Detail FY 2013-18'!Q1101</f>
        <v>0</v>
      </c>
      <c r="G852" s="163">
        <f>'Budget Detail FY 2013-18'!R1101</f>
        <v>0</v>
      </c>
      <c r="H852" s="163">
        <f>'Budget Detail FY 2013-18'!S1101</f>
        <v>0</v>
      </c>
      <c r="I852" s="163">
        <f>'Budget Detail FY 2013-18'!T1101</f>
        <v>0</v>
      </c>
      <c r="J852" s="163">
        <f>'Budget Detail FY 2013-18'!U1101</f>
        <v>0</v>
      </c>
      <c r="K852" s="163">
        <f>'Budget Detail FY 2013-18'!V1101</f>
        <v>0</v>
      </c>
      <c r="L852" s="166" t="s">
        <v>1462</v>
      </c>
    </row>
    <row r="853" spans="1:12" s="158" customFormat="1" ht="15" hidden="1">
      <c r="A853" s="196"/>
      <c r="B853" s="202"/>
      <c r="C853" s="211">
        <f>C851-C852</f>
        <v>0</v>
      </c>
      <c r="D853" s="211">
        <f t="shared" ref="D853:K853" si="135">D851-D852</f>
        <v>0</v>
      </c>
      <c r="E853" s="211">
        <f t="shared" si="135"/>
        <v>0</v>
      </c>
      <c r="F853" s="211">
        <f t="shared" si="135"/>
        <v>0</v>
      </c>
      <c r="G853" s="211">
        <f t="shared" si="135"/>
        <v>0</v>
      </c>
      <c r="H853" s="211">
        <f t="shared" si="135"/>
        <v>0</v>
      </c>
      <c r="I853" s="211">
        <f t="shared" si="135"/>
        <v>0</v>
      </c>
      <c r="J853" s="211">
        <f t="shared" si="135"/>
        <v>0</v>
      </c>
      <c r="K853" s="211">
        <f t="shared" si="135"/>
        <v>0</v>
      </c>
      <c r="L853" s="167" t="s">
        <v>1463</v>
      </c>
    </row>
    <row r="854" spans="1:12" ht="15">
      <c r="A854" s="190"/>
      <c r="B854" s="204"/>
      <c r="C854" s="3"/>
      <c r="D854" s="2"/>
      <c r="E854" s="2"/>
      <c r="F854" s="2"/>
      <c r="G854" s="2"/>
      <c r="H854" s="2"/>
      <c r="I854" s="2"/>
      <c r="J854" s="2"/>
      <c r="K854" s="2"/>
    </row>
    <row r="855" spans="1:12" ht="20.100000000000001" customHeight="1" thickBot="1">
      <c r="A855" s="190"/>
      <c r="B855" s="191" t="s">
        <v>1066</v>
      </c>
      <c r="C855" s="99">
        <v>569790</v>
      </c>
      <c r="D855" s="99">
        <v>0</v>
      </c>
      <c r="E855" s="99">
        <v>0</v>
      </c>
      <c r="F855" s="99">
        <f>D855+F851</f>
        <v>0</v>
      </c>
      <c r="G855" s="99">
        <f>F855+G851</f>
        <v>0</v>
      </c>
      <c r="H855" s="99">
        <f>G855+H851</f>
        <v>0</v>
      </c>
      <c r="I855" s="99">
        <f>H855+I851</f>
        <v>0</v>
      </c>
      <c r="J855" s="99">
        <f>I855+J851</f>
        <v>0</v>
      </c>
      <c r="K855" s="99">
        <f>J855+K851</f>
        <v>0</v>
      </c>
    </row>
    <row r="856" spans="1:12" s="152" customFormat="1" ht="15.75" hidden="1" thickTop="1">
      <c r="A856" s="194"/>
      <c r="B856" s="195"/>
      <c r="C856" s="163">
        <f>'Budget Detail FY 2013-18'!N1103</f>
        <v>569790</v>
      </c>
      <c r="D856" s="163">
        <f>'Budget Detail FY 2013-18'!O1103</f>
        <v>0</v>
      </c>
      <c r="E856" s="163">
        <f>'Budget Detail FY 2013-18'!P1103</f>
        <v>0</v>
      </c>
      <c r="F856" s="163">
        <f>'Budget Detail FY 2013-18'!Q1103</f>
        <v>0</v>
      </c>
      <c r="G856" s="163">
        <f>'Budget Detail FY 2013-18'!R1103</f>
        <v>0</v>
      </c>
      <c r="H856" s="163">
        <f>'Budget Detail FY 2013-18'!S1103</f>
        <v>0</v>
      </c>
      <c r="I856" s="163">
        <f>'Budget Detail FY 2013-18'!T1103</f>
        <v>0</v>
      </c>
      <c r="J856" s="163">
        <f>'Budget Detail FY 2013-18'!U1103</f>
        <v>0</v>
      </c>
      <c r="K856" s="163">
        <f>'Budget Detail FY 2013-18'!V1103</f>
        <v>0</v>
      </c>
      <c r="L856" s="166" t="s">
        <v>1462</v>
      </c>
    </row>
    <row r="857" spans="1:12" s="158" customFormat="1" ht="15" hidden="1">
      <c r="A857" s="196"/>
      <c r="B857" s="197"/>
      <c r="C857" s="203">
        <f>C855-C856</f>
        <v>0</v>
      </c>
      <c r="D857" s="203">
        <f t="shared" ref="D857:K857" si="136">D855-D856</f>
        <v>0</v>
      </c>
      <c r="E857" s="203">
        <f t="shared" si="136"/>
        <v>0</v>
      </c>
      <c r="F857" s="203">
        <f t="shared" si="136"/>
        <v>0</v>
      </c>
      <c r="G857" s="203">
        <f t="shared" si="136"/>
        <v>0</v>
      </c>
      <c r="H857" s="203">
        <f t="shared" si="136"/>
        <v>0</v>
      </c>
      <c r="I857" s="203">
        <f t="shared" si="136"/>
        <v>0</v>
      </c>
      <c r="J857" s="203">
        <f t="shared" si="136"/>
        <v>0</v>
      </c>
      <c r="K857" s="203">
        <f t="shared" si="136"/>
        <v>0</v>
      </c>
      <c r="L857" s="167" t="s">
        <v>1463</v>
      </c>
    </row>
    <row r="858" spans="1:12" ht="15.75" thickTop="1">
      <c r="A858" s="190"/>
      <c r="B858" s="205"/>
      <c r="C858" s="3"/>
      <c r="D858" s="3"/>
      <c r="E858" s="3"/>
      <c r="F858" s="2"/>
      <c r="G858" s="2"/>
      <c r="H858" s="2"/>
      <c r="I858" s="2"/>
      <c r="J858" s="2"/>
      <c r="K858" s="2"/>
    </row>
    <row r="859" spans="1:12" ht="15">
      <c r="A859" s="190"/>
      <c r="B859" s="205"/>
      <c r="C859" s="3"/>
      <c r="D859" s="3"/>
      <c r="E859" s="3"/>
      <c r="F859" s="2"/>
      <c r="G859" s="2"/>
      <c r="H859" s="2"/>
      <c r="I859" s="2"/>
      <c r="J859" s="2"/>
      <c r="K859" s="2"/>
    </row>
    <row r="860" spans="1:12" ht="15">
      <c r="A860" s="190"/>
      <c r="B860" s="205"/>
      <c r="C860" s="2"/>
      <c r="D860" s="2"/>
      <c r="E860" s="2"/>
      <c r="F860" s="2"/>
      <c r="G860" s="2"/>
      <c r="H860" s="2"/>
      <c r="I860" s="2"/>
      <c r="J860" s="2"/>
      <c r="K860" s="2"/>
    </row>
    <row r="861" spans="1:12" ht="15">
      <c r="A861" s="190"/>
      <c r="B861" s="1"/>
      <c r="C861" s="2"/>
      <c r="D861" s="2"/>
      <c r="E861" s="2"/>
      <c r="F861" s="2"/>
      <c r="G861" s="2"/>
      <c r="H861" s="2"/>
      <c r="I861" s="2"/>
      <c r="J861" s="2"/>
      <c r="K861" s="2"/>
    </row>
    <row r="862" spans="1:12" ht="15">
      <c r="A862" s="190"/>
      <c r="B862" s="1"/>
      <c r="C862" s="2"/>
      <c r="D862" s="2"/>
      <c r="E862" s="2"/>
      <c r="F862" s="2"/>
      <c r="G862" s="2"/>
      <c r="H862" s="2"/>
      <c r="I862" s="2"/>
      <c r="J862" s="2"/>
      <c r="K862" s="2"/>
    </row>
    <row r="863" spans="1:12" ht="15">
      <c r="A863" s="190"/>
      <c r="B863" s="1"/>
      <c r="C863" s="2"/>
      <c r="D863" s="2"/>
      <c r="E863" s="2"/>
      <c r="F863" s="2"/>
      <c r="G863" s="2"/>
      <c r="H863" s="2"/>
      <c r="I863" s="2"/>
      <c r="J863" s="2"/>
      <c r="K863" s="2"/>
    </row>
    <row r="864" spans="1:12" ht="15">
      <c r="A864" s="190"/>
      <c r="B864" s="1"/>
      <c r="C864" s="2"/>
      <c r="D864" s="2"/>
      <c r="E864" s="2"/>
      <c r="F864" s="2"/>
      <c r="G864" s="2"/>
      <c r="H864" s="2"/>
      <c r="I864" s="2"/>
      <c r="J864" s="2"/>
      <c r="K864" s="2"/>
    </row>
    <row r="865" spans="1:11" ht="15">
      <c r="A865" s="190"/>
      <c r="B865" s="1"/>
      <c r="C865" s="2"/>
      <c r="D865" s="2"/>
      <c r="E865" s="2"/>
      <c r="F865" s="2"/>
      <c r="G865" s="2"/>
      <c r="H865" s="2"/>
      <c r="I865" s="2"/>
      <c r="J865" s="2"/>
      <c r="K865" s="2"/>
    </row>
    <row r="866" spans="1:11" ht="15">
      <c r="A866" s="190"/>
      <c r="B866" s="1"/>
      <c r="C866" s="2"/>
      <c r="D866" s="2"/>
      <c r="E866" s="2"/>
      <c r="F866" s="2"/>
      <c r="G866" s="2"/>
      <c r="H866" s="2"/>
      <c r="I866" s="2"/>
      <c r="J866" s="2"/>
      <c r="K866" s="2"/>
    </row>
    <row r="867" spans="1:11" ht="15">
      <c r="A867" s="190"/>
      <c r="B867" s="1"/>
      <c r="C867" s="2"/>
      <c r="D867" s="2"/>
      <c r="E867" s="2"/>
      <c r="F867" s="2"/>
      <c r="G867" s="2"/>
      <c r="H867" s="2"/>
      <c r="I867" s="2"/>
      <c r="J867" s="2"/>
      <c r="K867" s="2"/>
    </row>
    <row r="868" spans="1:11" ht="15">
      <c r="A868" s="190"/>
      <c r="B868" s="1"/>
      <c r="C868" s="2"/>
      <c r="D868" s="2"/>
      <c r="E868" s="2"/>
      <c r="F868" s="2"/>
      <c r="G868" s="2"/>
      <c r="H868" s="2"/>
      <c r="I868" s="2"/>
      <c r="J868" s="2"/>
      <c r="K868" s="2"/>
    </row>
    <row r="869" spans="1:11" ht="15">
      <c r="A869" s="190"/>
      <c r="B869" s="1"/>
      <c r="C869" s="2"/>
      <c r="D869" s="2"/>
      <c r="E869" s="2"/>
      <c r="F869" s="2"/>
      <c r="G869" s="2"/>
      <c r="H869" s="2"/>
      <c r="I869" s="2"/>
      <c r="J869" s="2"/>
      <c r="K869" s="2"/>
    </row>
    <row r="870" spans="1:11" ht="15">
      <c r="A870" s="190"/>
      <c r="B870" s="1"/>
      <c r="C870" s="2"/>
      <c r="D870" s="2"/>
      <c r="E870" s="2"/>
      <c r="F870" s="2"/>
      <c r="G870" s="2"/>
      <c r="H870" s="2"/>
      <c r="I870" s="2"/>
      <c r="J870" s="2"/>
      <c r="K870" s="2"/>
    </row>
    <row r="871" spans="1:11">
      <c r="A871" s="190"/>
      <c r="B871" s="190"/>
      <c r="C871" s="207"/>
      <c r="D871" s="207"/>
      <c r="E871" s="208"/>
      <c r="F871" s="208"/>
      <c r="G871" s="208"/>
      <c r="H871" s="208"/>
      <c r="I871" s="208"/>
      <c r="J871" s="208"/>
      <c r="K871" s="208"/>
    </row>
    <row r="872" spans="1:11" ht="18.75" customHeight="1">
      <c r="A872" s="190"/>
      <c r="B872" s="523" t="s">
        <v>1094</v>
      </c>
      <c r="C872" s="523"/>
      <c r="D872" s="523"/>
      <c r="E872" s="523"/>
      <c r="F872" s="523"/>
      <c r="G872" s="523"/>
      <c r="H872" s="523"/>
      <c r="I872" s="523"/>
      <c r="J872" s="523"/>
      <c r="K872" s="523"/>
    </row>
    <row r="873" spans="1:11" ht="15">
      <c r="A873" s="190"/>
      <c r="B873" s="80"/>
      <c r="C873" s="3"/>
      <c r="D873" s="2"/>
      <c r="E873" s="2"/>
      <c r="F873" s="2"/>
      <c r="G873" s="2"/>
      <c r="H873" s="2"/>
      <c r="I873" s="2"/>
      <c r="J873" s="2"/>
      <c r="K873" s="2"/>
    </row>
    <row r="874" spans="1:11" ht="12.75" customHeight="1">
      <c r="A874" s="190"/>
      <c r="B874" s="529" t="s">
        <v>1095</v>
      </c>
      <c r="C874" s="529"/>
      <c r="D874" s="529"/>
      <c r="E874" s="529"/>
      <c r="F874" s="529"/>
      <c r="G874" s="529"/>
      <c r="H874" s="529"/>
      <c r="I874" s="529"/>
      <c r="J874" s="529"/>
      <c r="K874" s="529"/>
    </row>
    <row r="875" spans="1:11" ht="18.75" customHeight="1">
      <c r="A875" s="190"/>
      <c r="B875" s="529"/>
      <c r="C875" s="529"/>
      <c r="D875" s="529"/>
      <c r="E875" s="529"/>
      <c r="F875" s="529"/>
      <c r="G875" s="529"/>
      <c r="H875" s="529"/>
      <c r="I875" s="529"/>
      <c r="J875" s="529"/>
      <c r="K875" s="529"/>
    </row>
    <row r="876" spans="1:11" ht="15">
      <c r="A876" s="190"/>
      <c r="B876" s="187"/>
      <c r="C876" s="31"/>
      <c r="D876" s="31"/>
      <c r="E876" s="31"/>
      <c r="F876" s="31"/>
      <c r="G876" s="31"/>
      <c r="H876" s="31"/>
      <c r="I876" s="2"/>
      <c r="J876" s="2"/>
      <c r="K876" s="2"/>
    </row>
    <row r="877" spans="1:11" ht="15">
      <c r="A877" s="190"/>
      <c r="B877" s="5"/>
      <c r="C877" s="80"/>
      <c r="D877" s="81"/>
      <c r="E877" s="80" t="s">
        <v>312</v>
      </c>
      <c r="F877" s="1"/>
      <c r="G877" s="1"/>
      <c r="H877" s="1"/>
      <c r="I877" s="1"/>
      <c r="J877" s="1"/>
      <c r="K877" s="1"/>
    </row>
    <row r="878" spans="1:11" ht="15">
      <c r="A878" s="190"/>
      <c r="B878" s="81"/>
      <c r="C878" s="80" t="s">
        <v>23</v>
      </c>
      <c r="D878" s="104" t="s">
        <v>253</v>
      </c>
      <c r="E878" s="81" t="s">
        <v>1045</v>
      </c>
      <c r="F878" s="81" t="s">
        <v>312</v>
      </c>
      <c r="G878" s="81" t="s">
        <v>313</v>
      </c>
      <c r="H878" s="81" t="s">
        <v>329</v>
      </c>
      <c r="I878" s="81" t="s">
        <v>332</v>
      </c>
      <c r="J878" s="81" t="s">
        <v>333</v>
      </c>
      <c r="K878" s="81" t="s">
        <v>1224</v>
      </c>
    </row>
    <row r="879" spans="1:11" ht="15.75" thickBot="1">
      <c r="A879" s="190"/>
      <c r="B879" s="209"/>
      <c r="C879" s="83" t="s">
        <v>1</v>
      </c>
      <c r="D879" s="83" t="s">
        <v>1</v>
      </c>
      <c r="E879" s="83" t="s">
        <v>987</v>
      </c>
      <c r="F879" s="83" t="s">
        <v>24</v>
      </c>
      <c r="G879" s="83" t="s">
        <v>1045</v>
      </c>
      <c r="H879" s="83" t="s">
        <v>24</v>
      </c>
      <c r="I879" s="83" t="s">
        <v>24</v>
      </c>
      <c r="J879" s="83" t="s">
        <v>24</v>
      </c>
      <c r="K879" s="83" t="s">
        <v>24</v>
      </c>
    </row>
    <row r="880" spans="1:11" ht="15">
      <c r="A880" s="190"/>
      <c r="B880" s="79"/>
      <c r="C880" s="210"/>
      <c r="D880" s="2"/>
      <c r="E880" s="2"/>
      <c r="F880" s="2"/>
      <c r="G880" s="2"/>
      <c r="H880" s="2"/>
      <c r="I880" s="2"/>
      <c r="J880" s="2"/>
      <c r="K880" s="2"/>
    </row>
    <row r="881" spans="1:12" ht="15">
      <c r="A881" s="190"/>
      <c r="B881" s="198" t="s">
        <v>1046</v>
      </c>
      <c r="C881" s="2"/>
      <c r="D881" s="2"/>
      <c r="E881" s="2"/>
      <c r="F881" s="2"/>
      <c r="G881" s="2"/>
      <c r="H881" s="2"/>
      <c r="I881" s="2"/>
      <c r="J881" s="2"/>
      <c r="K881" s="2"/>
    </row>
    <row r="882" spans="1:12" ht="20.100000000000001" customHeight="1">
      <c r="A882" s="190"/>
      <c r="B882" s="192" t="s">
        <v>1047</v>
      </c>
      <c r="C882" s="2">
        <f>'Budget Detail FY 2013-18'!N1107</f>
        <v>6372</v>
      </c>
      <c r="D882" s="2">
        <f>'Budget Detail FY 2013-18'!O1107</f>
        <v>4188</v>
      </c>
      <c r="E882" s="2">
        <f>'Budget Detail FY 2013-18'!P1107</f>
        <v>4500</v>
      </c>
      <c r="F882" s="2">
        <f>'Budget Detail FY 2013-18'!Q1107</f>
        <v>0</v>
      </c>
      <c r="G882" s="2">
        <f>'Budget Detail FY 2013-18'!R1107</f>
        <v>0</v>
      </c>
      <c r="H882" s="2">
        <f>'Budget Detail FY 2013-18'!S1107</f>
        <v>0</v>
      </c>
      <c r="I882" s="2">
        <f>'Budget Detail FY 2013-18'!T1107</f>
        <v>100000</v>
      </c>
      <c r="J882" s="2">
        <f>'Budget Detail FY 2013-18'!U1107</f>
        <v>100000</v>
      </c>
      <c r="K882" s="2">
        <f>'Budget Detail FY 2013-18'!V1107</f>
        <v>100000</v>
      </c>
    </row>
    <row r="883" spans="1:12" ht="20.100000000000001" customHeight="1">
      <c r="A883" s="190"/>
      <c r="B883" s="5" t="s">
        <v>1052</v>
      </c>
      <c r="C883" s="2">
        <f>'Budget Detail FY 2013-18'!N1108</f>
        <v>3134</v>
      </c>
      <c r="D883" s="2">
        <f>'Budget Detail FY 2013-18'!O1108</f>
        <v>2718</v>
      </c>
      <c r="E883" s="2">
        <f>'Budget Detail FY 2013-18'!P1108</f>
        <v>2000</v>
      </c>
      <c r="F883" s="2">
        <f>'Budget Detail FY 2013-18'!Q1108</f>
        <v>3100</v>
      </c>
      <c r="G883" s="2">
        <f>'Budget Detail FY 2013-18'!R1108</f>
        <v>1550</v>
      </c>
      <c r="H883" s="2">
        <f>'Budget Detail FY 2013-18'!S1108</f>
        <v>0</v>
      </c>
      <c r="I883" s="2">
        <f>'Budget Detail FY 2013-18'!T1108</f>
        <v>0</v>
      </c>
      <c r="J883" s="2">
        <f>'Budget Detail FY 2013-18'!U1108</f>
        <v>0</v>
      </c>
      <c r="K883" s="2">
        <f>'Budget Detail FY 2013-18'!V1108</f>
        <v>0</v>
      </c>
    </row>
    <row r="884" spans="1:12" ht="20.100000000000001" customHeight="1" thickBot="1">
      <c r="A884" s="190"/>
      <c r="B884" s="193" t="s">
        <v>1056</v>
      </c>
      <c r="C884" s="188">
        <f>SUM(C882:C883)</f>
        <v>9506</v>
      </c>
      <c r="D884" s="188">
        <f t="shared" ref="D884:J884" si="137">SUM(D882:D883)</f>
        <v>6906</v>
      </c>
      <c r="E884" s="188">
        <f t="shared" si="137"/>
        <v>6500</v>
      </c>
      <c r="F884" s="188">
        <f t="shared" si="137"/>
        <v>3100</v>
      </c>
      <c r="G884" s="188">
        <f t="shared" si="137"/>
        <v>1550</v>
      </c>
      <c r="H884" s="188">
        <f t="shared" si="137"/>
        <v>0</v>
      </c>
      <c r="I884" s="188">
        <f t="shared" si="137"/>
        <v>100000</v>
      </c>
      <c r="J884" s="188">
        <f t="shared" si="137"/>
        <v>100000</v>
      </c>
      <c r="K884" s="188">
        <f>SUM(K882:K883)</f>
        <v>100000</v>
      </c>
    </row>
    <row r="885" spans="1:12" s="152" customFormat="1" ht="15" hidden="1">
      <c r="A885" s="194"/>
      <c r="B885" s="195"/>
      <c r="C885" s="163">
        <f>'Budget Detail FY 2013-18'!N1110</f>
        <v>9506</v>
      </c>
      <c r="D885" s="163">
        <f>'Budget Detail FY 2013-18'!O1110</f>
        <v>6906</v>
      </c>
      <c r="E885" s="163">
        <f>'Budget Detail FY 2013-18'!P1110</f>
        <v>6500</v>
      </c>
      <c r="F885" s="163">
        <f>'Budget Detail FY 2013-18'!Q1110</f>
        <v>3100</v>
      </c>
      <c r="G885" s="163">
        <f>'Budget Detail FY 2013-18'!R1110</f>
        <v>1550</v>
      </c>
      <c r="H885" s="163">
        <f>'Budget Detail FY 2013-18'!S1110</f>
        <v>0</v>
      </c>
      <c r="I885" s="163">
        <f>'Budget Detail FY 2013-18'!T1110</f>
        <v>100000</v>
      </c>
      <c r="J885" s="163">
        <f>'Budget Detail FY 2013-18'!U1110</f>
        <v>100000</v>
      </c>
      <c r="K885" s="163">
        <f>'Budget Detail FY 2013-18'!V1110</f>
        <v>100000</v>
      </c>
      <c r="L885" s="166" t="s">
        <v>1462</v>
      </c>
    </row>
    <row r="886" spans="1:12" s="158" customFormat="1" ht="15" hidden="1">
      <c r="A886" s="196"/>
      <c r="B886" s="197"/>
      <c r="C886" s="203">
        <f>C884-C885</f>
        <v>0</v>
      </c>
      <c r="D886" s="203">
        <f t="shared" ref="D886:K886" si="138">D884-D885</f>
        <v>0</v>
      </c>
      <c r="E886" s="203">
        <f t="shared" si="138"/>
        <v>0</v>
      </c>
      <c r="F886" s="203">
        <f t="shared" si="138"/>
        <v>0</v>
      </c>
      <c r="G886" s="203">
        <f t="shared" si="138"/>
        <v>0</v>
      </c>
      <c r="H886" s="203">
        <f t="shared" si="138"/>
        <v>0</v>
      </c>
      <c r="I886" s="203">
        <f t="shared" si="138"/>
        <v>0</v>
      </c>
      <c r="J886" s="203">
        <f t="shared" si="138"/>
        <v>0</v>
      </c>
      <c r="K886" s="203">
        <f t="shared" si="138"/>
        <v>0</v>
      </c>
      <c r="L886" s="167" t="s">
        <v>1463</v>
      </c>
    </row>
    <row r="887" spans="1:12" ht="15">
      <c r="A887" s="190"/>
      <c r="B887" s="1"/>
      <c r="C887" s="2"/>
      <c r="D887" s="2"/>
      <c r="E887" s="2"/>
      <c r="F887" s="2"/>
      <c r="G887" s="2"/>
      <c r="H887" s="2"/>
      <c r="I887" s="2"/>
      <c r="J887" s="2"/>
      <c r="K887" s="2"/>
    </row>
    <row r="888" spans="1:12" ht="15">
      <c r="A888" s="190"/>
      <c r="B888" s="198" t="s">
        <v>761</v>
      </c>
      <c r="C888" s="2"/>
      <c r="D888" s="2"/>
      <c r="E888" s="2"/>
      <c r="F888" s="2"/>
      <c r="G888" s="2"/>
      <c r="H888" s="2"/>
      <c r="I888" s="2"/>
      <c r="J888" s="2"/>
      <c r="K888" s="2"/>
    </row>
    <row r="889" spans="1:12" ht="20.100000000000001" customHeight="1">
      <c r="A889" s="190"/>
      <c r="B889" s="199" t="s">
        <v>1059</v>
      </c>
      <c r="C889" s="2">
        <f>SUM('Budget Detail FY 2013-18'!N1112:N1114)</f>
        <v>1623</v>
      </c>
      <c r="D889" s="2">
        <f>SUM('Budget Detail FY 2013-18'!O1112:O1114)</f>
        <v>1442</v>
      </c>
      <c r="E889" s="2">
        <f>SUM('Budget Detail FY 2013-18'!P1112:P1114)</f>
        <v>1375</v>
      </c>
      <c r="F889" s="2">
        <f>SUM('Budget Detail FY 2013-18'!Q1112:Q1114)</f>
        <v>2375</v>
      </c>
      <c r="G889" s="2">
        <f>SUM('Budget Detail FY 2013-18'!R1112:R1114)</f>
        <v>1802375</v>
      </c>
      <c r="H889" s="2">
        <f>SUM('Budget Detail FY 2013-18'!S1112:S1114)</f>
        <v>2375</v>
      </c>
      <c r="I889" s="2">
        <f>SUM('Budget Detail FY 2013-18'!T1112:T1114)</f>
        <v>2375</v>
      </c>
      <c r="J889" s="2">
        <f>SUM('Budget Detail FY 2013-18'!U1112:U1114)</f>
        <v>2375</v>
      </c>
      <c r="K889" s="2">
        <f>SUM('Budget Detail FY 2013-18'!V1112:V1114)</f>
        <v>2375</v>
      </c>
    </row>
    <row r="890" spans="1:12" ht="20.100000000000001" customHeight="1">
      <c r="A890" s="190"/>
      <c r="B890" s="199" t="s">
        <v>967</v>
      </c>
      <c r="C890" s="2">
        <f>SUM('Budget Detail FY 2013-18'!N1116:N1120)</f>
        <v>307093</v>
      </c>
      <c r="D890" s="2">
        <f>SUM('Budget Detail FY 2013-18'!O1116:O1120)</f>
        <v>306143</v>
      </c>
      <c r="E890" s="2">
        <f>SUM('Budget Detail FY 2013-18'!P1116:P1120)</f>
        <v>304668</v>
      </c>
      <c r="F890" s="2">
        <f>SUM('Budget Detail FY 2013-18'!Q1116:Q1120)</f>
        <v>304668</v>
      </c>
      <c r="G890" s="2">
        <f>SUM('Budget Detail FY 2013-18'!R1116:R1120)</f>
        <v>302738</v>
      </c>
      <c r="H890" s="2">
        <f>SUM('Budget Detail FY 2013-18'!S1116:S1120)</f>
        <v>305523</v>
      </c>
      <c r="I890" s="2">
        <f>SUM('Budget Detail FY 2013-18'!T1116:T1120)</f>
        <v>302723</v>
      </c>
      <c r="J890" s="2">
        <f>SUM('Budget Detail FY 2013-18'!U1116:U1120)</f>
        <v>304723</v>
      </c>
      <c r="K890" s="2">
        <f>SUM('Budget Detail FY 2013-18'!V1116:V1120)</f>
        <v>306323</v>
      </c>
    </row>
    <row r="891" spans="1:12" ht="20.100000000000001" customHeight="1" thickBot="1">
      <c r="A891" s="190"/>
      <c r="B891" s="193" t="s">
        <v>1064</v>
      </c>
      <c r="C891" s="188">
        <f>SUM(C889:C890)</f>
        <v>308716</v>
      </c>
      <c r="D891" s="188">
        <f t="shared" ref="D891:J891" si="139">SUM(D889:D890)</f>
        <v>307585</v>
      </c>
      <c r="E891" s="188">
        <f t="shared" si="139"/>
        <v>306043</v>
      </c>
      <c r="F891" s="188">
        <f t="shared" si="139"/>
        <v>307043</v>
      </c>
      <c r="G891" s="188">
        <f t="shared" si="139"/>
        <v>2105113</v>
      </c>
      <c r="H891" s="188">
        <f t="shared" si="139"/>
        <v>307898</v>
      </c>
      <c r="I891" s="188">
        <f t="shared" si="139"/>
        <v>305098</v>
      </c>
      <c r="J891" s="188">
        <f t="shared" si="139"/>
        <v>307098</v>
      </c>
      <c r="K891" s="188">
        <f>SUM(K889:K890)</f>
        <v>308698</v>
      </c>
    </row>
    <row r="892" spans="1:12" s="152" customFormat="1" ht="15" hidden="1">
      <c r="A892" s="194"/>
      <c r="B892" s="195"/>
      <c r="C892" s="163">
        <f>'Budget Detail FY 2013-18'!N1122</f>
        <v>308716</v>
      </c>
      <c r="D892" s="163">
        <f>'Budget Detail FY 2013-18'!O1122</f>
        <v>307585</v>
      </c>
      <c r="E892" s="163">
        <f>'Budget Detail FY 2013-18'!P1122</f>
        <v>306043</v>
      </c>
      <c r="F892" s="163">
        <f>'Budget Detail FY 2013-18'!Q1122</f>
        <v>307043</v>
      </c>
      <c r="G892" s="163">
        <f>'Budget Detail FY 2013-18'!R1122</f>
        <v>2105113</v>
      </c>
      <c r="H892" s="163">
        <f>'Budget Detail FY 2013-18'!S1122</f>
        <v>307898</v>
      </c>
      <c r="I892" s="163">
        <f>'Budget Detail FY 2013-18'!T1122</f>
        <v>305098</v>
      </c>
      <c r="J892" s="163">
        <f>'Budget Detail FY 2013-18'!U1122</f>
        <v>307098</v>
      </c>
      <c r="K892" s="163">
        <f>'Budget Detail FY 2013-18'!V1122</f>
        <v>308698</v>
      </c>
      <c r="L892" s="166" t="s">
        <v>1462</v>
      </c>
    </row>
    <row r="893" spans="1:12" s="158" customFormat="1" ht="15" hidden="1">
      <c r="A893" s="196"/>
      <c r="B893" s="197"/>
      <c r="C893" s="203">
        <f>C891-C892</f>
        <v>0</v>
      </c>
      <c r="D893" s="203">
        <f t="shared" ref="D893:K893" si="140">D891-D892</f>
        <v>0</v>
      </c>
      <c r="E893" s="203">
        <f t="shared" si="140"/>
        <v>0</v>
      </c>
      <c r="F893" s="203">
        <f t="shared" si="140"/>
        <v>0</v>
      </c>
      <c r="G893" s="203">
        <f t="shared" si="140"/>
        <v>0</v>
      </c>
      <c r="H893" s="203">
        <f t="shared" si="140"/>
        <v>0</v>
      </c>
      <c r="I893" s="203">
        <f t="shared" si="140"/>
        <v>0</v>
      </c>
      <c r="J893" s="203">
        <f t="shared" si="140"/>
        <v>0</v>
      </c>
      <c r="K893" s="203">
        <f t="shared" si="140"/>
        <v>0</v>
      </c>
      <c r="L893" s="167" t="s">
        <v>1463</v>
      </c>
    </row>
    <row r="894" spans="1:12" ht="15">
      <c r="A894" s="190"/>
      <c r="B894" s="200"/>
      <c r="C894" s="3"/>
      <c r="D894" s="2"/>
      <c r="E894" s="2"/>
      <c r="F894" s="2"/>
      <c r="G894" s="2"/>
      <c r="H894" s="2"/>
      <c r="I894" s="2"/>
      <c r="J894" s="2"/>
      <c r="K894" s="2"/>
    </row>
    <row r="895" spans="1:12" ht="20.100000000000001" customHeight="1">
      <c r="A895" s="190"/>
      <c r="B895" s="189" t="s">
        <v>1065</v>
      </c>
      <c r="C895" s="3">
        <f>+C884-C891</f>
        <v>-299210</v>
      </c>
      <c r="D895" s="3">
        <f t="shared" ref="D895:J895" si="141">+D884-D891</f>
        <v>-300679</v>
      </c>
      <c r="E895" s="3">
        <f t="shared" si="141"/>
        <v>-299543</v>
      </c>
      <c r="F895" s="3">
        <f t="shared" si="141"/>
        <v>-303943</v>
      </c>
      <c r="G895" s="3">
        <f t="shared" si="141"/>
        <v>-2103563</v>
      </c>
      <c r="H895" s="3">
        <f t="shared" si="141"/>
        <v>-307898</v>
      </c>
      <c r="I895" s="3">
        <f t="shared" si="141"/>
        <v>-205098</v>
      </c>
      <c r="J895" s="3">
        <f t="shared" si="141"/>
        <v>-207098</v>
      </c>
      <c r="K895" s="3">
        <f>+K884-K891</f>
        <v>-208698</v>
      </c>
    </row>
    <row r="896" spans="1:12" s="152" customFormat="1" ht="15" hidden="1">
      <c r="A896" s="194"/>
      <c r="B896" s="201"/>
      <c r="C896" s="163">
        <f>'Budget Detail FY 2013-18'!N1124</f>
        <v>-299210</v>
      </c>
      <c r="D896" s="163">
        <f>'Budget Detail FY 2013-18'!O1124</f>
        <v>-300679</v>
      </c>
      <c r="E896" s="163">
        <f>'Budget Detail FY 2013-18'!P1124</f>
        <v>-299543</v>
      </c>
      <c r="F896" s="163">
        <f>'Budget Detail FY 2013-18'!Q1124</f>
        <v>-303943</v>
      </c>
      <c r="G896" s="163">
        <f>'Budget Detail FY 2013-18'!R1124</f>
        <v>-2103563</v>
      </c>
      <c r="H896" s="163">
        <f>'Budget Detail FY 2013-18'!S1124</f>
        <v>-307898</v>
      </c>
      <c r="I896" s="163">
        <f>'Budget Detail FY 2013-18'!T1124</f>
        <v>-205098</v>
      </c>
      <c r="J896" s="163">
        <f>'Budget Detail FY 2013-18'!U1124</f>
        <v>-207098</v>
      </c>
      <c r="K896" s="163">
        <f>'Budget Detail FY 2013-18'!V1124</f>
        <v>-208698</v>
      </c>
      <c r="L896" s="166" t="s">
        <v>1462</v>
      </c>
    </row>
    <row r="897" spans="1:12" s="158" customFormat="1" ht="15" hidden="1">
      <c r="A897" s="196"/>
      <c r="B897" s="202"/>
      <c r="C897" s="203">
        <f>C895-C896</f>
        <v>0</v>
      </c>
      <c r="D897" s="203">
        <f t="shared" ref="D897:K897" si="142">D895-D896</f>
        <v>0</v>
      </c>
      <c r="E897" s="203">
        <f t="shared" si="142"/>
        <v>0</v>
      </c>
      <c r="F897" s="203">
        <f t="shared" si="142"/>
        <v>0</v>
      </c>
      <c r="G897" s="203">
        <f t="shared" si="142"/>
        <v>0</v>
      </c>
      <c r="H897" s="203">
        <f t="shared" si="142"/>
        <v>0</v>
      </c>
      <c r="I897" s="203">
        <f t="shared" si="142"/>
        <v>0</v>
      </c>
      <c r="J897" s="203">
        <f t="shared" si="142"/>
        <v>0</v>
      </c>
      <c r="K897" s="203">
        <f t="shared" si="142"/>
        <v>0</v>
      </c>
      <c r="L897" s="167" t="s">
        <v>1463</v>
      </c>
    </row>
    <row r="898" spans="1:12" ht="15">
      <c r="A898" s="190"/>
      <c r="B898" s="204"/>
      <c r="C898" s="3"/>
      <c r="D898" s="2"/>
      <c r="E898" s="2"/>
      <c r="F898" s="2"/>
      <c r="G898" s="2"/>
      <c r="H898" s="2"/>
      <c r="I898" s="2"/>
      <c r="J898" s="2"/>
      <c r="K898" s="2"/>
    </row>
    <row r="899" spans="1:12" ht="20.100000000000001" customHeight="1" thickBot="1">
      <c r="A899" s="190"/>
      <c r="B899" s="191" t="s">
        <v>1066</v>
      </c>
      <c r="C899" s="99">
        <v>2178550</v>
      </c>
      <c r="D899" s="99">
        <v>1877872</v>
      </c>
      <c r="E899" s="99">
        <v>1578277</v>
      </c>
      <c r="F899" s="99">
        <f>D899+F895</f>
        <v>1573929</v>
      </c>
      <c r="G899" s="99">
        <f>F899+G895</f>
        <v>-529634</v>
      </c>
      <c r="H899" s="99">
        <f>G899+H895</f>
        <v>-837532</v>
      </c>
      <c r="I899" s="99">
        <f>H899+I895</f>
        <v>-1042630</v>
      </c>
      <c r="J899" s="99">
        <f>I899+J895</f>
        <v>-1249728</v>
      </c>
      <c r="K899" s="99">
        <f>J899+K895</f>
        <v>-1458426</v>
      </c>
    </row>
    <row r="900" spans="1:12" s="152" customFormat="1" ht="15.75" hidden="1" thickTop="1">
      <c r="A900" s="194"/>
      <c r="B900" s="195"/>
      <c r="C900" s="163">
        <f>'Budget Detail FY 2013-18'!N1126</f>
        <v>2178550</v>
      </c>
      <c r="D900" s="163">
        <f>'Budget Detail FY 2013-18'!O1126</f>
        <v>1877872</v>
      </c>
      <c r="E900" s="163">
        <f>'Budget Detail FY 2013-18'!P1126</f>
        <v>1578277</v>
      </c>
      <c r="F900" s="163">
        <f>'Budget Detail FY 2013-18'!Q1126</f>
        <v>1573929</v>
      </c>
      <c r="G900" s="163">
        <f>'Budget Detail FY 2013-18'!R1126</f>
        <v>-529634</v>
      </c>
      <c r="H900" s="163">
        <f>'Budget Detail FY 2013-18'!S1126</f>
        <v>-837532</v>
      </c>
      <c r="I900" s="163">
        <f>'Budget Detail FY 2013-18'!T1126</f>
        <v>-1042630</v>
      </c>
      <c r="J900" s="163">
        <f>'Budget Detail FY 2013-18'!U1126</f>
        <v>-1249728</v>
      </c>
      <c r="K900" s="163">
        <f>'Budget Detail FY 2013-18'!V1126</f>
        <v>-1458426</v>
      </c>
      <c r="L900" s="166" t="s">
        <v>1462</v>
      </c>
    </row>
    <row r="901" spans="1:12" s="158" customFormat="1" ht="15" hidden="1">
      <c r="A901" s="196"/>
      <c r="B901" s="197"/>
      <c r="C901" s="203">
        <f>C899-C900</f>
        <v>0</v>
      </c>
      <c r="D901" s="203">
        <f t="shared" ref="D901:K901" si="143">D899-D900</f>
        <v>0</v>
      </c>
      <c r="E901" s="203">
        <f t="shared" si="143"/>
        <v>0</v>
      </c>
      <c r="F901" s="203">
        <f t="shared" si="143"/>
        <v>0</v>
      </c>
      <c r="G901" s="203">
        <f t="shared" si="143"/>
        <v>0</v>
      </c>
      <c r="H901" s="203">
        <f t="shared" si="143"/>
        <v>0</v>
      </c>
      <c r="I901" s="203">
        <f t="shared" si="143"/>
        <v>0</v>
      </c>
      <c r="J901" s="203">
        <f t="shared" si="143"/>
        <v>0</v>
      </c>
      <c r="K901" s="203">
        <f t="shared" si="143"/>
        <v>0</v>
      </c>
      <c r="L901" s="167" t="s">
        <v>1463</v>
      </c>
    </row>
    <row r="902" spans="1:12" ht="15.75" thickTop="1">
      <c r="A902" s="190"/>
      <c r="B902" s="205"/>
      <c r="C902" s="3"/>
      <c r="D902" s="3"/>
      <c r="E902" s="3"/>
      <c r="F902" s="2"/>
      <c r="G902" s="2"/>
      <c r="H902" s="2"/>
      <c r="I902" s="2"/>
      <c r="J902" s="2"/>
      <c r="K902" s="2"/>
    </row>
    <row r="903" spans="1:12" ht="15">
      <c r="A903" s="190"/>
      <c r="B903" s="205"/>
      <c r="C903" s="3"/>
      <c r="D903" s="3"/>
      <c r="E903" s="3"/>
      <c r="F903" s="2"/>
      <c r="G903" s="2"/>
      <c r="H903" s="2"/>
      <c r="I903" s="2"/>
      <c r="J903" s="2"/>
      <c r="K903" s="2"/>
    </row>
    <row r="904" spans="1:12" ht="15">
      <c r="A904" s="190"/>
      <c r="B904" s="205"/>
      <c r="C904" s="2"/>
      <c r="D904" s="2"/>
      <c r="E904" s="2"/>
      <c r="F904" s="2"/>
      <c r="G904" s="2"/>
      <c r="H904" s="2"/>
      <c r="I904" s="2"/>
      <c r="J904" s="2"/>
      <c r="K904" s="2"/>
    </row>
    <row r="905" spans="1:12" ht="15">
      <c r="A905" s="190"/>
      <c r="B905" s="1"/>
      <c r="C905" s="2"/>
      <c r="D905" s="2"/>
      <c r="E905" s="2"/>
      <c r="F905" s="2"/>
      <c r="G905" s="2"/>
      <c r="H905" s="2"/>
      <c r="I905" s="2"/>
      <c r="J905" s="2"/>
      <c r="K905" s="2"/>
    </row>
    <row r="906" spans="1:12" ht="15">
      <c r="A906" s="190"/>
      <c r="B906" s="1"/>
      <c r="C906" s="2"/>
      <c r="D906" s="2"/>
      <c r="E906" s="2"/>
      <c r="F906" s="2"/>
      <c r="G906" s="2"/>
      <c r="H906" s="2"/>
      <c r="I906" s="2"/>
      <c r="J906" s="2"/>
      <c r="K906" s="2"/>
    </row>
    <row r="907" spans="1:12" ht="15">
      <c r="A907" s="190"/>
      <c r="B907" s="1"/>
      <c r="C907" s="2"/>
      <c r="D907" s="2"/>
      <c r="E907" s="2"/>
      <c r="F907" s="2"/>
      <c r="G907" s="2"/>
      <c r="H907" s="2"/>
      <c r="I907" s="2"/>
      <c r="J907" s="2"/>
      <c r="K907" s="2"/>
    </row>
    <row r="908" spans="1:12" ht="15">
      <c r="A908" s="190"/>
      <c r="B908" s="1"/>
      <c r="C908" s="2"/>
      <c r="D908" s="2"/>
      <c r="E908" s="2"/>
      <c r="F908" s="2"/>
      <c r="G908" s="2"/>
      <c r="H908" s="2"/>
      <c r="I908" s="2"/>
      <c r="J908" s="2"/>
      <c r="K908" s="2"/>
    </row>
    <row r="909" spans="1:12" ht="15">
      <c r="A909" s="190"/>
      <c r="B909" s="1"/>
      <c r="C909" s="2"/>
      <c r="D909" s="2"/>
      <c r="E909" s="2"/>
      <c r="F909" s="2"/>
      <c r="G909" s="2"/>
      <c r="H909" s="2"/>
      <c r="I909" s="2"/>
      <c r="J909" s="2"/>
      <c r="K909" s="2"/>
    </row>
    <row r="910" spans="1:12" ht="15">
      <c r="A910" s="190"/>
      <c r="B910" s="1"/>
      <c r="C910" s="2"/>
      <c r="D910" s="2"/>
      <c r="E910" s="2"/>
      <c r="F910" s="2"/>
      <c r="G910" s="2"/>
      <c r="H910" s="2"/>
      <c r="I910" s="2"/>
      <c r="J910" s="2"/>
      <c r="K910" s="2"/>
    </row>
    <row r="911" spans="1:12" ht="15">
      <c r="A911" s="190"/>
      <c r="B911" s="1"/>
      <c r="C911" s="2"/>
      <c r="D911" s="2"/>
      <c r="E911" s="2"/>
      <c r="F911" s="2"/>
      <c r="G911" s="2"/>
      <c r="H911" s="2"/>
      <c r="I911" s="2"/>
      <c r="J911" s="2"/>
      <c r="K911" s="2"/>
    </row>
    <row r="912" spans="1:12" ht="15">
      <c r="A912" s="190"/>
      <c r="B912" s="1"/>
      <c r="C912" s="2"/>
      <c r="D912" s="2"/>
      <c r="E912" s="2"/>
      <c r="F912" s="2"/>
      <c r="G912" s="2"/>
      <c r="H912" s="2"/>
      <c r="I912" s="2"/>
      <c r="J912" s="2"/>
      <c r="K912" s="2"/>
    </row>
    <row r="913" spans="1:12" ht="15">
      <c r="A913" s="190"/>
      <c r="B913" s="1"/>
      <c r="C913" s="2"/>
      <c r="D913" s="2"/>
      <c r="E913" s="2"/>
      <c r="F913" s="2"/>
      <c r="G913" s="2"/>
      <c r="H913" s="2"/>
      <c r="I913" s="2"/>
      <c r="J913" s="2"/>
      <c r="K913" s="2"/>
    </row>
    <row r="914" spans="1:12" ht="15">
      <c r="A914" s="190"/>
      <c r="B914" s="1"/>
      <c r="C914" s="2"/>
      <c r="D914" s="2"/>
      <c r="E914" s="2"/>
      <c r="F914" s="2"/>
      <c r="G914" s="2"/>
      <c r="H914" s="2"/>
      <c r="I914" s="2"/>
      <c r="J914" s="2"/>
      <c r="K914" s="2"/>
    </row>
    <row r="915" spans="1:12" ht="15">
      <c r="A915" s="190"/>
      <c r="B915" s="1"/>
      <c r="C915" s="2"/>
      <c r="D915" s="2"/>
      <c r="E915" s="2"/>
      <c r="F915" s="2"/>
      <c r="G915" s="2"/>
      <c r="H915" s="2"/>
      <c r="I915" s="2"/>
      <c r="J915" s="2"/>
      <c r="K915" s="2"/>
    </row>
    <row r="916" spans="1:12" ht="18.75">
      <c r="A916" s="190"/>
      <c r="B916" s="523" t="s">
        <v>1096</v>
      </c>
      <c r="C916" s="523"/>
      <c r="D916" s="523"/>
      <c r="E916" s="523"/>
      <c r="F916" s="523"/>
      <c r="G916" s="523"/>
      <c r="H916" s="523"/>
      <c r="I916" s="523"/>
      <c r="J916" s="523"/>
      <c r="K916" s="523"/>
    </row>
    <row r="917" spans="1:12" ht="15">
      <c r="A917" s="190"/>
      <c r="B917" s="80"/>
      <c r="C917" s="3"/>
      <c r="D917" s="2"/>
      <c r="E917" s="2"/>
      <c r="F917" s="2"/>
      <c r="G917" s="2"/>
      <c r="H917" s="2"/>
      <c r="I917" s="2"/>
      <c r="J917" s="2"/>
      <c r="K917" s="2"/>
    </row>
    <row r="918" spans="1:12" ht="15" customHeight="1">
      <c r="A918" s="190"/>
      <c r="B918" s="529" t="s">
        <v>1097</v>
      </c>
      <c r="C918" s="529"/>
      <c r="D918" s="529"/>
      <c r="E918" s="529"/>
      <c r="F918" s="529"/>
      <c r="G918" s="529"/>
      <c r="H918" s="529"/>
      <c r="I918" s="529"/>
      <c r="J918" s="529"/>
      <c r="K918" s="529"/>
    </row>
    <row r="919" spans="1:12" ht="15">
      <c r="A919" s="190"/>
      <c r="B919" s="187"/>
      <c r="C919" s="31"/>
      <c r="D919" s="31"/>
      <c r="E919" s="31"/>
      <c r="F919" s="31"/>
      <c r="G919" s="31"/>
      <c r="H919" s="31"/>
      <c r="I919" s="2"/>
      <c r="J919" s="2"/>
      <c r="K919" s="2"/>
    </row>
    <row r="920" spans="1:12" ht="15">
      <c r="A920" s="190"/>
      <c r="B920" s="5"/>
      <c r="C920" s="80"/>
      <c r="D920" s="81"/>
      <c r="E920" s="80" t="s">
        <v>312</v>
      </c>
      <c r="F920" s="1"/>
      <c r="G920" s="1"/>
      <c r="H920" s="1"/>
      <c r="I920" s="1"/>
      <c r="J920" s="1"/>
      <c r="K920" s="1"/>
    </row>
    <row r="921" spans="1:12" ht="15">
      <c r="A921" s="190"/>
      <c r="B921" s="81"/>
      <c r="C921" s="80" t="s">
        <v>23</v>
      </c>
      <c r="D921" s="104" t="s">
        <v>253</v>
      </c>
      <c r="E921" s="81" t="s">
        <v>1045</v>
      </c>
      <c r="F921" s="81" t="s">
        <v>312</v>
      </c>
      <c r="G921" s="81" t="s">
        <v>313</v>
      </c>
      <c r="H921" s="81" t="s">
        <v>329</v>
      </c>
      <c r="I921" s="81" t="s">
        <v>332</v>
      </c>
      <c r="J921" s="81" t="s">
        <v>333</v>
      </c>
      <c r="K921" s="81" t="s">
        <v>1224</v>
      </c>
    </row>
    <row r="922" spans="1:12" ht="15.75" thickBot="1">
      <c r="A922" s="190"/>
      <c r="B922" s="209"/>
      <c r="C922" s="83" t="s">
        <v>1</v>
      </c>
      <c r="D922" s="83" t="s">
        <v>1</v>
      </c>
      <c r="E922" s="83" t="s">
        <v>987</v>
      </c>
      <c r="F922" s="83" t="s">
        <v>24</v>
      </c>
      <c r="G922" s="83" t="s">
        <v>1045</v>
      </c>
      <c r="H922" s="83" t="s">
        <v>24</v>
      </c>
      <c r="I922" s="83" t="s">
        <v>24</v>
      </c>
      <c r="J922" s="83" t="s">
        <v>24</v>
      </c>
      <c r="K922" s="83" t="s">
        <v>24</v>
      </c>
    </row>
    <row r="923" spans="1:12" ht="15">
      <c r="A923" s="190"/>
      <c r="B923" s="79"/>
      <c r="C923" s="210"/>
      <c r="D923" s="2"/>
      <c r="E923" s="2"/>
      <c r="F923" s="2"/>
      <c r="G923" s="2"/>
      <c r="H923" s="2"/>
      <c r="I923" s="2"/>
      <c r="J923" s="2"/>
      <c r="K923" s="2"/>
    </row>
    <row r="924" spans="1:12" ht="15">
      <c r="A924" s="190"/>
      <c r="B924" s="198" t="s">
        <v>1046</v>
      </c>
      <c r="C924" s="2"/>
      <c r="D924" s="2"/>
      <c r="E924" s="2"/>
      <c r="F924" s="2"/>
      <c r="G924" s="2"/>
      <c r="H924" s="2"/>
      <c r="I924" s="2"/>
      <c r="J924" s="2"/>
      <c r="K924" s="2"/>
    </row>
    <row r="925" spans="1:12" ht="20.100000000000001" customHeight="1">
      <c r="A925" s="190"/>
      <c r="B925" s="192" t="s">
        <v>1047</v>
      </c>
      <c r="C925" s="2">
        <f>'Budget Detail FY 2013-18'!N1130</f>
        <v>75362</v>
      </c>
      <c r="D925" s="2">
        <f>'Budget Detail FY 2013-18'!O1130</f>
        <v>67807</v>
      </c>
      <c r="E925" s="2">
        <f>'Budget Detail FY 2013-18'!P1130</f>
        <v>70000</v>
      </c>
      <c r="F925" s="2">
        <f>'Budget Detail FY 2013-18'!Q1130</f>
        <v>39980</v>
      </c>
      <c r="G925" s="2">
        <f>'Budget Detail FY 2013-18'!R1130</f>
        <v>35000</v>
      </c>
      <c r="H925" s="2">
        <f>'Budget Detail FY 2013-18'!S1130</f>
        <v>35000</v>
      </c>
      <c r="I925" s="2">
        <f>'Budget Detail FY 2013-18'!T1130</f>
        <v>35000</v>
      </c>
      <c r="J925" s="2">
        <f>'Budget Detail FY 2013-18'!U1130</f>
        <v>35000</v>
      </c>
      <c r="K925" s="2">
        <f>'Budget Detail FY 2013-18'!V1130</f>
        <v>35000</v>
      </c>
    </row>
    <row r="926" spans="1:12" ht="20.100000000000001" customHeight="1">
      <c r="A926" s="190"/>
      <c r="B926" s="5" t="s">
        <v>1052</v>
      </c>
      <c r="C926" s="2">
        <f>'Budget Detail FY 2013-18'!N1131</f>
        <v>0</v>
      </c>
      <c r="D926" s="2">
        <f>'Budget Detail FY 2013-18'!O1131</f>
        <v>126</v>
      </c>
      <c r="E926" s="2">
        <f>'Budget Detail FY 2013-18'!P1131</f>
        <v>150</v>
      </c>
      <c r="F926" s="2">
        <f>'Budget Detail FY 2013-18'!Q1131</f>
        <v>350</v>
      </c>
      <c r="G926" s="2">
        <f>'Budget Detail FY 2013-18'!R1131</f>
        <v>350</v>
      </c>
      <c r="H926" s="2">
        <f>'Budget Detail FY 2013-18'!S1131</f>
        <v>350</v>
      </c>
      <c r="I926" s="2">
        <f>'Budget Detail FY 2013-18'!T1131</f>
        <v>350</v>
      </c>
      <c r="J926" s="2">
        <f>'Budget Detail FY 2013-18'!U1131</f>
        <v>350</v>
      </c>
      <c r="K926" s="2">
        <f>'Budget Detail FY 2013-18'!V1131</f>
        <v>350</v>
      </c>
    </row>
    <row r="927" spans="1:12" ht="20.100000000000001" customHeight="1" thickBot="1">
      <c r="A927" s="190"/>
      <c r="B927" s="193" t="s">
        <v>1056</v>
      </c>
      <c r="C927" s="188">
        <f>SUM(C925:C926)</f>
        <v>75362</v>
      </c>
      <c r="D927" s="188">
        <f t="shared" ref="D927:J927" si="144">SUM(D925:D926)</f>
        <v>67933</v>
      </c>
      <c r="E927" s="188">
        <f t="shared" si="144"/>
        <v>70150</v>
      </c>
      <c r="F927" s="188">
        <f t="shared" si="144"/>
        <v>40330</v>
      </c>
      <c r="G927" s="188">
        <f t="shared" si="144"/>
        <v>35350</v>
      </c>
      <c r="H927" s="188">
        <f t="shared" si="144"/>
        <v>35350</v>
      </c>
      <c r="I927" s="188">
        <f t="shared" si="144"/>
        <v>35350</v>
      </c>
      <c r="J927" s="188">
        <f t="shared" si="144"/>
        <v>35350</v>
      </c>
      <c r="K927" s="188">
        <f>SUM(K925:K926)</f>
        <v>35350</v>
      </c>
    </row>
    <row r="928" spans="1:12" s="152" customFormat="1" ht="15" hidden="1">
      <c r="A928" s="194"/>
      <c r="B928" s="195"/>
      <c r="C928" s="163">
        <f>'Budget Detail FY 2013-18'!N1133</f>
        <v>75362</v>
      </c>
      <c r="D928" s="163">
        <f>'Budget Detail FY 2013-18'!O1133</f>
        <v>67933</v>
      </c>
      <c r="E928" s="163">
        <f>'Budget Detail FY 2013-18'!P1133</f>
        <v>70150</v>
      </c>
      <c r="F928" s="163">
        <f>'Budget Detail FY 2013-18'!Q1133</f>
        <v>40330</v>
      </c>
      <c r="G928" s="163">
        <f>'Budget Detail FY 2013-18'!R1133</f>
        <v>35350</v>
      </c>
      <c r="H928" s="163">
        <f>'Budget Detail FY 2013-18'!S1133</f>
        <v>35350</v>
      </c>
      <c r="I928" s="163">
        <f>'Budget Detail FY 2013-18'!T1133</f>
        <v>35350</v>
      </c>
      <c r="J928" s="163">
        <f>'Budget Detail FY 2013-18'!U1133</f>
        <v>35350</v>
      </c>
      <c r="K928" s="163">
        <f>'Budget Detail FY 2013-18'!V1133</f>
        <v>35350</v>
      </c>
      <c r="L928" s="166" t="s">
        <v>1462</v>
      </c>
    </row>
    <row r="929" spans="1:12" s="158" customFormat="1" ht="15" hidden="1">
      <c r="A929" s="196"/>
      <c r="B929" s="197"/>
      <c r="C929" s="203">
        <f>C927-C928</f>
        <v>0</v>
      </c>
      <c r="D929" s="203">
        <f t="shared" ref="D929:K929" si="145">D927-D928</f>
        <v>0</v>
      </c>
      <c r="E929" s="203">
        <f t="shared" si="145"/>
        <v>0</v>
      </c>
      <c r="F929" s="203">
        <f t="shared" si="145"/>
        <v>0</v>
      </c>
      <c r="G929" s="203">
        <f t="shared" si="145"/>
        <v>0</v>
      </c>
      <c r="H929" s="203">
        <f t="shared" si="145"/>
        <v>0</v>
      </c>
      <c r="I929" s="203">
        <f t="shared" si="145"/>
        <v>0</v>
      </c>
      <c r="J929" s="203">
        <f t="shared" si="145"/>
        <v>0</v>
      </c>
      <c r="K929" s="203">
        <f t="shared" si="145"/>
        <v>0</v>
      </c>
      <c r="L929" s="167" t="s">
        <v>1463</v>
      </c>
    </row>
    <row r="930" spans="1:12" ht="15">
      <c r="A930" s="190"/>
      <c r="B930" s="1"/>
      <c r="C930" s="2"/>
      <c r="D930" s="2"/>
      <c r="E930" s="2"/>
      <c r="F930" s="2"/>
      <c r="G930" s="2"/>
      <c r="H930" s="2"/>
      <c r="I930" s="2"/>
      <c r="J930" s="2"/>
      <c r="K930" s="2"/>
    </row>
    <row r="931" spans="1:12" ht="15">
      <c r="A931" s="190"/>
      <c r="B931" s="198" t="s">
        <v>761</v>
      </c>
      <c r="C931" s="2"/>
      <c r="D931" s="2"/>
      <c r="E931" s="2"/>
      <c r="F931" s="2"/>
      <c r="G931" s="2"/>
      <c r="H931" s="2"/>
      <c r="I931" s="2"/>
      <c r="J931" s="2"/>
      <c r="K931" s="2"/>
    </row>
    <row r="932" spans="1:12" ht="20.100000000000001" customHeight="1">
      <c r="A932" s="190"/>
      <c r="B932" s="199" t="s">
        <v>1059</v>
      </c>
      <c r="C932" s="2">
        <f>SUM('Budget Detail FY 2013-18'!N1135:N1136)</f>
        <v>1896</v>
      </c>
      <c r="D932" s="2">
        <f>SUM('Budget Detail FY 2013-18'!O1135:O1136)</f>
        <v>12152</v>
      </c>
      <c r="E932" s="2">
        <f>SUM('Budget Detail FY 2013-18'!P1135:P1136)</f>
        <v>11500</v>
      </c>
      <c r="F932" s="2">
        <f>SUM('Budget Detail FY 2013-18'!Q1135:Q1136)</f>
        <v>15167</v>
      </c>
      <c r="G932" s="2">
        <f>SUM('Budget Detail FY 2013-18'!R1135:R1136)</f>
        <v>15350</v>
      </c>
      <c r="H932" s="2">
        <f>SUM('Budget Detail FY 2013-18'!S1135:S1136)</f>
        <v>15355</v>
      </c>
      <c r="I932" s="2">
        <f>SUM('Budget Detail FY 2013-18'!T1135:T1136)</f>
        <v>15360</v>
      </c>
      <c r="J932" s="2">
        <f>SUM('Budget Detail FY 2013-18'!U1135:U1136)</f>
        <v>15365</v>
      </c>
      <c r="K932" s="2">
        <f>SUM('Budget Detail FY 2013-18'!V1135:V1136)</f>
        <v>15375</v>
      </c>
    </row>
    <row r="933" spans="1:12" ht="20.100000000000001" customHeight="1">
      <c r="A933" s="190"/>
      <c r="B933" s="199" t="s">
        <v>1061</v>
      </c>
      <c r="C933" s="2">
        <f>SUM('Budget Detail FY 2013-18'!N1138:N1139)</f>
        <v>0</v>
      </c>
      <c r="D933" s="2">
        <f>SUM('Budget Detail FY 2013-18'!O1138:O1139)</f>
        <v>7589</v>
      </c>
      <c r="E933" s="2">
        <f>SUM('Budget Detail FY 2013-18'!P1138:P1139)</f>
        <v>30000</v>
      </c>
      <c r="F933" s="2">
        <f>SUM('Budget Detail FY 2013-18'!Q1138:Q1139)</f>
        <v>21667</v>
      </c>
      <c r="G933" s="2">
        <f>SUM('Budget Detail FY 2013-18'!R1138:R1139)</f>
        <v>30000</v>
      </c>
      <c r="H933" s="2">
        <f>SUM('Budget Detail FY 2013-18'!S1138:S1139)</f>
        <v>30000</v>
      </c>
      <c r="I933" s="2">
        <f>SUM('Budget Detail FY 2013-18'!T1138:T1139)</f>
        <v>30000</v>
      </c>
      <c r="J933" s="2">
        <f>SUM('Budget Detail FY 2013-18'!U1138:U1139)</f>
        <v>30000</v>
      </c>
      <c r="K933" s="2">
        <f>SUM('Budget Detail FY 2013-18'!V1138:V1139)</f>
        <v>30000</v>
      </c>
    </row>
    <row r="934" spans="1:12" ht="20.100000000000001" customHeight="1" thickBot="1">
      <c r="A934" s="190"/>
      <c r="B934" s="193" t="s">
        <v>1064</v>
      </c>
      <c r="C934" s="188">
        <f>SUM(C932:C933)</f>
        <v>1896</v>
      </c>
      <c r="D934" s="188">
        <f>SUM(D932:D933)</f>
        <v>19741</v>
      </c>
      <c r="E934" s="188">
        <f t="shared" ref="E934:J934" si="146">SUM(E932:E933)</f>
        <v>41500</v>
      </c>
      <c r="F934" s="188">
        <f t="shared" si="146"/>
        <v>36834</v>
      </c>
      <c r="G934" s="188">
        <f t="shared" si="146"/>
        <v>45350</v>
      </c>
      <c r="H934" s="188">
        <f t="shared" si="146"/>
        <v>45355</v>
      </c>
      <c r="I934" s="188">
        <f t="shared" si="146"/>
        <v>45360</v>
      </c>
      <c r="J934" s="188">
        <f t="shared" si="146"/>
        <v>45365</v>
      </c>
      <c r="K934" s="188">
        <f>SUM(K932:K933)</f>
        <v>45375</v>
      </c>
    </row>
    <row r="935" spans="1:12" s="152" customFormat="1" ht="15" hidden="1">
      <c r="A935" s="194"/>
      <c r="B935" s="195"/>
      <c r="C935" s="163">
        <f>'Budget Detail FY 2013-18'!N1141</f>
        <v>1896</v>
      </c>
      <c r="D935" s="163">
        <f>'Budget Detail FY 2013-18'!O1141</f>
        <v>19741</v>
      </c>
      <c r="E935" s="163">
        <f>'Budget Detail FY 2013-18'!P1141</f>
        <v>41500</v>
      </c>
      <c r="F935" s="163">
        <f>'Budget Detail FY 2013-18'!Q1141</f>
        <v>36834</v>
      </c>
      <c r="G935" s="163">
        <f>'Budget Detail FY 2013-18'!R1141</f>
        <v>45350</v>
      </c>
      <c r="H935" s="163">
        <f>'Budget Detail FY 2013-18'!S1141</f>
        <v>45355</v>
      </c>
      <c r="I935" s="163">
        <f>'Budget Detail FY 2013-18'!T1141</f>
        <v>45360</v>
      </c>
      <c r="J935" s="163">
        <f>'Budget Detail FY 2013-18'!U1141</f>
        <v>45365</v>
      </c>
      <c r="K935" s="163">
        <f>'Budget Detail FY 2013-18'!V1141</f>
        <v>45375</v>
      </c>
      <c r="L935" s="166" t="s">
        <v>1462</v>
      </c>
    </row>
    <row r="936" spans="1:12" s="158" customFormat="1" ht="15" hidden="1">
      <c r="A936" s="196"/>
      <c r="B936" s="197"/>
      <c r="C936" s="203">
        <f>C934-C935</f>
        <v>0</v>
      </c>
      <c r="D936" s="203">
        <f t="shared" ref="D936:K936" si="147">D934-D935</f>
        <v>0</v>
      </c>
      <c r="E936" s="203">
        <f t="shared" si="147"/>
        <v>0</v>
      </c>
      <c r="F936" s="203">
        <f t="shared" si="147"/>
        <v>0</v>
      </c>
      <c r="G936" s="203">
        <f t="shared" si="147"/>
        <v>0</v>
      </c>
      <c r="H936" s="203">
        <f t="shared" si="147"/>
        <v>0</v>
      </c>
      <c r="I936" s="203">
        <f t="shared" si="147"/>
        <v>0</v>
      </c>
      <c r="J936" s="203">
        <f t="shared" si="147"/>
        <v>0</v>
      </c>
      <c r="K936" s="203">
        <f t="shared" si="147"/>
        <v>0</v>
      </c>
      <c r="L936" s="167" t="s">
        <v>1463</v>
      </c>
    </row>
    <row r="937" spans="1:12" ht="15">
      <c r="A937" s="190"/>
      <c r="B937" s="200"/>
      <c r="C937" s="3"/>
      <c r="D937" s="2"/>
      <c r="E937" s="2"/>
      <c r="F937" s="2"/>
      <c r="G937" s="2"/>
      <c r="H937" s="2"/>
      <c r="I937" s="2"/>
      <c r="J937" s="2"/>
      <c r="K937" s="2"/>
    </row>
    <row r="938" spans="1:12" ht="20.100000000000001" customHeight="1">
      <c r="A938" s="190"/>
      <c r="B938" s="189" t="s">
        <v>1065</v>
      </c>
      <c r="C938" s="3">
        <f t="shared" ref="C938:J938" si="148">+C927-C934</f>
        <v>73466</v>
      </c>
      <c r="D938" s="3">
        <f>+D927-D934</f>
        <v>48192</v>
      </c>
      <c r="E938" s="3">
        <f t="shared" si="148"/>
        <v>28650</v>
      </c>
      <c r="F938" s="3">
        <f t="shared" si="148"/>
        <v>3496</v>
      </c>
      <c r="G938" s="3">
        <f t="shared" si="148"/>
        <v>-10000</v>
      </c>
      <c r="H938" s="3">
        <f t="shared" si="148"/>
        <v>-10005</v>
      </c>
      <c r="I938" s="3">
        <f t="shared" si="148"/>
        <v>-10010</v>
      </c>
      <c r="J938" s="3">
        <f t="shared" si="148"/>
        <v>-10015</v>
      </c>
      <c r="K938" s="3">
        <f>+K927-K934</f>
        <v>-10025</v>
      </c>
    </row>
    <row r="939" spans="1:12" s="152" customFormat="1" ht="15" hidden="1">
      <c r="A939" s="194"/>
      <c r="B939" s="201"/>
      <c r="C939" s="163">
        <f>'Budget Detail FY 2013-18'!N1143</f>
        <v>73466</v>
      </c>
      <c r="D939" s="163">
        <f>'Budget Detail FY 2013-18'!O1143</f>
        <v>48192</v>
      </c>
      <c r="E939" s="163">
        <f>'Budget Detail FY 2013-18'!P1143</f>
        <v>28650</v>
      </c>
      <c r="F939" s="163">
        <f>'Budget Detail FY 2013-18'!Q1143</f>
        <v>3496</v>
      </c>
      <c r="G939" s="163">
        <f>'Budget Detail FY 2013-18'!R1143</f>
        <v>-10000</v>
      </c>
      <c r="H939" s="163">
        <f>'Budget Detail FY 2013-18'!S1143</f>
        <v>-10005</v>
      </c>
      <c r="I939" s="163">
        <f>'Budget Detail FY 2013-18'!T1143</f>
        <v>-10010</v>
      </c>
      <c r="J939" s="163">
        <f>'Budget Detail FY 2013-18'!U1143</f>
        <v>-10015</v>
      </c>
      <c r="K939" s="163">
        <f>'Budget Detail FY 2013-18'!V1143</f>
        <v>-10025</v>
      </c>
      <c r="L939" s="166" t="s">
        <v>1462</v>
      </c>
    </row>
    <row r="940" spans="1:12" s="158" customFormat="1" ht="15" hidden="1">
      <c r="A940" s="196"/>
      <c r="B940" s="202"/>
      <c r="C940" s="203">
        <f>C938-C939</f>
        <v>0</v>
      </c>
      <c r="D940" s="203">
        <f t="shared" ref="D940:K940" si="149">D938-D939</f>
        <v>0</v>
      </c>
      <c r="E940" s="203">
        <f t="shared" si="149"/>
        <v>0</v>
      </c>
      <c r="F940" s="203">
        <f t="shared" si="149"/>
        <v>0</v>
      </c>
      <c r="G940" s="203">
        <f t="shared" si="149"/>
        <v>0</v>
      </c>
      <c r="H940" s="203">
        <f t="shared" si="149"/>
        <v>0</v>
      </c>
      <c r="I940" s="203">
        <f t="shared" si="149"/>
        <v>0</v>
      </c>
      <c r="J940" s="203">
        <f t="shared" si="149"/>
        <v>0</v>
      </c>
      <c r="K940" s="203">
        <f t="shared" si="149"/>
        <v>0</v>
      </c>
      <c r="L940" s="167" t="s">
        <v>1463</v>
      </c>
    </row>
    <row r="941" spans="1:12" ht="15">
      <c r="A941" s="190"/>
      <c r="B941" s="204"/>
      <c r="C941" s="3"/>
      <c r="D941" s="2"/>
      <c r="E941" s="2"/>
      <c r="F941" s="2"/>
      <c r="G941" s="2"/>
      <c r="H941" s="2"/>
      <c r="I941" s="2"/>
      <c r="J941" s="2"/>
      <c r="K941" s="2"/>
    </row>
    <row r="942" spans="1:12" ht="20.100000000000001" customHeight="1" thickBot="1">
      <c r="A942" s="190"/>
      <c r="B942" s="191" t="s">
        <v>1066</v>
      </c>
      <c r="C942" s="99">
        <v>209760</v>
      </c>
      <c r="D942" s="99">
        <v>257953</v>
      </c>
      <c r="E942" s="99">
        <v>264867</v>
      </c>
      <c r="F942" s="99">
        <f>D942+F938</f>
        <v>261449</v>
      </c>
      <c r="G942" s="99">
        <f>F942+G938</f>
        <v>251449</v>
      </c>
      <c r="H942" s="99">
        <f>G942+H938</f>
        <v>241444</v>
      </c>
      <c r="I942" s="99">
        <f>H942+I938</f>
        <v>231434</v>
      </c>
      <c r="J942" s="99">
        <f>I942+J938</f>
        <v>221419</v>
      </c>
      <c r="K942" s="99">
        <f>J942+K938</f>
        <v>211394</v>
      </c>
    </row>
    <row r="943" spans="1:12" s="152" customFormat="1" ht="15.75" hidden="1" thickTop="1">
      <c r="A943" s="194"/>
      <c r="B943" s="195"/>
      <c r="C943" s="163">
        <f>'Budget Detail FY 2013-18'!N1145</f>
        <v>209760</v>
      </c>
      <c r="D943" s="163">
        <f>'Budget Detail FY 2013-18'!O1145</f>
        <v>257953</v>
      </c>
      <c r="E943" s="163">
        <f>'Budget Detail FY 2013-18'!P1145</f>
        <v>264867</v>
      </c>
      <c r="F943" s="163">
        <f>'Budget Detail FY 2013-18'!Q1145</f>
        <v>261449</v>
      </c>
      <c r="G943" s="163">
        <f>'Budget Detail FY 2013-18'!R1145</f>
        <v>251449</v>
      </c>
      <c r="H943" s="163">
        <f>'Budget Detail FY 2013-18'!S1145</f>
        <v>241444</v>
      </c>
      <c r="I943" s="163">
        <f>'Budget Detail FY 2013-18'!T1145</f>
        <v>231434</v>
      </c>
      <c r="J943" s="163">
        <f>'Budget Detail FY 2013-18'!U1145</f>
        <v>221419</v>
      </c>
      <c r="K943" s="163">
        <f>'Budget Detail FY 2013-18'!V1145</f>
        <v>211394</v>
      </c>
      <c r="L943" s="166" t="s">
        <v>1462</v>
      </c>
    </row>
    <row r="944" spans="1:12" s="158" customFormat="1" ht="15" hidden="1">
      <c r="A944" s="196"/>
      <c r="B944" s="197"/>
      <c r="C944" s="203">
        <f>C942-C943</f>
        <v>0</v>
      </c>
      <c r="D944" s="203">
        <f t="shared" ref="D944:K944" si="150">D942-D943</f>
        <v>0</v>
      </c>
      <c r="E944" s="203">
        <f t="shared" si="150"/>
        <v>0</v>
      </c>
      <c r="F944" s="203">
        <f t="shared" si="150"/>
        <v>0</v>
      </c>
      <c r="G944" s="203">
        <f t="shared" si="150"/>
        <v>0</v>
      </c>
      <c r="H944" s="203">
        <f t="shared" si="150"/>
        <v>0</v>
      </c>
      <c r="I944" s="203">
        <f t="shared" si="150"/>
        <v>0</v>
      </c>
      <c r="J944" s="203">
        <f t="shared" si="150"/>
        <v>0</v>
      </c>
      <c r="K944" s="203">
        <f t="shared" si="150"/>
        <v>0</v>
      </c>
      <c r="L944" s="167" t="s">
        <v>1463</v>
      </c>
    </row>
    <row r="945" spans="1:11" ht="15.75" thickTop="1">
      <c r="A945" s="190"/>
      <c r="B945" s="205"/>
      <c r="C945" s="3"/>
      <c r="D945" s="3"/>
      <c r="E945" s="3"/>
      <c r="F945" s="2"/>
      <c r="G945" s="2"/>
      <c r="H945" s="2"/>
      <c r="I945" s="2"/>
      <c r="J945" s="2"/>
      <c r="K945" s="2"/>
    </row>
    <row r="946" spans="1:11" ht="15">
      <c r="A946" s="190"/>
      <c r="B946" s="205"/>
      <c r="C946" s="3"/>
      <c r="D946" s="3"/>
      <c r="E946" s="3"/>
      <c r="F946" s="2"/>
      <c r="G946" s="2"/>
      <c r="H946" s="2"/>
      <c r="I946" s="2"/>
      <c r="J946" s="2"/>
      <c r="K946" s="2"/>
    </row>
    <row r="947" spans="1:11" ht="15">
      <c r="A947" s="190"/>
      <c r="B947" s="205"/>
      <c r="C947" s="2"/>
      <c r="D947" s="2"/>
      <c r="E947" s="2"/>
      <c r="F947" s="2"/>
      <c r="G947" s="2"/>
      <c r="H947" s="2"/>
      <c r="I947" s="2"/>
      <c r="J947" s="2"/>
      <c r="K947" s="2"/>
    </row>
    <row r="948" spans="1:11" ht="15">
      <c r="A948" s="190"/>
      <c r="B948" s="1"/>
      <c r="C948" s="2"/>
      <c r="D948" s="2"/>
      <c r="E948" s="2"/>
      <c r="F948" s="2"/>
      <c r="G948" s="2"/>
      <c r="H948" s="2"/>
      <c r="I948" s="2"/>
      <c r="J948" s="2"/>
      <c r="K948" s="2"/>
    </row>
    <row r="949" spans="1:11" ht="15">
      <c r="A949" s="190"/>
      <c r="B949" s="1"/>
      <c r="C949" s="2"/>
      <c r="D949" s="2"/>
      <c r="E949" s="2"/>
      <c r="F949" s="2"/>
      <c r="G949" s="2"/>
      <c r="H949" s="2"/>
      <c r="I949" s="2"/>
      <c r="J949" s="2"/>
      <c r="K949" s="2"/>
    </row>
    <row r="950" spans="1:11" ht="15">
      <c r="A950" s="190"/>
      <c r="B950" s="1"/>
      <c r="C950" s="2"/>
      <c r="D950" s="2"/>
      <c r="E950" s="2"/>
      <c r="F950" s="2"/>
      <c r="G950" s="2"/>
      <c r="H950" s="2"/>
      <c r="I950" s="2"/>
      <c r="J950" s="2"/>
      <c r="K950" s="2"/>
    </row>
    <row r="951" spans="1:11" ht="15">
      <c r="A951" s="190"/>
      <c r="B951" s="1"/>
      <c r="C951" s="2"/>
      <c r="D951" s="2"/>
      <c r="E951" s="2"/>
      <c r="F951" s="2"/>
      <c r="G951" s="2"/>
      <c r="H951" s="2"/>
      <c r="I951" s="2"/>
      <c r="J951" s="2"/>
      <c r="K951" s="2"/>
    </row>
    <row r="952" spans="1:11" ht="15">
      <c r="A952" s="190"/>
      <c r="B952" s="1"/>
      <c r="C952" s="2"/>
      <c r="D952" s="2"/>
      <c r="E952" s="2"/>
      <c r="F952" s="2"/>
      <c r="G952" s="2"/>
      <c r="H952" s="2"/>
      <c r="I952" s="2"/>
      <c r="J952" s="2"/>
      <c r="K952" s="2"/>
    </row>
    <row r="953" spans="1:11" ht="15">
      <c r="A953" s="190"/>
      <c r="B953" s="1"/>
      <c r="C953" s="2"/>
      <c r="D953" s="2"/>
      <c r="E953" s="2"/>
      <c r="F953" s="2"/>
      <c r="G953" s="2"/>
      <c r="H953" s="2"/>
      <c r="I953" s="2"/>
      <c r="J953" s="2"/>
      <c r="K953" s="2"/>
    </row>
    <row r="954" spans="1:11" ht="15">
      <c r="A954" s="190"/>
      <c r="B954" s="1"/>
      <c r="C954" s="2"/>
      <c r="D954" s="2"/>
      <c r="E954" s="2"/>
      <c r="F954" s="2"/>
      <c r="G954" s="2"/>
      <c r="H954" s="2"/>
      <c r="I954" s="2"/>
      <c r="J954" s="2"/>
      <c r="K954" s="2"/>
    </row>
    <row r="955" spans="1:11" ht="15">
      <c r="A955" s="190"/>
      <c r="B955" s="1"/>
      <c r="C955" s="2"/>
      <c r="D955" s="2"/>
      <c r="E955" s="2"/>
      <c r="F955" s="2"/>
      <c r="G955" s="2"/>
      <c r="H955" s="2"/>
      <c r="I955" s="2"/>
      <c r="J955" s="2"/>
      <c r="K955" s="2"/>
    </row>
    <row r="956" spans="1:11" ht="15">
      <c r="A956" s="190"/>
      <c r="B956" s="1"/>
      <c r="C956" s="2"/>
      <c r="D956" s="2"/>
      <c r="E956" s="2"/>
      <c r="F956" s="2"/>
      <c r="G956" s="2"/>
      <c r="H956" s="2"/>
      <c r="I956" s="2"/>
      <c r="J956" s="2"/>
      <c r="K956" s="2"/>
    </row>
    <row r="957" spans="1:11" ht="15.75" customHeight="1">
      <c r="A957" s="190"/>
      <c r="B957" s="1"/>
      <c r="C957" s="2"/>
      <c r="D957" s="2"/>
      <c r="E957" s="2"/>
      <c r="F957" s="2"/>
      <c r="G957" s="2"/>
      <c r="H957" s="2"/>
      <c r="I957" s="2"/>
      <c r="J957" s="2"/>
      <c r="K957" s="2"/>
    </row>
    <row r="958" spans="1:11" ht="18.75">
      <c r="A958" s="1"/>
      <c r="B958" s="523" t="s">
        <v>1430</v>
      </c>
      <c r="C958" s="523"/>
      <c r="D958" s="523"/>
      <c r="E958" s="523"/>
      <c r="F958" s="523"/>
      <c r="G958" s="523"/>
      <c r="H958" s="523"/>
      <c r="I958" s="523"/>
      <c r="J958" s="523"/>
      <c r="K958" s="523"/>
    </row>
    <row r="959" spans="1:11" ht="7.5" customHeight="1">
      <c r="A959" s="1"/>
      <c r="B959" s="80"/>
      <c r="C959" s="3"/>
      <c r="D959" s="2"/>
      <c r="E959" s="2"/>
      <c r="F959" s="2"/>
      <c r="G959" s="2"/>
      <c r="H959" s="2"/>
      <c r="I959" s="2"/>
      <c r="J959" s="2"/>
      <c r="K959" s="2"/>
    </row>
    <row r="960" spans="1:11" ht="15" customHeight="1">
      <c r="A960" s="1"/>
      <c r="B960" s="529" t="s">
        <v>1438</v>
      </c>
      <c r="C960" s="529"/>
      <c r="D960" s="529"/>
      <c r="E960" s="529"/>
      <c r="F960" s="529"/>
      <c r="G960" s="529"/>
      <c r="H960" s="529"/>
      <c r="I960" s="529"/>
      <c r="J960" s="529"/>
      <c r="K960" s="529"/>
    </row>
    <row r="961" spans="1:11" ht="15">
      <c r="A961" s="1"/>
      <c r="B961" s="529"/>
      <c r="C961" s="529"/>
      <c r="D961" s="529"/>
      <c r="E961" s="529"/>
      <c r="F961" s="529"/>
      <c r="G961" s="529"/>
      <c r="H961" s="529"/>
      <c r="I961" s="529"/>
      <c r="J961" s="529"/>
      <c r="K961" s="529"/>
    </row>
    <row r="962" spans="1:11" ht="15">
      <c r="A962" s="1"/>
      <c r="B962" s="529"/>
      <c r="C962" s="529"/>
      <c r="D962" s="529"/>
      <c r="E962" s="529"/>
      <c r="F962" s="529"/>
      <c r="G962" s="529"/>
      <c r="H962" s="529"/>
      <c r="I962" s="529"/>
      <c r="J962" s="529"/>
      <c r="K962" s="529"/>
    </row>
    <row r="963" spans="1:11" ht="15">
      <c r="A963" s="1"/>
      <c r="B963" s="529"/>
      <c r="C963" s="529"/>
      <c r="D963" s="529"/>
      <c r="E963" s="529"/>
      <c r="F963" s="529"/>
      <c r="G963" s="529"/>
      <c r="H963" s="529"/>
      <c r="I963" s="529"/>
      <c r="J963" s="529"/>
      <c r="K963" s="529"/>
    </row>
    <row r="964" spans="1:11" ht="15">
      <c r="A964" s="1"/>
      <c r="B964" s="5"/>
      <c r="C964" s="80"/>
      <c r="D964" s="81"/>
      <c r="E964" s="80" t="s">
        <v>312</v>
      </c>
      <c r="F964" s="1"/>
      <c r="G964" s="1"/>
      <c r="H964" s="1"/>
      <c r="I964" s="1"/>
      <c r="J964" s="1"/>
      <c r="K964" s="1"/>
    </row>
    <row r="965" spans="1:11" ht="15">
      <c r="A965" s="1"/>
      <c r="B965" s="81"/>
      <c r="C965" s="80" t="s">
        <v>23</v>
      </c>
      <c r="D965" s="104" t="s">
        <v>253</v>
      </c>
      <c r="E965" s="81" t="s">
        <v>1045</v>
      </c>
      <c r="F965" s="81" t="s">
        <v>312</v>
      </c>
      <c r="G965" s="81" t="s">
        <v>313</v>
      </c>
      <c r="H965" s="81" t="s">
        <v>329</v>
      </c>
      <c r="I965" s="81" t="s">
        <v>332</v>
      </c>
      <c r="J965" s="81" t="s">
        <v>333</v>
      </c>
      <c r="K965" s="81" t="s">
        <v>1224</v>
      </c>
    </row>
    <row r="966" spans="1:11" ht="15.75" thickBot="1">
      <c r="A966" s="1"/>
      <c r="B966" s="209"/>
      <c r="C966" s="83" t="s">
        <v>1</v>
      </c>
      <c r="D966" s="83" t="s">
        <v>1</v>
      </c>
      <c r="E966" s="83" t="s">
        <v>987</v>
      </c>
      <c r="F966" s="83" t="s">
        <v>24</v>
      </c>
      <c r="G966" s="83" t="s">
        <v>1045</v>
      </c>
      <c r="H966" s="83" t="s">
        <v>24</v>
      </c>
      <c r="I966" s="83" t="s">
        <v>24</v>
      </c>
      <c r="J966" s="83" t="s">
        <v>24</v>
      </c>
      <c r="K966" s="83" t="s">
        <v>24</v>
      </c>
    </row>
    <row r="967" spans="1:11" ht="15">
      <c r="A967" s="1"/>
      <c r="B967" s="79"/>
      <c r="C967" s="210"/>
      <c r="D967" s="2"/>
      <c r="E967" s="2"/>
      <c r="F967" s="2"/>
      <c r="G967" s="2"/>
      <c r="H967" s="2"/>
      <c r="I967" s="2"/>
      <c r="J967" s="2"/>
      <c r="K967" s="2"/>
    </row>
    <row r="968" spans="1:11" ht="15">
      <c r="A968" s="1"/>
      <c r="B968" s="198" t="s">
        <v>1046</v>
      </c>
      <c r="C968" s="2"/>
      <c r="D968" s="2"/>
      <c r="E968" s="2"/>
      <c r="F968" s="2"/>
      <c r="G968" s="2"/>
      <c r="H968" s="2"/>
      <c r="I968" s="2"/>
      <c r="J968" s="2"/>
      <c r="K968" s="2"/>
    </row>
    <row r="969" spans="1:11" ht="20.100000000000001" customHeight="1">
      <c r="A969" s="1"/>
      <c r="B969" s="192" t="s">
        <v>1047</v>
      </c>
      <c r="C969" s="2">
        <f t="shared" ref="C969:K969" si="151">C11+C66+C110+C388+C434+C488+C836+C882+C925</f>
        <v>7573994</v>
      </c>
      <c r="D969" s="2">
        <f t="shared" si="151"/>
        <v>10492418</v>
      </c>
      <c r="E969" s="2">
        <f t="shared" si="151"/>
        <v>9597933</v>
      </c>
      <c r="F969" s="2">
        <f t="shared" si="151"/>
        <v>9942857</v>
      </c>
      <c r="G969" s="2">
        <f t="shared" si="151"/>
        <v>9891567</v>
      </c>
      <c r="H969" s="2">
        <f t="shared" si="151"/>
        <v>9923221</v>
      </c>
      <c r="I969" s="2">
        <f t="shared" si="151"/>
        <v>10096474</v>
      </c>
      <c r="J969" s="2">
        <f t="shared" si="151"/>
        <v>10165862</v>
      </c>
      <c r="K969" s="2">
        <f t="shared" si="151"/>
        <v>10281068</v>
      </c>
    </row>
    <row r="970" spans="1:11" ht="20.100000000000001" customHeight="1">
      <c r="A970" s="1"/>
      <c r="B970" s="192" t="s">
        <v>1048</v>
      </c>
      <c r="C970" s="2">
        <f t="shared" ref="C970:K970" si="152">C12+C153+C244+C542</f>
        <v>2433424</v>
      </c>
      <c r="D970" s="2">
        <f t="shared" si="152"/>
        <v>2849064</v>
      </c>
      <c r="E970" s="2">
        <f t="shared" si="152"/>
        <v>2844797</v>
      </c>
      <c r="F970" s="2">
        <f t="shared" si="152"/>
        <v>2919363</v>
      </c>
      <c r="G970" s="2">
        <f t="shared" si="152"/>
        <v>3363800</v>
      </c>
      <c r="H970" s="2">
        <f t="shared" si="152"/>
        <v>2552260</v>
      </c>
      <c r="I970" s="2">
        <f t="shared" si="152"/>
        <v>2676700</v>
      </c>
      <c r="J970" s="2">
        <f t="shared" si="152"/>
        <v>3020660</v>
      </c>
      <c r="K970" s="2">
        <f t="shared" si="152"/>
        <v>2986220</v>
      </c>
    </row>
    <row r="971" spans="1:11" ht="20.100000000000001" customHeight="1">
      <c r="A971" s="1"/>
      <c r="B971" s="5" t="s">
        <v>1049</v>
      </c>
      <c r="C971" s="2">
        <f>C13+C201+C245+C389+C435+C489+'Budget Detail FY 2013-18'!N489+'Budget Detail FY 2013-18'!N490+'Budget Detail FY 2013-18'!N491+'Budget Detail FY 2013-18'!N492+'Budget Detail FY 2013-18'!N493</f>
        <v>330094</v>
      </c>
      <c r="D971" s="2">
        <f>D13+D201+D245+D389+D435+D489+'Budget Detail FY 2013-18'!O489+'Budget Detail FY 2013-18'!O490+'Budget Detail FY 2013-18'!O491+'Budget Detail FY 2013-18'!O492+'Budget Detail FY 2013-18'!O493</f>
        <v>342483</v>
      </c>
      <c r="E971" s="2">
        <f>E13+E201+E245+E389+E435+E489+'Budget Detail FY 2013-18'!P489+'Budget Detail FY 2013-18'!P490+'Budget Detail FY 2013-18'!P491+'Budget Detail FY 2013-18'!P492+'Budget Detail FY 2013-18'!P493</f>
        <v>276450</v>
      </c>
      <c r="F971" s="2">
        <f>F13+F201+F245+F389+F435+F489+'Budget Detail FY 2013-18'!Q489+'Budget Detail FY 2013-18'!Q490+'Budget Detail FY 2013-18'!Q491+'Budget Detail FY 2013-18'!Q492+'Budget Detail FY 2013-18'!Q493</f>
        <v>379669</v>
      </c>
      <c r="G971" s="2">
        <f>G13+G201+G245+G389+G435+G489+'Budget Detail FY 2013-18'!R489+'Budget Detail FY 2013-18'!R490+'Budget Detail FY 2013-18'!R491+'Budget Detail FY 2013-18'!R492+'Budget Detail FY 2013-18'!R493</f>
        <v>261250</v>
      </c>
      <c r="H971" s="2">
        <f>H13+H201+H245+H389+H435+H489+'Budget Detail FY 2013-18'!S489+'Budget Detail FY 2013-18'!S490+'Budget Detail FY 2013-18'!S491+'Budget Detail FY 2013-18'!S492+'Budget Detail FY 2013-18'!S493</f>
        <v>261250</v>
      </c>
      <c r="I971" s="2">
        <f>I13+I201+I245+I389+I435+I489+'Budget Detail FY 2013-18'!T489+'Budget Detail FY 2013-18'!T490+'Budget Detail FY 2013-18'!T491+'Budget Detail FY 2013-18'!T492+'Budget Detail FY 2013-18'!T493</f>
        <v>286250</v>
      </c>
      <c r="J971" s="2">
        <f>J13+J201+J245+J389+J435+J489+'Budget Detail FY 2013-18'!U489+'Budget Detail FY 2013-18'!U490+'Budget Detail FY 2013-18'!U491+'Budget Detail FY 2013-18'!U492+'Budget Detail FY 2013-18'!U493</f>
        <v>286250</v>
      </c>
      <c r="K971" s="2">
        <f>K13+K201+K245+K389+K435+K489+'Budget Detail FY 2013-18'!V489+'Budget Detail FY 2013-18'!V490+'Budget Detail FY 2013-18'!V491+'Budget Detail FY 2013-18'!V492+'Budget Detail FY 2013-18'!V493</f>
        <v>311250</v>
      </c>
    </row>
    <row r="972" spans="1:11" ht="20.100000000000001" customHeight="1">
      <c r="A972" s="1"/>
      <c r="B972" s="5" t="s">
        <v>1050</v>
      </c>
      <c r="C972" s="2">
        <f>C14+'Budget Detail FY 2013-18'!N495+'Budget Detail FY 2013-18'!N496+'Budget Detail FY 2013-18'!N497</f>
        <v>213848</v>
      </c>
      <c r="D972" s="2">
        <f>D14+'Budget Detail FY 2013-18'!O495+'Budget Detail FY 2013-18'!O496+'Budget Detail FY 2013-18'!O497</f>
        <v>181392</v>
      </c>
      <c r="E972" s="2">
        <f>E14+'Budget Detail FY 2013-18'!P495+'Budget Detail FY 2013-18'!P496+'Budget Detail FY 2013-18'!P497</f>
        <v>213150</v>
      </c>
      <c r="F972" s="2">
        <f>F14+'Budget Detail FY 2013-18'!Q495+'Budget Detail FY 2013-18'!Q496+'Budget Detail FY 2013-18'!Q497</f>
        <v>175050</v>
      </c>
      <c r="G972" s="2">
        <f>G14+'Budget Detail FY 2013-18'!R495+'Budget Detail FY 2013-18'!R496+'Budget Detail FY 2013-18'!R497</f>
        <v>189050</v>
      </c>
      <c r="H972" s="2">
        <f>H14+'Budget Detail FY 2013-18'!S495+'Budget Detail FY 2013-18'!S496+'Budget Detail FY 2013-18'!S497</f>
        <v>189050</v>
      </c>
      <c r="I972" s="2">
        <f>I14+'Budget Detail FY 2013-18'!T495+'Budget Detail FY 2013-18'!T496+'Budget Detail FY 2013-18'!T497</f>
        <v>189050</v>
      </c>
      <c r="J972" s="2">
        <f>J14+'Budget Detail FY 2013-18'!U495+'Budget Detail FY 2013-18'!U496+'Budget Detail FY 2013-18'!U497</f>
        <v>189050</v>
      </c>
      <c r="K972" s="2">
        <f>K14+'Budget Detail FY 2013-18'!V495+'Budget Detail FY 2013-18'!V496+'Budget Detail FY 2013-18'!V497</f>
        <v>189050</v>
      </c>
    </row>
    <row r="973" spans="1:11" ht="20.100000000000001" customHeight="1">
      <c r="A973" s="1"/>
      <c r="B973" s="5" t="s">
        <v>1051</v>
      </c>
      <c r="C973" s="2">
        <f>C15+C436+C490+'Budget Detail FY 2013-18'!N498+'Budget Detail FY 2013-18'!N499+'Budget Detail FY 2013-18'!N500+C246</f>
        <v>5517712</v>
      </c>
      <c r="D973" s="2">
        <f>D15+D436+D490+'Budget Detail FY 2013-18'!O498+'Budget Detail FY 2013-18'!O499+'Budget Detail FY 2013-18'!O500+D246</f>
        <v>5510298</v>
      </c>
      <c r="E973" s="2">
        <f>E15+E436+E490+'Budget Detail FY 2013-18'!P498+'Budget Detail FY 2013-18'!P499+'Budget Detail FY 2013-18'!P500+E246</f>
        <v>5094535</v>
      </c>
      <c r="F973" s="2">
        <f>F15+F436+F490+'Budget Detail FY 2013-18'!Q498+'Budget Detail FY 2013-18'!Q499+'Budget Detail FY 2013-18'!Q500+F246</f>
        <v>5332093</v>
      </c>
      <c r="G973" s="2">
        <f>G15+G436+G490+'Budget Detail FY 2013-18'!R498+'Budget Detail FY 2013-18'!R499+'Budget Detail FY 2013-18'!R500+G246</f>
        <v>5556805</v>
      </c>
      <c r="H973" s="2">
        <f>H15+H436+H490+'Budget Detail FY 2013-18'!S498+'Budget Detail FY 2013-18'!S499+'Budget Detail FY 2013-18'!S500+H246</f>
        <v>5550673</v>
      </c>
      <c r="I973" s="2">
        <f>I15+I436+I490+'Budget Detail FY 2013-18'!T498+'Budget Detail FY 2013-18'!T499+'Budget Detail FY 2013-18'!T500+I246</f>
        <v>5604326</v>
      </c>
      <c r="J973" s="2">
        <f>J15+J436+J490+'Budget Detail FY 2013-18'!U498+'Budget Detail FY 2013-18'!U499+'Budget Detail FY 2013-18'!U500+J246</f>
        <v>5635802</v>
      </c>
      <c r="K973" s="2">
        <f>K15+K436+K490+'Budget Detail FY 2013-18'!V498+'Budget Detail FY 2013-18'!V499+'Budget Detail FY 2013-18'!V500+K246</f>
        <v>5674244</v>
      </c>
    </row>
    <row r="974" spans="1:11" ht="20.100000000000001" customHeight="1">
      <c r="A974" s="1"/>
      <c r="B974" s="5" t="s">
        <v>1052</v>
      </c>
      <c r="C974" s="2">
        <f>C16+C67+C111+C154+C247+C390+C437+C491+C837+C883+C926+'Budget Detail FY 2013-18'!N501+'Budget Detail FY 2013-18'!N502</f>
        <v>9155</v>
      </c>
      <c r="D974" s="2">
        <f>D16+D67+D111+D154+D247+D390+D437+D491+D837+D883+D926+'Budget Detail FY 2013-18'!O501+'Budget Detail FY 2013-18'!O502</f>
        <v>11966</v>
      </c>
      <c r="E974" s="2">
        <f>E16+E67+E111+E154+E247+E390+E437+E491+E837+E883+E926+'Budget Detail FY 2013-18'!P501+'Budget Detail FY 2013-18'!P502</f>
        <v>9250</v>
      </c>
      <c r="F974" s="2">
        <f>F16+F67+F111+F154+F247+F390+F437+F491+F837+F883+F926+'Budget Detail FY 2013-18'!Q501+'Budget Detail FY 2013-18'!Q502</f>
        <v>21740</v>
      </c>
      <c r="G974" s="2">
        <f>G16+G67+G111+G154+G247+G390+G437+G491+G837+G883+G926+'Budget Detail FY 2013-18'!R501+'Budget Detail FY 2013-18'!R502</f>
        <v>18475</v>
      </c>
      <c r="H974" s="2">
        <f>H16+H67+H111+H154+H247+H390+H437+H491+H837+H883+H926+'Budget Detail FY 2013-18'!S501+'Budget Detail FY 2013-18'!S502</f>
        <v>16675</v>
      </c>
      <c r="I974" s="2">
        <f>I16+I67+I111+I154+I247+I390+I437+I491+I837+I883+I926+'Budget Detail FY 2013-18'!T501+'Budget Detail FY 2013-18'!T502</f>
        <v>15925</v>
      </c>
      <c r="J974" s="2">
        <f>J16+J67+J111+J154+J247+J390+J437+J491+J837+J883+J926+'Budget Detail FY 2013-18'!U501+'Budget Detail FY 2013-18'!U502</f>
        <v>15775</v>
      </c>
      <c r="K974" s="2">
        <f>K16+K67+K111+K154+K247+K390+K437+K491+K837+K883+K926+'Budget Detail FY 2013-18'!V501+'Budget Detail FY 2013-18'!V502</f>
        <v>16175</v>
      </c>
    </row>
    <row r="975" spans="1:11" ht="20.100000000000001" customHeight="1">
      <c r="A975" s="1"/>
      <c r="B975" s="5" t="s">
        <v>1053</v>
      </c>
      <c r="C975" s="2">
        <f t="shared" ref="C975:K975" si="153">C17+C155+C248+C438+C492</f>
        <v>641369</v>
      </c>
      <c r="D975" s="2">
        <f t="shared" si="153"/>
        <v>433001</v>
      </c>
      <c r="E975" s="2">
        <f t="shared" si="153"/>
        <v>211945</v>
      </c>
      <c r="F975" s="2">
        <f t="shared" si="153"/>
        <v>235469</v>
      </c>
      <c r="G975" s="2">
        <f t="shared" si="153"/>
        <v>75000</v>
      </c>
      <c r="H975" s="2">
        <f t="shared" si="153"/>
        <v>75000</v>
      </c>
      <c r="I975" s="2">
        <f t="shared" si="153"/>
        <v>75000</v>
      </c>
      <c r="J975" s="2">
        <f t="shared" si="153"/>
        <v>75000</v>
      </c>
      <c r="K975" s="2">
        <f t="shared" si="153"/>
        <v>75000</v>
      </c>
    </row>
    <row r="976" spans="1:11" ht="20.100000000000001" customHeight="1">
      <c r="A976" s="1"/>
      <c r="B976" s="5" t="s">
        <v>1084</v>
      </c>
      <c r="C976" s="2">
        <f>C543</f>
        <v>432354</v>
      </c>
      <c r="D976" s="2">
        <f t="shared" ref="D976:K976" si="154">D543</f>
        <v>30767</v>
      </c>
      <c r="E976" s="2">
        <f t="shared" si="154"/>
        <v>20500</v>
      </c>
      <c r="F976" s="2">
        <f t="shared" si="154"/>
        <v>52106</v>
      </c>
      <c r="G976" s="2">
        <f t="shared" si="154"/>
        <v>20500</v>
      </c>
      <c r="H976" s="2">
        <f t="shared" si="154"/>
        <v>23000</v>
      </c>
      <c r="I976" s="2">
        <f t="shared" si="154"/>
        <v>23000</v>
      </c>
      <c r="J976" s="2">
        <f t="shared" si="154"/>
        <v>23000</v>
      </c>
      <c r="K976" s="2">
        <f t="shared" si="154"/>
        <v>23000</v>
      </c>
    </row>
    <row r="977" spans="1:12" ht="20.100000000000001" customHeight="1">
      <c r="A977" s="1"/>
      <c r="B977" s="5" t="s">
        <v>1054</v>
      </c>
      <c r="C977" s="2">
        <f>C18+C156+C249+C439+'Budget Detail FY 2013-18'!N507+'Budget Detail FY 2013-18'!N505+'Budget Detail FY 2013-18'!N506</f>
        <v>85922</v>
      </c>
      <c r="D977" s="2">
        <f>D18+D156+D249+D439+'Budget Detail FY 2013-18'!O507+'Budget Detail FY 2013-18'!O505+'Budget Detail FY 2013-18'!O506</f>
        <v>72008</v>
      </c>
      <c r="E977" s="2">
        <f>E18+E156+E249+E439+'Budget Detail FY 2013-18'!P507+'Budget Detail FY 2013-18'!P505+'Budget Detail FY 2013-18'!P506</f>
        <v>62000</v>
      </c>
      <c r="F977" s="2">
        <f>F18+F156+F249+F439+'Budget Detail FY 2013-18'!Q507+'Budget Detail FY 2013-18'!Q505+'Budget Detail FY 2013-18'!Q506</f>
        <v>191539</v>
      </c>
      <c r="G977" s="2">
        <f>G18+G156+G249+G439+'Budget Detail FY 2013-18'!R507+'Budget Detail FY 2013-18'!R505+'Budget Detail FY 2013-18'!R506</f>
        <v>192777</v>
      </c>
      <c r="H977" s="2">
        <f>H18+H156+H249+H439+'Budget Detail FY 2013-18'!S507+'Budget Detail FY 2013-18'!S505+'Budget Detail FY 2013-18'!S506</f>
        <v>69632</v>
      </c>
      <c r="I977" s="2">
        <f>I18+I156+I249+I439+'Budget Detail FY 2013-18'!T507+'Budget Detail FY 2013-18'!T505+'Budget Detail FY 2013-18'!T506</f>
        <v>70963</v>
      </c>
      <c r="J977" s="2">
        <f>J18+J156+J249+J439+'Budget Detail FY 2013-18'!U507+'Budget Detail FY 2013-18'!U505+'Budget Detail FY 2013-18'!U506</f>
        <v>72329</v>
      </c>
      <c r="K977" s="2">
        <f>K18+K156+K249+K439+'Budget Detail FY 2013-18'!V507+'Budget Detail FY 2013-18'!V505+'Budget Detail FY 2013-18'!V506</f>
        <v>73731</v>
      </c>
    </row>
    <row r="978" spans="1:12" ht="20.100000000000001" customHeight="1">
      <c r="A978" s="1"/>
      <c r="B978" s="5" t="s">
        <v>1055</v>
      </c>
      <c r="C978" s="2">
        <f>C19+C202+C250+C391+C440+C493+C544+'Budget Detail FY 2013-18'!N509</f>
        <v>743738</v>
      </c>
      <c r="D978" s="2">
        <f>D19+D202+D250+D391+D440+D493+D544+'Budget Detail FY 2013-18'!O509</f>
        <v>727380</v>
      </c>
      <c r="E978" s="2">
        <f>E19+E202+E250+E391+E440+E493+E544+'Budget Detail FY 2013-18'!P509</f>
        <v>1203585</v>
      </c>
      <c r="F978" s="2">
        <f>F19+F202+F250+F391+F440+F493+F544+'Budget Detail FY 2013-18'!Q509</f>
        <v>938585</v>
      </c>
      <c r="G978" s="2">
        <f>G19+G202+G250+G391+G440+G493+G544+'Budget Detail FY 2013-18'!R509</f>
        <v>2284233</v>
      </c>
      <c r="H978" s="2">
        <f>H19+H202+H250+H391+H440+H493+H544+'Budget Detail FY 2013-18'!S509</f>
        <v>5972810</v>
      </c>
      <c r="I978" s="2">
        <f>I19+I202+I250+I391+I440+I493+I544+'Budget Detail FY 2013-18'!T509</f>
        <v>1250378</v>
      </c>
      <c r="J978" s="2">
        <f>J19+J202+J250+J391+J440+J493+J544+'Budget Detail FY 2013-18'!U509</f>
        <v>2467016</v>
      </c>
      <c r="K978" s="2">
        <f>K19+K202+K250+K391+K440+K493+K544+'Budget Detail FY 2013-18'!V509</f>
        <v>1731446</v>
      </c>
    </row>
    <row r="979" spans="1:12" ht="20.100000000000001" customHeight="1" thickBot="1">
      <c r="A979" s="1"/>
      <c r="B979" s="193" t="s">
        <v>1056</v>
      </c>
      <c r="C979" s="188">
        <f t="shared" ref="C979:K979" si="155">SUM(C969:C978)</f>
        <v>17981610</v>
      </c>
      <c r="D979" s="188">
        <f t="shared" si="155"/>
        <v>20650777</v>
      </c>
      <c r="E979" s="188">
        <f t="shared" si="155"/>
        <v>19534145</v>
      </c>
      <c r="F979" s="188">
        <f t="shared" si="155"/>
        <v>20188471</v>
      </c>
      <c r="G979" s="188">
        <f t="shared" si="155"/>
        <v>21853457</v>
      </c>
      <c r="H979" s="188">
        <f t="shared" si="155"/>
        <v>24633571</v>
      </c>
      <c r="I979" s="188">
        <f t="shared" si="155"/>
        <v>20288066</v>
      </c>
      <c r="J979" s="188">
        <f t="shared" si="155"/>
        <v>21950744</v>
      </c>
      <c r="K979" s="188">
        <f t="shared" si="155"/>
        <v>21361184</v>
      </c>
    </row>
    <row r="980" spans="1:12" s="152" customFormat="1" ht="15" hidden="1">
      <c r="A980" s="220"/>
      <c r="B980" s="195"/>
      <c r="C980" s="163">
        <f>'Budget Detail FY 2013-18'!N69+'Budget Detail FY 2013-18'!N341+'Budget Detail FY 2013-18'!N358+'Budget Detail FY 2013-18'!N381+'Budget Detail FY 2013-18'!N414+'Budget Detail FY 2013-18'!N447+'Budget Detail FY 2013-18'!N511-SUM('Budget Detail FY 2013-18'!N494+'Budget Detail FY 2013-18'!N503+'Budget Detail FY 2013-18'!N504+'Budget Detail FY 2013-18'!N508)+'Budget Detail FY 2013-18'!N564+'Budget Detail FY 2013-18'!N603+'Budget Detail FY 2013-18'!N695+'Budget Detail FY 2013-18'!N786+'Budget Detail FY 2013-18'!N1088+'Budget Detail FY 2013-18'!N1110+'Budget Detail FY 2013-18'!N1133</f>
        <v>17981610</v>
      </c>
      <c r="D980" s="163">
        <f>'Budget Detail FY 2013-18'!O69+'Budget Detail FY 2013-18'!O341+'Budget Detail FY 2013-18'!O358+'Budget Detail FY 2013-18'!O381+'Budget Detail FY 2013-18'!O414+'Budget Detail FY 2013-18'!O447+'Budget Detail FY 2013-18'!O511-SUM('Budget Detail FY 2013-18'!O494+'Budget Detail FY 2013-18'!O503+'Budget Detail FY 2013-18'!O504+'Budget Detail FY 2013-18'!O508)+'Budget Detail FY 2013-18'!O564+'Budget Detail FY 2013-18'!O603+'Budget Detail FY 2013-18'!O695+'Budget Detail FY 2013-18'!O786+'Budget Detail FY 2013-18'!O1088+'Budget Detail FY 2013-18'!O1110+'Budget Detail FY 2013-18'!O1133</f>
        <v>20650777</v>
      </c>
      <c r="E980" s="163">
        <f>'Budget Detail FY 2013-18'!P69+'Budget Detail FY 2013-18'!P341+'Budget Detail FY 2013-18'!P358+'Budget Detail FY 2013-18'!P381+'Budget Detail FY 2013-18'!P414+'Budget Detail FY 2013-18'!P447+'Budget Detail FY 2013-18'!P511-SUM('Budget Detail FY 2013-18'!P494+'Budget Detail FY 2013-18'!P503+'Budget Detail FY 2013-18'!P504+'Budget Detail FY 2013-18'!P508)+'Budget Detail FY 2013-18'!P564+'Budget Detail FY 2013-18'!P603+'Budget Detail FY 2013-18'!P695+'Budget Detail FY 2013-18'!P786+'Budget Detail FY 2013-18'!P1088+'Budget Detail FY 2013-18'!P1110+'Budget Detail FY 2013-18'!P1133</f>
        <v>19534145</v>
      </c>
      <c r="F980" s="163">
        <f>'Budget Detail FY 2013-18'!Q69+'Budget Detail FY 2013-18'!Q341+'Budget Detail FY 2013-18'!Q358+'Budget Detail FY 2013-18'!Q381+'Budget Detail FY 2013-18'!Q414+'Budget Detail FY 2013-18'!Q447+'Budget Detail FY 2013-18'!Q511-SUM('Budget Detail FY 2013-18'!Q494+'Budget Detail FY 2013-18'!Q503+'Budget Detail FY 2013-18'!Q504+'Budget Detail FY 2013-18'!Q508)+'Budget Detail FY 2013-18'!Q564+'Budget Detail FY 2013-18'!Q603+'Budget Detail FY 2013-18'!Q695+'Budget Detail FY 2013-18'!Q786+'Budget Detail FY 2013-18'!Q1088+'Budget Detail FY 2013-18'!Q1110+'Budget Detail FY 2013-18'!Q1133</f>
        <v>20188471</v>
      </c>
      <c r="G980" s="163">
        <f>'Budget Detail FY 2013-18'!R69+'Budget Detail FY 2013-18'!R341+'Budget Detail FY 2013-18'!R358+'Budget Detail FY 2013-18'!R381+'Budget Detail FY 2013-18'!R414+'Budget Detail FY 2013-18'!R447+'Budget Detail FY 2013-18'!R511-SUM('Budget Detail FY 2013-18'!R494+'Budget Detail FY 2013-18'!R503+'Budget Detail FY 2013-18'!R504+'Budget Detail FY 2013-18'!R508)+'Budget Detail FY 2013-18'!R564+'Budget Detail FY 2013-18'!R603+'Budget Detail FY 2013-18'!R695+'Budget Detail FY 2013-18'!R786+'Budget Detail FY 2013-18'!R1088+'Budget Detail FY 2013-18'!R1110+'Budget Detail FY 2013-18'!R1133</f>
        <v>21853457</v>
      </c>
      <c r="H980" s="163">
        <f>'Budget Detail FY 2013-18'!S69+'Budget Detail FY 2013-18'!S341+'Budget Detail FY 2013-18'!S358+'Budget Detail FY 2013-18'!S381+'Budget Detail FY 2013-18'!S414+'Budget Detail FY 2013-18'!S447+'Budget Detail FY 2013-18'!S511-SUM('Budget Detail FY 2013-18'!S494+'Budget Detail FY 2013-18'!S503+'Budget Detail FY 2013-18'!S504+'Budget Detail FY 2013-18'!S508)+'Budget Detail FY 2013-18'!S564+'Budget Detail FY 2013-18'!S603+'Budget Detail FY 2013-18'!S695+'Budget Detail FY 2013-18'!S786+'Budget Detail FY 2013-18'!S1088+'Budget Detail FY 2013-18'!S1110+'Budget Detail FY 2013-18'!S1133</f>
        <v>24633571</v>
      </c>
      <c r="I980" s="163">
        <f>'Budget Detail FY 2013-18'!T69+'Budget Detail FY 2013-18'!T341+'Budget Detail FY 2013-18'!T358+'Budget Detail FY 2013-18'!T381+'Budget Detail FY 2013-18'!T414+'Budget Detail FY 2013-18'!T447+'Budget Detail FY 2013-18'!T511-SUM('Budget Detail FY 2013-18'!T494+'Budget Detail FY 2013-18'!T503+'Budget Detail FY 2013-18'!T504+'Budget Detail FY 2013-18'!T508)+'Budget Detail FY 2013-18'!T564+'Budget Detail FY 2013-18'!T603+'Budget Detail FY 2013-18'!T695+'Budget Detail FY 2013-18'!T786+'Budget Detail FY 2013-18'!T1088+'Budget Detail FY 2013-18'!T1110+'Budget Detail FY 2013-18'!T1133</f>
        <v>20288066</v>
      </c>
      <c r="J980" s="163">
        <f>'Budget Detail FY 2013-18'!U69+'Budget Detail FY 2013-18'!U341+'Budget Detail FY 2013-18'!U358+'Budget Detail FY 2013-18'!U381+'Budget Detail FY 2013-18'!U414+'Budget Detail FY 2013-18'!U447+'Budget Detail FY 2013-18'!U511-SUM('Budget Detail FY 2013-18'!U494+'Budget Detail FY 2013-18'!U503+'Budget Detail FY 2013-18'!U504+'Budget Detail FY 2013-18'!U508)+'Budget Detail FY 2013-18'!U564+'Budget Detail FY 2013-18'!U603+'Budget Detail FY 2013-18'!U695+'Budget Detail FY 2013-18'!U786+'Budget Detail FY 2013-18'!U1088+'Budget Detail FY 2013-18'!U1110+'Budget Detail FY 2013-18'!U1133</f>
        <v>21950744</v>
      </c>
      <c r="K980" s="163">
        <f>'Budget Detail FY 2013-18'!V69+'Budget Detail FY 2013-18'!V341+'Budget Detail FY 2013-18'!V358+'Budget Detail FY 2013-18'!V381+'Budget Detail FY 2013-18'!V414+'Budget Detail FY 2013-18'!V447+'Budget Detail FY 2013-18'!V511-SUM('Budget Detail FY 2013-18'!V494+'Budget Detail FY 2013-18'!V503+'Budget Detail FY 2013-18'!V504+'Budget Detail FY 2013-18'!V508)+'Budget Detail FY 2013-18'!V564+'Budget Detail FY 2013-18'!V603+'Budget Detail FY 2013-18'!V695+'Budget Detail FY 2013-18'!V786+'Budget Detail FY 2013-18'!V1088+'Budget Detail FY 2013-18'!V1110+'Budget Detail FY 2013-18'!V1133</f>
        <v>21361184</v>
      </c>
      <c r="L980" s="166" t="s">
        <v>1462</v>
      </c>
    </row>
    <row r="981" spans="1:12" s="158" customFormat="1" ht="15" hidden="1">
      <c r="A981" s="221"/>
      <c r="B981" s="197"/>
      <c r="C981" s="164">
        <f>C979-C980</f>
        <v>0</v>
      </c>
      <c r="D981" s="164">
        <f>D979-D980</f>
        <v>0</v>
      </c>
      <c r="E981" s="164">
        <f t="shared" ref="E981:K981" si="156">E979-E980</f>
        <v>0</v>
      </c>
      <c r="F981" s="164">
        <f t="shared" si="156"/>
        <v>0</v>
      </c>
      <c r="G981" s="164">
        <f t="shared" si="156"/>
        <v>0</v>
      </c>
      <c r="H981" s="164">
        <f t="shared" si="156"/>
        <v>0</v>
      </c>
      <c r="I981" s="164">
        <f t="shared" si="156"/>
        <v>0</v>
      </c>
      <c r="J981" s="164">
        <f t="shared" si="156"/>
        <v>0</v>
      </c>
      <c r="K981" s="164">
        <f t="shared" si="156"/>
        <v>0</v>
      </c>
      <c r="L981" s="167" t="s">
        <v>1463</v>
      </c>
    </row>
    <row r="982" spans="1:12" ht="7.5" customHeight="1">
      <c r="A982" s="1"/>
      <c r="B982" s="1"/>
      <c r="C982" s="2"/>
      <c r="D982" s="2"/>
      <c r="E982" s="2"/>
      <c r="F982" s="2"/>
      <c r="G982" s="2"/>
      <c r="H982" s="2"/>
      <c r="I982" s="2"/>
      <c r="J982" s="2"/>
      <c r="K982" s="2"/>
    </row>
    <row r="983" spans="1:12" ht="15">
      <c r="A983" s="1"/>
      <c r="B983" s="198" t="s">
        <v>761</v>
      </c>
      <c r="C983" s="2"/>
      <c r="D983" s="2"/>
      <c r="E983" s="2"/>
      <c r="F983" s="2"/>
      <c r="G983" s="2"/>
      <c r="H983" s="2"/>
      <c r="I983" s="2"/>
      <c r="J983" s="2"/>
      <c r="K983" s="2"/>
    </row>
    <row r="984" spans="1:12" ht="20.100000000000001" customHeight="1">
      <c r="A984" s="1"/>
      <c r="B984" s="199" t="s">
        <v>1057</v>
      </c>
      <c r="C984" s="2">
        <f t="shared" ref="C984:K984" si="157">C25+C446+C499</f>
        <v>4105507</v>
      </c>
      <c r="D984" s="2">
        <f t="shared" si="157"/>
        <v>3560392</v>
      </c>
      <c r="E984" s="2">
        <f t="shared" si="157"/>
        <v>3965895</v>
      </c>
      <c r="F984" s="2">
        <f t="shared" si="157"/>
        <v>3878920</v>
      </c>
      <c r="G984" s="2">
        <f t="shared" si="157"/>
        <v>4075539</v>
      </c>
      <c r="H984" s="2">
        <f t="shared" si="157"/>
        <v>4075539</v>
      </c>
      <c r="I984" s="2">
        <f t="shared" si="157"/>
        <v>4075539</v>
      </c>
      <c r="J984" s="2">
        <f t="shared" si="157"/>
        <v>4075539</v>
      </c>
      <c r="K984" s="2">
        <f t="shared" si="157"/>
        <v>4075539</v>
      </c>
    </row>
    <row r="985" spans="1:12" ht="20.100000000000001" customHeight="1">
      <c r="A985" s="1"/>
      <c r="B985" s="199" t="s">
        <v>1058</v>
      </c>
      <c r="C985" s="2">
        <f t="shared" ref="C985:K985" si="158">C26+C447+C500</f>
        <v>2543948</v>
      </c>
      <c r="D985" s="2">
        <f t="shared" si="158"/>
        <v>2497616</v>
      </c>
      <c r="E985" s="2">
        <f t="shared" si="158"/>
        <v>2679562</v>
      </c>
      <c r="F985" s="2">
        <f t="shared" si="158"/>
        <v>2410399</v>
      </c>
      <c r="G985" s="2">
        <f t="shared" si="158"/>
        <v>2570918</v>
      </c>
      <c r="H985" s="2">
        <f t="shared" si="158"/>
        <v>2729550</v>
      </c>
      <c r="I985" s="2">
        <f t="shared" si="158"/>
        <v>2900816</v>
      </c>
      <c r="J985" s="2">
        <f t="shared" si="158"/>
        <v>3009239</v>
      </c>
      <c r="K985" s="2">
        <f t="shared" si="158"/>
        <v>3143408</v>
      </c>
    </row>
    <row r="986" spans="1:12" ht="20.100000000000001" customHeight="1">
      <c r="A986" s="1"/>
      <c r="B986" s="199" t="s">
        <v>1059</v>
      </c>
      <c r="C986" s="2">
        <f t="shared" ref="C986:K986" si="159">C27+C73+C117+C162+C208+C256+C318+C326+C397+C448+C501+C550+C843+C889+C932</f>
        <v>4226497</v>
      </c>
      <c r="D986" s="2">
        <f t="shared" si="159"/>
        <v>5341136</v>
      </c>
      <c r="E986" s="2">
        <f t="shared" si="159"/>
        <v>4566044</v>
      </c>
      <c r="F986" s="2">
        <f t="shared" si="159"/>
        <v>4532450</v>
      </c>
      <c r="G986" s="2">
        <f t="shared" si="159"/>
        <v>6445092</v>
      </c>
      <c r="H986" s="2">
        <f t="shared" si="159"/>
        <v>4804133</v>
      </c>
      <c r="I986" s="2">
        <f t="shared" si="159"/>
        <v>4935581</v>
      </c>
      <c r="J986" s="2">
        <f t="shared" si="159"/>
        <v>5004004</v>
      </c>
      <c r="K986" s="2">
        <f t="shared" si="159"/>
        <v>5118430</v>
      </c>
    </row>
    <row r="987" spans="1:12" ht="20.100000000000001" customHeight="1">
      <c r="A987" s="1"/>
      <c r="B987" s="199" t="s">
        <v>1060</v>
      </c>
      <c r="C987" s="2">
        <f t="shared" ref="C987:K987" si="160">C28+C163+C319+C327+C449+C502+C844</f>
        <v>814305</v>
      </c>
      <c r="D987" s="2">
        <f t="shared" si="160"/>
        <v>761737</v>
      </c>
      <c r="E987" s="2">
        <f t="shared" si="160"/>
        <v>980446</v>
      </c>
      <c r="F987" s="2">
        <f t="shared" si="160"/>
        <v>846579</v>
      </c>
      <c r="G987" s="2">
        <f t="shared" si="160"/>
        <v>898745</v>
      </c>
      <c r="H987" s="2">
        <f t="shared" si="160"/>
        <v>922785</v>
      </c>
      <c r="I987" s="2">
        <f t="shared" si="160"/>
        <v>952547</v>
      </c>
      <c r="J987" s="2">
        <f t="shared" si="160"/>
        <v>984164</v>
      </c>
      <c r="K987" s="2">
        <f t="shared" si="160"/>
        <v>1012964</v>
      </c>
    </row>
    <row r="988" spans="1:12" ht="20.100000000000001" customHeight="1">
      <c r="A988" s="1"/>
      <c r="B988" s="199" t="s">
        <v>1061</v>
      </c>
      <c r="C988" s="2">
        <f t="shared" ref="C988:K988" si="161">C164+C257+C320+C328+C450+C503+C551+C933</f>
        <v>515001</v>
      </c>
      <c r="D988" s="2">
        <f t="shared" si="161"/>
        <v>457112</v>
      </c>
      <c r="E988" s="2">
        <f t="shared" si="161"/>
        <v>1838225</v>
      </c>
      <c r="F988" s="2">
        <f t="shared" si="161"/>
        <v>1019704</v>
      </c>
      <c r="G988" s="2">
        <f t="shared" si="161"/>
        <v>2928470</v>
      </c>
      <c r="H988" s="2">
        <f t="shared" si="161"/>
        <v>3497168</v>
      </c>
      <c r="I988" s="2">
        <f t="shared" si="161"/>
        <v>6776169</v>
      </c>
      <c r="J988" s="2">
        <f t="shared" si="161"/>
        <v>3964913</v>
      </c>
      <c r="K988" s="2">
        <f t="shared" si="161"/>
        <v>1754641</v>
      </c>
    </row>
    <row r="989" spans="1:12" ht="20.100000000000001" customHeight="1">
      <c r="A989" s="1"/>
      <c r="B989" s="205" t="s">
        <v>1062</v>
      </c>
      <c r="C989" s="2">
        <f>C29</f>
        <v>75000</v>
      </c>
      <c r="D989" s="2">
        <f t="shared" ref="D989:K989" si="162">D29</f>
        <v>52075</v>
      </c>
      <c r="E989" s="2">
        <f t="shared" si="162"/>
        <v>50000</v>
      </c>
      <c r="F989" s="2">
        <f t="shared" si="162"/>
        <v>50000</v>
      </c>
      <c r="G989" s="2">
        <f t="shared" si="162"/>
        <v>50000</v>
      </c>
      <c r="H989" s="2">
        <f t="shared" si="162"/>
        <v>50000</v>
      </c>
      <c r="I989" s="2">
        <f t="shared" si="162"/>
        <v>50000</v>
      </c>
      <c r="J989" s="2">
        <f t="shared" si="162"/>
        <v>50000</v>
      </c>
      <c r="K989" s="2">
        <f t="shared" si="162"/>
        <v>50000</v>
      </c>
    </row>
    <row r="990" spans="1:12" ht="20.100000000000001" customHeight="1">
      <c r="A990" s="1"/>
      <c r="B990" s="205" t="s">
        <v>1077</v>
      </c>
      <c r="C990" s="2">
        <f t="shared" ref="C990:K990" si="163">C451+C504</f>
        <v>306861</v>
      </c>
      <c r="D990" s="2">
        <f t="shared" si="163"/>
        <v>306861</v>
      </c>
      <c r="E990" s="2">
        <f t="shared" si="163"/>
        <v>341919</v>
      </c>
      <c r="F990" s="2">
        <f t="shared" si="163"/>
        <v>191917</v>
      </c>
      <c r="G990" s="2">
        <f t="shared" si="163"/>
        <v>0</v>
      </c>
      <c r="H990" s="2">
        <f t="shared" si="163"/>
        <v>0</v>
      </c>
      <c r="I990" s="2">
        <f t="shared" si="163"/>
        <v>0</v>
      </c>
      <c r="J990" s="2">
        <f t="shared" si="163"/>
        <v>0</v>
      </c>
      <c r="K990" s="2">
        <f t="shared" si="163"/>
        <v>0</v>
      </c>
    </row>
    <row r="991" spans="1:12" ht="20.100000000000001" customHeight="1">
      <c r="A991" s="1"/>
      <c r="B991" s="205" t="s">
        <v>967</v>
      </c>
      <c r="C991" s="2">
        <f t="shared" ref="C991:K991" si="164">C258+C329+C398+C452+C505+C845+C890</f>
        <v>3110775</v>
      </c>
      <c r="D991" s="2">
        <f t="shared" si="164"/>
        <v>3337832</v>
      </c>
      <c r="E991" s="2">
        <f t="shared" si="164"/>
        <v>3375399</v>
      </c>
      <c r="F991" s="2">
        <f t="shared" si="164"/>
        <v>3375399</v>
      </c>
      <c r="G991" s="2">
        <f t="shared" si="164"/>
        <v>3934966</v>
      </c>
      <c r="H991" s="2">
        <f t="shared" si="164"/>
        <v>4021075</v>
      </c>
      <c r="I991" s="2">
        <f t="shared" si="164"/>
        <v>4156437</v>
      </c>
      <c r="J991" s="2">
        <f t="shared" si="164"/>
        <v>4170377</v>
      </c>
      <c r="K991" s="2">
        <f t="shared" si="164"/>
        <v>4171681</v>
      </c>
    </row>
    <row r="992" spans="1:12" ht="20.100000000000001" customHeight="1">
      <c r="A992" s="1"/>
      <c r="B992" s="205" t="s">
        <v>1063</v>
      </c>
      <c r="C992" s="2">
        <f t="shared" ref="C992:K992" si="165">C30+C165+C259+C506+C846</f>
        <v>1695628</v>
      </c>
      <c r="D992" s="2">
        <f t="shared" si="165"/>
        <v>1981309</v>
      </c>
      <c r="E992" s="2">
        <f t="shared" si="165"/>
        <v>1598949</v>
      </c>
      <c r="F992" s="2">
        <f t="shared" si="165"/>
        <v>1586971</v>
      </c>
      <c r="G992" s="2">
        <f t="shared" si="165"/>
        <v>3886911</v>
      </c>
      <c r="H992" s="2">
        <f t="shared" si="165"/>
        <v>2365296</v>
      </c>
      <c r="I992" s="2">
        <f t="shared" si="165"/>
        <v>2477254</v>
      </c>
      <c r="J992" s="2">
        <f t="shared" si="165"/>
        <v>3720153</v>
      </c>
      <c r="K992" s="2">
        <f t="shared" si="165"/>
        <v>2998972</v>
      </c>
    </row>
    <row r="993" spans="1:12" ht="20.100000000000001" customHeight="1" thickBot="1">
      <c r="A993" s="1"/>
      <c r="B993" s="193" t="s">
        <v>1064</v>
      </c>
      <c r="C993" s="188">
        <f>SUM(C984:C992)</f>
        <v>17393522</v>
      </c>
      <c r="D993" s="188">
        <f t="shared" ref="D993:J993" si="166">SUM(D984:D992)</f>
        <v>18296070</v>
      </c>
      <c r="E993" s="188">
        <f t="shared" si="166"/>
        <v>19396439</v>
      </c>
      <c r="F993" s="188">
        <f t="shared" si="166"/>
        <v>17892339</v>
      </c>
      <c r="G993" s="188">
        <f t="shared" si="166"/>
        <v>24790641</v>
      </c>
      <c r="H993" s="188">
        <f t="shared" si="166"/>
        <v>22465546</v>
      </c>
      <c r="I993" s="188">
        <f t="shared" si="166"/>
        <v>26324343</v>
      </c>
      <c r="J993" s="188">
        <f t="shared" si="166"/>
        <v>24978389</v>
      </c>
      <c r="K993" s="188">
        <f>SUM(K984:K992)</f>
        <v>22325635</v>
      </c>
    </row>
    <row r="994" spans="1:12" s="152" customFormat="1" ht="15" hidden="1">
      <c r="A994" s="220"/>
      <c r="B994" s="195"/>
      <c r="C994" s="163">
        <f>'Budget Detail FY 2013-18'!N329+'Budget Detail FY 2013-18'!N346+'Budget Detail FY 2013-18'!N363+'Budget Detail FY 2013-18'!N402+'Budget Detail FY 2013-18'!N418+'Budget Detail FY 2013-18'!N477+'Budget Detail FY 2013-18'!N519+'Budget Detail FY 2013-18'!N531+'Budget Detail FY 2013-18'!N577+'Budget Detail FY 2013-18'!N669+'Budget Detail FY 2013-18'!N762+'Budget Detail FY 2013-18'!N800+'Budget Detail FY 2013-18'!N1099+'Budget Detail FY 2013-18'!N1122+'Budget Detail FY 2013-18'!N1141</f>
        <v>17393522</v>
      </c>
      <c r="D994" s="163">
        <f>'Budget Detail FY 2013-18'!O329+'Budget Detail FY 2013-18'!O346+'Budget Detail FY 2013-18'!O363+'Budget Detail FY 2013-18'!O402+'Budget Detail FY 2013-18'!O418+'Budget Detail FY 2013-18'!O477+'Budget Detail FY 2013-18'!O519+'Budget Detail FY 2013-18'!O531+'Budget Detail FY 2013-18'!O577+'Budget Detail FY 2013-18'!O669+'Budget Detail FY 2013-18'!O762+'Budget Detail FY 2013-18'!O800+'Budget Detail FY 2013-18'!O1099+'Budget Detail FY 2013-18'!O1122+'Budget Detail FY 2013-18'!O1141</f>
        <v>18296070</v>
      </c>
      <c r="E994" s="163">
        <f>'Budget Detail FY 2013-18'!P329+'Budget Detail FY 2013-18'!P346+'Budget Detail FY 2013-18'!P363+'Budget Detail FY 2013-18'!P402+'Budget Detail FY 2013-18'!P418+'Budget Detail FY 2013-18'!P477+'Budget Detail FY 2013-18'!P519+'Budget Detail FY 2013-18'!P531+'Budget Detail FY 2013-18'!P577+'Budget Detail FY 2013-18'!P669+'Budget Detail FY 2013-18'!P762+'Budget Detail FY 2013-18'!P800+'Budget Detail FY 2013-18'!P1099+'Budget Detail FY 2013-18'!P1122+'Budget Detail FY 2013-18'!P1141</f>
        <v>19396439</v>
      </c>
      <c r="F994" s="163">
        <f>'Budget Detail FY 2013-18'!Q329+'Budget Detail FY 2013-18'!Q346+'Budget Detail FY 2013-18'!Q363+'Budget Detail FY 2013-18'!Q402+'Budget Detail FY 2013-18'!Q418+'Budget Detail FY 2013-18'!Q477+'Budget Detail FY 2013-18'!Q519+'Budget Detail FY 2013-18'!Q531+'Budget Detail FY 2013-18'!Q577+'Budget Detail FY 2013-18'!Q669+'Budget Detail FY 2013-18'!Q762+'Budget Detail FY 2013-18'!Q800+'Budget Detail FY 2013-18'!Q1099+'Budget Detail FY 2013-18'!Q1122+'Budget Detail FY 2013-18'!Q1141</f>
        <v>17892339</v>
      </c>
      <c r="G994" s="163">
        <f>'Budget Detail FY 2013-18'!R329+'Budget Detail FY 2013-18'!R346+'Budget Detail FY 2013-18'!R363+'Budget Detail FY 2013-18'!R402+'Budget Detail FY 2013-18'!R418+'Budget Detail FY 2013-18'!R477+'Budget Detail FY 2013-18'!R519+'Budget Detail FY 2013-18'!R531+'Budget Detail FY 2013-18'!R577+'Budget Detail FY 2013-18'!R669+'Budget Detail FY 2013-18'!R762+'Budget Detail FY 2013-18'!R800+'Budget Detail FY 2013-18'!R1099+'Budget Detail FY 2013-18'!R1122+'Budget Detail FY 2013-18'!R1141</f>
        <v>24790641</v>
      </c>
      <c r="H994" s="163">
        <f>'Budget Detail FY 2013-18'!S329+'Budget Detail FY 2013-18'!S346+'Budget Detail FY 2013-18'!S363+'Budget Detail FY 2013-18'!S402+'Budget Detail FY 2013-18'!S418+'Budget Detail FY 2013-18'!S477+'Budget Detail FY 2013-18'!S519+'Budget Detail FY 2013-18'!S531+'Budget Detail FY 2013-18'!S577+'Budget Detail FY 2013-18'!S669+'Budget Detail FY 2013-18'!S762+'Budget Detail FY 2013-18'!S800+'Budget Detail FY 2013-18'!S1099+'Budget Detail FY 2013-18'!S1122+'Budget Detail FY 2013-18'!S1141</f>
        <v>22465546</v>
      </c>
      <c r="I994" s="163">
        <f>'Budget Detail FY 2013-18'!T329+'Budget Detail FY 2013-18'!T346+'Budget Detail FY 2013-18'!T363+'Budget Detail FY 2013-18'!T402+'Budget Detail FY 2013-18'!T418+'Budget Detail FY 2013-18'!T477+'Budget Detail FY 2013-18'!T519+'Budget Detail FY 2013-18'!T531+'Budget Detail FY 2013-18'!T577+'Budget Detail FY 2013-18'!T669+'Budget Detail FY 2013-18'!T762+'Budget Detail FY 2013-18'!T800+'Budget Detail FY 2013-18'!T1099+'Budget Detail FY 2013-18'!T1122+'Budget Detail FY 2013-18'!T1141</f>
        <v>26324343</v>
      </c>
      <c r="J994" s="163">
        <f>'Budget Detail FY 2013-18'!U329+'Budget Detail FY 2013-18'!U346+'Budget Detail FY 2013-18'!U363+'Budget Detail FY 2013-18'!U402+'Budget Detail FY 2013-18'!U418+'Budget Detail FY 2013-18'!U477+'Budget Detail FY 2013-18'!U519+'Budget Detail FY 2013-18'!U531+'Budget Detail FY 2013-18'!U577+'Budget Detail FY 2013-18'!U669+'Budget Detail FY 2013-18'!U762+'Budget Detail FY 2013-18'!U800+'Budget Detail FY 2013-18'!U1099+'Budget Detail FY 2013-18'!U1122+'Budget Detail FY 2013-18'!U1141</f>
        <v>24978389</v>
      </c>
      <c r="K994" s="163">
        <f>'Budget Detail FY 2013-18'!V329+'Budget Detail FY 2013-18'!V346+'Budget Detail FY 2013-18'!V363+'Budget Detail FY 2013-18'!V402+'Budget Detail FY 2013-18'!V418+'Budget Detail FY 2013-18'!V477+'Budget Detail FY 2013-18'!V519+'Budget Detail FY 2013-18'!V531+'Budget Detail FY 2013-18'!V577+'Budget Detail FY 2013-18'!V669+'Budget Detail FY 2013-18'!V762+'Budget Detail FY 2013-18'!V800+'Budget Detail FY 2013-18'!V1099+'Budget Detail FY 2013-18'!V1122+'Budget Detail FY 2013-18'!V1141</f>
        <v>22325635</v>
      </c>
      <c r="L994" s="166" t="s">
        <v>1462</v>
      </c>
    </row>
    <row r="995" spans="1:12" s="158" customFormat="1" ht="15" hidden="1">
      <c r="A995" s="221"/>
      <c r="B995" s="197"/>
      <c r="C995" s="164">
        <f>C993-C994</f>
        <v>0</v>
      </c>
      <c r="D995" s="164">
        <f t="shared" ref="D995:K995" si="167">D993-D994</f>
        <v>0</v>
      </c>
      <c r="E995" s="164">
        <f t="shared" si="167"/>
        <v>0</v>
      </c>
      <c r="F995" s="164">
        <f t="shared" si="167"/>
        <v>0</v>
      </c>
      <c r="G995" s="164">
        <f t="shared" si="167"/>
        <v>0</v>
      </c>
      <c r="H995" s="164">
        <f t="shared" si="167"/>
        <v>0</v>
      </c>
      <c r="I995" s="164">
        <f t="shared" si="167"/>
        <v>0</v>
      </c>
      <c r="J995" s="164">
        <f t="shared" si="167"/>
        <v>0</v>
      </c>
      <c r="K995" s="164">
        <f t="shared" si="167"/>
        <v>0</v>
      </c>
      <c r="L995" s="167" t="s">
        <v>1463</v>
      </c>
    </row>
    <row r="996" spans="1:12" ht="7.5" customHeight="1">
      <c r="A996" s="1"/>
      <c r="B996" s="200"/>
      <c r="C996" s="3"/>
      <c r="D996" s="2"/>
      <c r="E996" s="2"/>
      <c r="F996" s="2"/>
      <c r="G996" s="2"/>
      <c r="H996" s="2"/>
      <c r="I996" s="2"/>
      <c r="J996" s="2"/>
      <c r="K996" s="2"/>
    </row>
    <row r="997" spans="1:12" ht="20.100000000000001" customHeight="1">
      <c r="A997" s="1"/>
      <c r="B997" s="189" t="s">
        <v>1065</v>
      </c>
      <c r="C997" s="3">
        <f>+C979-C993</f>
        <v>588088</v>
      </c>
      <c r="D997" s="3">
        <f t="shared" ref="D997:K997" si="168">+D979-D993</f>
        <v>2354707</v>
      </c>
      <c r="E997" s="3">
        <f t="shared" si="168"/>
        <v>137706</v>
      </c>
      <c r="F997" s="3">
        <f t="shared" si="168"/>
        <v>2296132</v>
      </c>
      <c r="G997" s="3">
        <f t="shared" si="168"/>
        <v>-2937184</v>
      </c>
      <c r="H997" s="3">
        <f t="shared" si="168"/>
        <v>2168025</v>
      </c>
      <c r="I997" s="3">
        <f t="shared" si="168"/>
        <v>-6036277</v>
      </c>
      <c r="J997" s="3">
        <f t="shared" si="168"/>
        <v>-3027645</v>
      </c>
      <c r="K997" s="3">
        <f t="shared" si="168"/>
        <v>-964451</v>
      </c>
    </row>
    <row r="998" spans="1:12" s="152" customFormat="1" ht="15" hidden="1">
      <c r="A998" s="220"/>
      <c r="B998" s="201"/>
      <c r="C998" s="163">
        <f>'Budget Detail FY 2013-18'!N331+'Budget Detail FY 2013-18'!N348+'Budget Detail FY 2013-18'!N365+'Budget Detail FY 2013-18'!N404+'Budget Detail FY 2013-18'!N420+'Budget Detail FY 2013-18'!N479+('Budget Detail FY 2013-18'!N511-'Budget Detail FY 2013-18'!N508-'Budget Detail FY 2013-18'!N504-'Budget Detail FY 2013-18'!N503-'Budget Detail FY 2013-18'!N494-'Budget Detail FY 2013-18'!N519-'Budget Detail FY 2013-18'!N531)+'Budget Detail FY 2013-18'!N579+'Budget Detail FY 2013-18'!N671+'Budget Detail FY 2013-18'!N764+'Budget Detail FY 2013-18'!N802+'Budget Detail FY 2013-18'!N1101+'Budget Detail FY 2013-18'!N1124+'Budget Detail FY 2013-18'!N1143</f>
        <v>588088</v>
      </c>
      <c r="D998" s="163">
        <f>'Budget Detail FY 2013-18'!O331+'Budget Detail FY 2013-18'!O348+'Budget Detail FY 2013-18'!O365+'Budget Detail FY 2013-18'!O404+'Budget Detail FY 2013-18'!O420+'Budget Detail FY 2013-18'!O479+('Budget Detail FY 2013-18'!O511-'Budget Detail FY 2013-18'!O508-'Budget Detail FY 2013-18'!O504-'Budget Detail FY 2013-18'!O503-'Budget Detail FY 2013-18'!O494-'Budget Detail FY 2013-18'!O519-'Budget Detail FY 2013-18'!O531)+'Budget Detail FY 2013-18'!O579+'Budget Detail FY 2013-18'!O671+'Budget Detail FY 2013-18'!O764+'Budget Detail FY 2013-18'!O802+'Budget Detail FY 2013-18'!O1101+'Budget Detail FY 2013-18'!O1124+'Budget Detail FY 2013-18'!O1143</f>
        <v>2354707</v>
      </c>
      <c r="E998" s="163">
        <f>'Budget Detail FY 2013-18'!P331+'Budget Detail FY 2013-18'!P348+'Budget Detail FY 2013-18'!P365+'Budget Detail FY 2013-18'!P404+'Budget Detail FY 2013-18'!P420+'Budget Detail FY 2013-18'!P479+('Budget Detail FY 2013-18'!P511-'Budget Detail FY 2013-18'!P508-'Budget Detail FY 2013-18'!P504-'Budget Detail FY 2013-18'!P503-'Budget Detail FY 2013-18'!P494-'Budget Detail FY 2013-18'!P519-'Budget Detail FY 2013-18'!P531)+'Budget Detail FY 2013-18'!P579+'Budget Detail FY 2013-18'!P671+'Budget Detail FY 2013-18'!P764+'Budget Detail FY 2013-18'!P802+'Budget Detail FY 2013-18'!P1101+'Budget Detail FY 2013-18'!P1124+'Budget Detail FY 2013-18'!P1143</f>
        <v>137706</v>
      </c>
      <c r="F998" s="163">
        <f>'Budget Detail FY 2013-18'!Q331+'Budget Detail FY 2013-18'!Q348+'Budget Detail FY 2013-18'!Q365+'Budget Detail FY 2013-18'!Q404+'Budget Detail FY 2013-18'!Q420+'Budget Detail FY 2013-18'!Q479+('Budget Detail FY 2013-18'!Q511-'Budget Detail FY 2013-18'!Q508-'Budget Detail FY 2013-18'!Q504-'Budget Detail FY 2013-18'!Q503-'Budget Detail FY 2013-18'!Q494-'Budget Detail FY 2013-18'!Q519-'Budget Detail FY 2013-18'!Q531)+'Budget Detail FY 2013-18'!Q579+'Budget Detail FY 2013-18'!Q671+'Budget Detail FY 2013-18'!Q764+'Budget Detail FY 2013-18'!Q802+'Budget Detail FY 2013-18'!Q1101+'Budget Detail FY 2013-18'!Q1124+'Budget Detail FY 2013-18'!Q1143</f>
        <v>2296132</v>
      </c>
      <c r="G998" s="163">
        <f>'Budget Detail FY 2013-18'!R331+'Budget Detail FY 2013-18'!R348+'Budget Detail FY 2013-18'!R365+'Budget Detail FY 2013-18'!R404+'Budget Detail FY 2013-18'!R420+'Budget Detail FY 2013-18'!R479+('Budget Detail FY 2013-18'!R511-'Budget Detail FY 2013-18'!R508-'Budget Detail FY 2013-18'!R504-'Budget Detail FY 2013-18'!R503-'Budget Detail FY 2013-18'!R494-'Budget Detail FY 2013-18'!R519-'Budget Detail FY 2013-18'!R531)+'Budget Detail FY 2013-18'!R579+'Budget Detail FY 2013-18'!R671+'Budget Detail FY 2013-18'!R764+'Budget Detail FY 2013-18'!R802+'Budget Detail FY 2013-18'!R1101+'Budget Detail FY 2013-18'!R1124+'Budget Detail FY 2013-18'!R1143</f>
        <v>-2937184</v>
      </c>
      <c r="H998" s="163">
        <f>'Budget Detail FY 2013-18'!S331+'Budget Detail FY 2013-18'!S348+'Budget Detail FY 2013-18'!S365+'Budget Detail FY 2013-18'!S404+'Budget Detail FY 2013-18'!S420+'Budget Detail FY 2013-18'!S479+('Budget Detail FY 2013-18'!S511-'Budget Detail FY 2013-18'!S508-'Budget Detail FY 2013-18'!S504-'Budget Detail FY 2013-18'!S503-'Budget Detail FY 2013-18'!S494-'Budget Detail FY 2013-18'!S519-'Budget Detail FY 2013-18'!S531)+'Budget Detail FY 2013-18'!S579+'Budget Detail FY 2013-18'!S671+'Budget Detail FY 2013-18'!S764+'Budget Detail FY 2013-18'!S802+'Budget Detail FY 2013-18'!S1101+'Budget Detail FY 2013-18'!S1124+'Budget Detail FY 2013-18'!S1143</f>
        <v>2168025</v>
      </c>
      <c r="I998" s="163">
        <f>'Budget Detail FY 2013-18'!T331+'Budget Detail FY 2013-18'!T348+'Budget Detail FY 2013-18'!T365+'Budget Detail FY 2013-18'!T404+'Budget Detail FY 2013-18'!T420+'Budget Detail FY 2013-18'!T479+('Budget Detail FY 2013-18'!T511-'Budget Detail FY 2013-18'!T508-'Budget Detail FY 2013-18'!T504-'Budget Detail FY 2013-18'!T503-'Budget Detail FY 2013-18'!T494-'Budget Detail FY 2013-18'!T519-'Budget Detail FY 2013-18'!T531)+'Budget Detail FY 2013-18'!T579+'Budget Detail FY 2013-18'!T671+'Budget Detail FY 2013-18'!T764+'Budget Detail FY 2013-18'!T802+'Budget Detail FY 2013-18'!T1101+'Budget Detail FY 2013-18'!T1124+'Budget Detail FY 2013-18'!T1143</f>
        <v>-6036277</v>
      </c>
      <c r="J998" s="163">
        <f>'Budget Detail FY 2013-18'!U331+'Budget Detail FY 2013-18'!U348+'Budget Detail FY 2013-18'!U365+'Budget Detail FY 2013-18'!U404+'Budget Detail FY 2013-18'!U420+'Budget Detail FY 2013-18'!U479+('Budget Detail FY 2013-18'!U511-'Budget Detail FY 2013-18'!U508-'Budget Detail FY 2013-18'!U504-'Budget Detail FY 2013-18'!U503-'Budget Detail FY 2013-18'!U494-'Budget Detail FY 2013-18'!U519-'Budget Detail FY 2013-18'!U531)+'Budget Detail FY 2013-18'!U579+'Budget Detail FY 2013-18'!U671+'Budget Detail FY 2013-18'!U764+'Budget Detail FY 2013-18'!U802+'Budget Detail FY 2013-18'!U1101+'Budget Detail FY 2013-18'!U1124+'Budget Detail FY 2013-18'!U1143</f>
        <v>-3027645</v>
      </c>
      <c r="K998" s="163">
        <f>'Budget Detail FY 2013-18'!V331+'Budget Detail FY 2013-18'!V348+'Budget Detail FY 2013-18'!V365+'Budget Detail FY 2013-18'!V404+'Budget Detail FY 2013-18'!V420+'Budget Detail FY 2013-18'!V479+('Budget Detail FY 2013-18'!V511-'Budget Detail FY 2013-18'!V508-'Budget Detail FY 2013-18'!V504-'Budget Detail FY 2013-18'!V503-'Budget Detail FY 2013-18'!V494-'Budget Detail FY 2013-18'!V519-'Budget Detail FY 2013-18'!V531)+'Budget Detail FY 2013-18'!V579+'Budget Detail FY 2013-18'!V671+'Budget Detail FY 2013-18'!V764+'Budget Detail FY 2013-18'!V802+'Budget Detail FY 2013-18'!V1101+'Budget Detail FY 2013-18'!V1124+'Budget Detail FY 2013-18'!V1143</f>
        <v>-964451</v>
      </c>
      <c r="L998" s="166" t="s">
        <v>1462</v>
      </c>
    </row>
    <row r="999" spans="1:12" s="158" customFormat="1" ht="15" hidden="1">
      <c r="A999" s="221"/>
      <c r="B999" s="202"/>
      <c r="C999" s="203">
        <f>C997-C998</f>
        <v>0</v>
      </c>
      <c r="D999" s="203">
        <f t="shared" ref="D999:K999" si="169">D997-D998</f>
        <v>0</v>
      </c>
      <c r="E999" s="203">
        <f t="shared" si="169"/>
        <v>0</v>
      </c>
      <c r="F999" s="203">
        <f t="shared" si="169"/>
        <v>0</v>
      </c>
      <c r="G999" s="203">
        <f t="shared" si="169"/>
        <v>0</v>
      </c>
      <c r="H999" s="203">
        <f t="shared" si="169"/>
        <v>0</v>
      </c>
      <c r="I999" s="203">
        <f t="shared" si="169"/>
        <v>0</v>
      </c>
      <c r="J999" s="203">
        <f t="shared" si="169"/>
        <v>0</v>
      </c>
      <c r="K999" s="203">
        <f t="shared" si="169"/>
        <v>0</v>
      </c>
      <c r="L999" s="167" t="s">
        <v>1463</v>
      </c>
    </row>
    <row r="1000" spans="1:12" ht="7.5" customHeight="1">
      <c r="A1000" s="1"/>
      <c r="B1000" s="204"/>
      <c r="C1000" s="3"/>
      <c r="D1000" s="2"/>
      <c r="E1000" s="2"/>
      <c r="F1000" s="2"/>
      <c r="G1000" s="2"/>
      <c r="H1000" s="2"/>
      <c r="I1000" s="2"/>
      <c r="J1000" s="2"/>
      <c r="K1000" s="2"/>
    </row>
    <row r="1001" spans="1:12" ht="20.100000000000001" customHeight="1" thickBot="1">
      <c r="A1001" s="1"/>
      <c r="B1001" s="191" t="s">
        <v>1066</v>
      </c>
      <c r="C1001" s="99">
        <v>5896901</v>
      </c>
      <c r="D1001" s="99">
        <v>8251614</v>
      </c>
      <c r="E1001" s="99">
        <v>6832127</v>
      </c>
      <c r="F1001" s="99">
        <f>D1001+F997</f>
        <v>10547746</v>
      </c>
      <c r="G1001" s="99">
        <f>F1001+G997</f>
        <v>7610562</v>
      </c>
      <c r="H1001" s="99">
        <f>G1001+H997</f>
        <v>9778587</v>
      </c>
      <c r="I1001" s="99">
        <f>H1001+I997</f>
        <v>3742310</v>
      </c>
      <c r="J1001" s="99">
        <f>I1001+J997</f>
        <v>714665</v>
      </c>
      <c r="K1001" s="99">
        <f>J1001+K997</f>
        <v>-249786</v>
      </c>
    </row>
    <row r="1002" spans="1:12" s="152" customFormat="1" ht="15.75" hidden="1" thickTop="1">
      <c r="A1002" s="220"/>
      <c r="B1002" s="195"/>
      <c r="C1002" s="163">
        <f>'Budget Detail FY 2013-18'!N333+'Budget Detail FY 2013-18'!N350+'Budget Detail FY 2013-18'!N367+'Budget Detail FY 2013-18'!N406+'Budget Detail FY 2013-18'!N422+'Budget Detail FY 2013-18'!N485+'Budget Detail FY 2013-18'!N548+'Budget Detail FY 2013-18'!N550+'Budget Detail FY 2013-18'!N581+'Budget Detail FY 2013-18'!N673+'Budget Detail FY 2013-18'!N766+'Budget Detail FY 2013-18'!N804+'Budget Detail FY 2013-18'!N1103+'Budget Detail FY 2013-18'!N1126+'Budget Detail FY 2013-18'!N1145</f>
        <v>5896901</v>
      </c>
      <c r="D1002" s="163">
        <f>'Budget Detail FY 2013-18'!O333+'Budget Detail FY 2013-18'!O350+'Budget Detail FY 2013-18'!O367+'Budget Detail FY 2013-18'!O406+'Budget Detail FY 2013-18'!O422+'Budget Detail FY 2013-18'!O485+'Budget Detail FY 2013-18'!O548+'Budget Detail FY 2013-18'!O550+'Budget Detail FY 2013-18'!O581+'Budget Detail FY 2013-18'!O673+'Budget Detail FY 2013-18'!O766+'Budget Detail FY 2013-18'!O804+'Budget Detail FY 2013-18'!O1103+'Budget Detail FY 2013-18'!O1126+'Budget Detail FY 2013-18'!O1145</f>
        <v>8251614</v>
      </c>
      <c r="E1002" s="163">
        <f>'Budget Detail FY 2013-18'!P333+'Budget Detail FY 2013-18'!P350+'Budget Detail FY 2013-18'!P367+'Budget Detail FY 2013-18'!P406+'Budget Detail FY 2013-18'!P422+'Budget Detail FY 2013-18'!P485+'Budget Detail FY 2013-18'!P548+'Budget Detail FY 2013-18'!P550+'Budget Detail FY 2013-18'!P581+'Budget Detail FY 2013-18'!P673+'Budget Detail FY 2013-18'!P766+'Budget Detail FY 2013-18'!P804+'Budget Detail FY 2013-18'!P1103+'Budget Detail FY 2013-18'!P1126+'Budget Detail FY 2013-18'!P1145</f>
        <v>6832127</v>
      </c>
      <c r="F1002" s="163">
        <f>'Budget Detail FY 2013-18'!Q333+'Budget Detail FY 2013-18'!Q350+'Budget Detail FY 2013-18'!Q367+'Budget Detail FY 2013-18'!Q406+'Budget Detail FY 2013-18'!Q422+'Budget Detail FY 2013-18'!Q485+'Budget Detail FY 2013-18'!Q548+'Budget Detail FY 2013-18'!Q550+'Budget Detail FY 2013-18'!Q581+'Budget Detail FY 2013-18'!Q673+'Budget Detail FY 2013-18'!Q766+'Budget Detail FY 2013-18'!Q804+'Budget Detail FY 2013-18'!Q1103+'Budget Detail FY 2013-18'!Q1126+'Budget Detail FY 2013-18'!Q1145</f>
        <v>10547746</v>
      </c>
      <c r="G1002" s="163">
        <f>'Budget Detail FY 2013-18'!R333+'Budget Detail FY 2013-18'!R350+'Budget Detail FY 2013-18'!R367+'Budget Detail FY 2013-18'!R406+'Budget Detail FY 2013-18'!R422+'Budget Detail FY 2013-18'!R485+'Budget Detail FY 2013-18'!R548+'Budget Detail FY 2013-18'!R550+'Budget Detail FY 2013-18'!R581+'Budget Detail FY 2013-18'!R673+'Budget Detail FY 2013-18'!R766+'Budget Detail FY 2013-18'!R804+'Budget Detail FY 2013-18'!R1103+'Budget Detail FY 2013-18'!R1126+'Budget Detail FY 2013-18'!R1145</f>
        <v>7610562</v>
      </c>
      <c r="H1002" s="163">
        <f>'Budget Detail FY 2013-18'!S333+'Budget Detail FY 2013-18'!S350+'Budget Detail FY 2013-18'!S367+'Budget Detail FY 2013-18'!S406+'Budget Detail FY 2013-18'!S422+'Budget Detail FY 2013-18'!S485+'Budget Detail FY 2013-18'!S548+'Budget Detail FY 2013-18'!S550+'Budget Detail FY 2013-18'!S581+'Budget Detail FY 2013-18'!S673+'Budget Detail FY 2013-18'!S766+'Budget Detail FY 2013-18'!S804+'Budget Detail FY 2013-18'!S1103+'Budget Detail FY 2013-18'!S1126+'Budget Detail FY 2013-18'!S1145</f>
        <v>9778587</v>
      </c>
      <c r="I1002" s="163">
        <f>'Budget Detail FY 2013-18'!T333+'Budget Detail FY 2013-18'!T350+'Budget Detail FY 2013-18'!T367+'Budget Detail FY 2013-18'!T406+'Budget Detail FY 2013-18'!T422+'Budget Detail FY 2013-18'!T485+'Budget Detail FY 2013-18'!T548+'Budget Detail FY 2013-18'!T550+'Budget Detail FY 2013-18'!T581+'Budget Detail FY 2013-18'!T673+'Budget Detail FY 2013-18'!T766+'Budget Detail FY 2013-18'!T804+'Budget Detail FY 2013-18'!T1103+'Budget Detail FY 2013-18'!T1126+'Budget Detail FY 2013-18'!T1145</f>
        <v>3742310</v>
      </c>
      <c r="J1002" s="163">
        <f>'Budget Detail FY 2013-18'!U333+'Budget Detail FY 2013-18'!U350+'Budget Detail FY 2013-18'!U367+'Budget Detail FY 2013-18'!U406+'Budget Detail FY 2013-18'!U422+'Budget Detail FY 2013-18'!U485+'Budget Detail FY 2013-18'!U548+'Budget Detail FY 2013-18'!U550+'Budget Detail FY 2013-18'!U581+'Budget Detail FY 2013-18'!U673+'Budget Detail FY 2013-18'!U766+'Budget Detail FY 2013-18'!U804+'Budget Detail FY 2013-18'!U1103+'Budget Detail FY 2013-18'!U1126+'Budget Detail FY 2013-18'!U1145</f>
        <v>714665</v>
      </c>
      <c r="K1002" s="163">
        <f>'Budget Detail FY 2013-18'!V333+'Budget Detail FY 2013-18'!V350+'Budget Detail FY 2013-18'!V367+'Budget Detail FY 2013-18'!V406+'Budget Detail FY 2013-18'!V422+'Budget Detail FY 2013-18'!V485+'Budget Detail FY 2013-18'!V548+'Budget Detail FY 2013-18'!V550+'Budget Detail FY 2013-18'!V581+'Budget Detail FY 2013-18'!V673+'Budget Detail FY 2013-18'!V766+'Budget Detail FY 2013-18'!V804+'Budget Detail FY 2013-18'!V1103+'Budget Detail FY 2013-18'!V1126+'Budget Detail FY 2013-18'!V1145</f>
        <v>-249786</v>
      </c>
      <c r="L1002" s="166" t="s">
        <v>1462</v>
      </c>
    </row>
    <row r="1003" spans="1:12" s="158" customFormat="1" ht="15" hidden="1">
      <c r="A1003" s="221"/>
      <c r="B1003" s="197"/>
      <c r="C1003" s="203">
        <f>C1001-C1002</f>
        <v>0</v>
      </c>
      <c r="D1003" s="203">
        <f t="shared" ref="D1003:K1003" si="170">D1001-D1002</f>
        <v>0</v>
      </c>
      <c r="E1003" s="203">
        <f t="shared" si="170"/>
        <v>0</v>
      </c>
      <c r="F1003" s="203">
        <f t="shared" si="170"/>
        <v>0</v>
      </c>
      <c r="G1003" s="203">
        <f t="shared" si="170"/>
        <v>0</v>
      </c>
      <c r="H1003" s="203">
        <f t="shared" si="170"/>
        <v>0</v>
      </c>
      <c r="I1003" s="203">
        <f t="shared" si="170"/>
        <v>0</v>
      </c>
      <c r="J1003" s="203">
        <f t="shared" si="170"/>
        <v>0</v>
      </c>
      <c r="K1003" s="203">
        <f t="shared" si="170"/>
        <v>0</v>
      </c>
      <c r="L1003" s="167" t="s">
        <v>1463</v>
      </c>
    </row>
    <row r="1004" spans="1:12" ht="15.75" thickTop="1">
      <c r="A1004" s="1"/>
      <c r="B1004" s="205"/>
      <c r="C1004" s="206">
        <f t="shared" ref="C1004:K1004" si="171">+C1001/C993</f>
        <v>0.33902857627109678</v>
      </c>
      <c r="D1004" s="206">
        <f t="shared" si="171"/>
        <v>0.45100472396531061</v>
      </c>
      <c r="E1004" s="206">
        <f t="shared" si="171"/>
        <v>0.35223615015106641</v>
      </c>
      <c r="F1004" s="206">
        <f t="shared" si="171"/>
        <v>0.58951185756093716</v>
      </c>
      <c r="G1004" s="206">
        <f t="shared" si="171"/>
        <v>0.30699335285440987</v>
      </c>
      <c r="H1004" s="206">
        <f t="shared" si="171"/>
        <v>0.43527039138065016</v>
      </c>
      <c r="I1004" s="206">
        <f t="shared" si="171"/>
        <v>0.14216157265539353</v>
      </c>
      <c r="J1004" s="206">
        <f t="shared" si="171"/>
        <v>2.8611332780508782E-2</v>
      </c>
      <c r="K1004" s="206">
        <f t="shared" si="171"/>
        <v>-1.1188304386414988E-2</v>
      </c>
    </row>
    <row r="1005" spans="1:12" ht="7.5" customHeight="1">
      <c r="A1005" s="1"/>
      <c r="B1005" s="205"/>
      <c r="C1005" s="2"/>
      <c r="D1005" s="2"/>
      <c r="E1005" s="2"/>
      <c r="F1005" s="2"/>
      <c r="G1005" s="2"/>
      <c r="H1005" s="2"/>
      <c r="I1005" s="2"/>
      <c r="J1005" s="2"/>
      <c r="K1005" s="2"/>
    </row>
    <row r="1006" spans="1:12" ht="15">
      <c r="A1006" s="1"/>
      <c r="B1006" s="1"/>
      <c r="C1006" s="2"/>
      <c r="D1006" s="2"/>
      <c r="E1006" s="2"/>
      <c r="F1006" s="2"/>
      <c r="G1006" s="2"/>
      <c r="H1006" s="2"/>
      <c r="I1006" s="2"/>
      <c r="J1006" s="2"/>
      <c r="K1006" s="2"/>
    </row>
    <row r="1007" spans="1:12" ht="15">
      <c r="A1007" s="1"/>
      <c r="B1007" s="1"/>
      <c r="C1007" s="2"/>
      <c r="D1007" s="2"/>
      <c r="E1007" s="2"/>
      <c r="F1007" s="2"/>
      <c r="G1007" s="2"/>
      <c r="H1007" s="2"/>
      <c r="I1007" s="2"/>
      <c r="J1007" s="2"/>
      <c r="K1007" s="2"/>
    </row>
    <row r="1008" spans="1:12" ht="15">
      <c r="A1008" s="1"/>
      <c r="B1008" s="1"/>
      <c r="C1008" s="2"/>
      <c r="D1008" s="2"/>
      <c r="E1008" s="2"/>
      <c r="F1008" s="2"/>
      <c r="G1008" s="2"/>
      <c r="H1008" s="2"/>
      <c r="I1008" s="2"/>
      <c r="J1008" s="2"/>
      <c r="K1008" s="2"/>
    </row>
    <row r="1009" spans="1:11" ht="15">
      <c r="A1009" s="1"/>
      <c r="B1009" s="1"/>
      <c r="C1009" s="2"/>
      <c r="D1009" s="2"/>
      <c r="E1009" s="2"/>
      <c r="F1009" s="2"/>
      <c r="G1009" s="2"/>
      <c r="H1009" s="2"/>
      <c r="I1009" s="2"/>
      <c r="J1009" s="2"/>
      <c r="K1009" s="2"/>
    </row>
    <row r="1010" spans="1:11" ht="15">
      <c r="A1010" s="1"/>
      <c r="B1010" s="1"/>
      <c r="C1010" s="2"/>
      <c r="D1010" s="2"/>
      <c r="E1010" s="2"/>
      <c r="F1010" s="2"/>
      <c r="G1010" s="2"/>
      <c r="H1010" s="2"/>
      <c r="I1010" s="2"/>
      <c r="J1010" s="2"/>
      <c r="K1010" s="2"/>
    </row>
    <row r="1011" spans="1:11" ht="15">
      <c r="A1011" s="1"/>
      <c r="B1011" s="1"/>
      <c r="C1011" s="2"/>
      <c r="D1011" s="2"/>
      <c r="E1011" s="2"/>
      <c r="F1011" s="2"/>
      <c r="G1011" s="2"/>
      <c r="H1011" s="2"/>
      <c r="I1011" s="2"/>
      <c r="J1011" s="2"/>
      <c r="K1011" s="2"/>
    </row>
    <row r="1012" spans="1:11" ht="15">
      <c r="A1012" s="1"/>
      <c r="B1012" s="1"/>
      <c r="C1012" s="2"/>
      <c r="D1012" s="2"/>
      <c r="E1012" s="2"/>
      <c r="F1012" s="2"/>
      <c r="G1012" s="2"/>
      <c r="H1012" s="2"/>
      <c r="I1012" s="2"/>
      <c r="J1012" s="2"/>
      <c r="K1012" s="2"/>
    </row>
    <row r="1013" spans="1:11" ht="15">
      <c r="A1013" s="1"/>
      <c r="B1013" s="1"/>
      <c r="C1013" s="2"/>
      <c r="D1013" s="2"/>
      <c r="E1013" s="2"/>
      <c r="F1013" s="2"/>
      <c r="G1013" s="2"/>
      <c r="H1013" s="2"/>
      <c r="I1013" s="2"/>
      <c r="J1013" s="2"/>
      <c r="K1013" s="2"/>
    </row>
    <row r="1014" spans="1:11" ht="15">
      <c r="A1014" s="1"/>
      <c r="B1014" s="1"/>
      <c r="C1014" s="2"/>
      <c r="D1014" s="2"/>
      <c r="E1014" s="2"/>
      <c r="F1014" s="2"/>
      <c r="G1014" s="2"/>
      <c r="H1014" s="2"/>
      <c r="I1014" s="2"/>
      <c r="J1014" s="2"/>
      <c r="K1014" s="2"/>
    </row>
    <row r="1015" spans="1:11" ht="15">
      <c r="A1015" s="1"/>
      <c r="B1015" s="1"/>
      <c r="C1015" s="2"/>
      <c r="D1015" s="2"/>
      <c r="E1015" s="2"/>
      <c r="F1015" s="2"/>
      <c r="G1015" s="2"/>
      <c r="H1015" s="2"/>
      <c r="I1015" s="2"/>
      <c r="J1015" s="2"/>
      <c r="K1015" s="2"/>
    </row>
    <row r="1016" spans="1:11">
      <c r="A1016" s="190"/>
      <c r="B1016" s="190"/>
      <c r="C1016" s="207"/>
      <c r="D1016" s="207"/>
      <c r="E1016" s="208"/>
      <c r="F1016" s="208"/>
      <c r="G1016" s="208"/>
      <c r="H1016" s="208"/>
      <c r="I1016" s="208"/>
      <c r="J1016" s="208"/>
      <c r="K1016" s="208"/>
    </row>
    <row r="1017" spans="1:11">
      <c r="A1017" s="190"/>
      <c r="B1017" s="190"/>
      <c r="C1017" s="207"/>
      <c r="D1017" s="207"/>
      <c r="E1017" s="208"/>
      <c r="F1017" s="208"/>
      <c r="G1017" s="208"/>
      <c r="H1017" s="208"/>
      <c r="I1017" s="208"/>
      <c r="J1017" s="208"/>
      <c r="K1017" s="208"/>
    </row>
    <row r="1018" spans="1:11" ht="18.75">
      <c r="A1018" s="190"/>
      <c r="B1018" s="523" t="s">
        <v>1431</v>
      </c>
      <c r="C1018" s="523"/>
      <c r="D1018" s="523"/>
      <c r="E1018" s="523"/>
      <c r="F1018" s="523"/>
      <c r="G1018" s="523"/>
      <c r="H1018" s="523"/>
      <c r="I1018" s="523"/>
      <c r="J1018" s="523"/>
      <c r="K1018" s="523"/>
    </row>
    <row r="1019" spans="1:11" ht="7.5" customHeight="1">
      <c r="A1019" s="190"/>
      <c r="B1019" s="80"/>
      <c r="C1019" s="3"/>
      <c r="D1019" s="2"/>
      <c r="E1019" s="2"/>
      <c r="F1019" s="2"/>
      <c r="G1019" s="2"/>
      <c r="H1019" s="2"/>
      <c r="I1019" s="2"/>
      <c r="J1019" s="2"/>
      <c r="K1019" s="2"/>
    </row>
    <row r="1020" spans="1:11">
      <c r="A1020" s="190"/>
      <c r="B1020" s="529" t="s">
        <v>1437</v>
      </c>
      <c r="C1020" s="529"/>
      <c r="D1020" s="529"/>
      <c r="E1020" s="529"/>
      <c r="F1020" s="529"/>
      <c r="G1020" s="529"/>
      <c r="H1020" s="529"/>
      <c r="I1020" s="529"/>
      <c r="J1020" s="529"/>
      <c r="K1020" s="529"/>
    </row>
    <row r="1021" spans="1:11">
      <c r="A1021" s="190"/>
      <c r="B1021" s="529"/>
      <c r="C1021" s="529"/>
      <c r="D1021" s="529"/>
      <c r="E1021" s="529"/>
      <c r="F1021" s="529"/>
      <c r="G1021" s="529"/>
      <c r="H1021" s="529"/>
      <c r="I1021" s="529"/>
      <c r="J1021" s="529"/>
      <c r="K1021" s="529"/>
    </row>
    <row r="1022" spans="1:11">
      <c r="A1022" s="190"/>
      <c r="B1022" s="529"/>
      <c r="C1022" s="529"/>
      <c r="D1022" s="529"/>
      <c r="E1022" s="529"/>
      <c r="F1022" s="529"/>
      <c r="G1022" s="529"/>
      <c r="H1022" s="529"/>
      <c r="I1022" s="529"/>
      <c r="J1022" s="529"/>
      <c r="K1022" s="529"/>
    </row>
    <row r="1023" spans="1:11" ht="7.5" customHeight="1">
      <c r="A1023" s="190"/>
      <c r="B1023" s="187"/>
      <c r="C1023" s="187"/>
      <c r="D1023" s="187"/>
      <c r="E1023" s="187"/>
      <c r="F1023" s="187"/>
      <c r="G1023" s="187"/>
      <c r="H1023" s="187"/>
      <c r="I1023" s="187"/>
      <c r="J1023" s="187"/>
      <c r="K1023" s="187"/>
    </row>
    <row r="1024" spans="1:11" ht="15">
      <c r="A1024" s="190"/>
      <c r="B1024" s="5"/>
      <c r="C1024" s="80"/>
      <c r="D1024" s="81"/>
      <c r="E1024" s="80" t="s">
        <v>312</v>
      </c>
      <c r="F1024" s="1"/>
      <c r="G1024" s="1"/>
      <c r="H1024" s="1"/>
      <c r="I1024" s="1"/>
      <c r="J1024" s="1"/>
      <c r="K1024" s="1"/>
    </row>
    <row r="1025" spans="1:12" ht="15">
      <c r="A1025" s="190"/>
      <c r="B1025" s="81"/>
      <c r="C1025" s="80" t="s">
        <v>23</v>
      </c>
      <c r="D1025" s="104" t="s">
        <v>253</v>
      </c>
      <c r="E1025" s="81" t="s">
        <v>1045</v>
      </c>
      <c r="F1025" s="81" t="s">
        <v>312</v>
      </c>
      <c r="G1025" s="81" t="s">
        <v>313</v>
      </c>
      <c r="H1025" s="81" t="s">
        <v>329</v>
      </c>
      <c r="I1025" s="81" t="s">
        <v>332</v>
      </c>
      <c r="J1025" s="81" t="s">
        <v>333</v>
      </c>
      <c r="K1025" s="81" t="s">
        <v>1224</v>
      </c>
    </row>
    <row r="1026" spans="1:12" ht="15.75" thickBot="1">
      <c r="A1026" s="190"/>
      <c r="B1026" s="209"/>
      <c r="C1026" s="83" t="s">
        <v>1</v>
      </c>
      <c r="D1026" s="83" t="s">
        <v>1</v>
      </c>
      <c r="E1026" s="83" t="s">
        <v>987</v>
      </c>
      <c r="F1026" s="83" t="s">
        <v>24</v>
      </c>
      <c r="G1026" s="83" t="s">
        <v>1045</v>
      </c>
      <c r="H1026" s="83" t="s">
        <v>24</v>
      </c>
      <c r="I1026" s="83" t="s">
        <v>24</v>
      </c>
      <c r="J1026" s="83" t="s">
        <v>24</v>
      </c>
      <c r="K1026" s="83" t="s">
        <v>24</v>
      </c>
    </row>
    <row r="1027" spans="1:12" ht="7.5" customHeight="1">
      <c r="A1027" s="190"/>
      <c r="B1027" s="79"/>
      <c r="C1027" s="210"/>
      <c r="D1027" s="2"/>
      <c r="E1027" s="2"/>
      <c r="F1027" s="2"/>
      <c r="G1027" s="2"/>
      <c r="H1027" s="2"/>
      <c r="I1027" s="2"/>
      <c r="J1027" s="2"/>
      <c r="K1027" s="2"/>
    </row>
    <row r="1028" spans="1:12" ht="15">
      <c r="A1028" s="190"/>
      <c r="B1028" s="198" t="s">
        <v>1046</v>
      </c>
      <c r="C1028" s="2"/>
      <c r="D1028" s="2"/>
      <c r="E1028" s="2"/>
      <c r="F1028" s="2"/>
      <c r="G1028" s="2"/>
      <c r="H1028" s="2"/>
      <c r="I1028" s="2"/>
      <c r="J1028" s="2"/>
      <c r="K1028" s="2"/>
    </row>
    <row r="1029" spans="1:12" ht="20.100000000000001" customHeight="1">
      <c r="A1029" s="190"/>
      <c r="B1029" s="192" t="s">
        <v>1047</v>
      </c>
      <c r="C1029" s="2">
        <f>C686+C744</f>
        <v>1252191</v>
      </c>
      <c r="D1029" s="2">
        <f t="shared" ref="D1029:K1029" si="172">D686+D744</f>
        <v>1411315</v>
      </c>
      <c r="E1029" s="2">
        <f t="shared" si="172"/>
        <v>1502988</v>
      </c>
      <c r="F1029" s="2">
        <f t="shared" si="172"/>
        <v>1483545</v>
      </c>
      <c r="G1029" s="2">
        <f t="shared" si="172"/>
        <v>1442178</v>
      </c>
      <c r="H1029" s="2">
        <f t="shared" si="172"/>
        <v>1430288</v>
      </c>
      <c r="I1029" s="2">
        <f t="shared" si="172"/>
        <v>1443513</v>
      </c>
      <c r="J1029" s="2">
        <f t="shared" si="172"/>
        <v>1451238</v>
      </c>
      <c r="K1029" s="2">
        <f t="shared" si="172"/>
        <v>1478563</v>
      </c>
    </row>
    <row r="1030" spans="1:12" ht="20.100000000000001" customHeight="1">
      <c r="A1030" s="190"/>
      <c r="B1030" s="192" t="s">
        <v>1048</v>
      </c>
      <c r="C1030" s="2">
        <f>C687</f>
        <v>24410</v>
      </c>
      <c r="D1030" s="2">
        <f t="shared" ref="D1030:K1030" si="173">D687</f>
        <v>22212</v>
      </c>
      <c r="E1030" s="2">
        <f t="shared" si="173"/>
        <v>22200</v>
      </c>
      <c r="F1030" s="2">
        <f t="shared" si="173"/>
        <v>23852</v>
      </c>
      <c r="G1030" s="2">
        <f t="shared" si="173"/>
        <v>22200</v>
      </c>
      <c r="H1030" s="2">
        <f t="shared" si="173"/>
        <v>22200</v>
      </c>
      <c r="I1030" s="2">
        <f t="shared" si="173"/>
        <v>22200</v>
      </c>
      <c r="J1030" s="2">
        <f t="shared" si="173"/>
        <v>22200</v>
      </c>
      <c r="K1030" s="2">
        <f t="shared" si="173"/>
        <v>22200</v>
      </c>
    </row>
    <row r="1031" spans="1:12" ht="20.100000000000001" customHeight="1">
      <c r="A1031" s="190"/>
      <c r="B1031" s="5" t="s">
        <v>1049</v>
      </c>
      <c r="C1031" s="2">
        <f>C688+C789</f>
        <v>17650</v>
      </c>
      <c r="D1031" s="2">
        <f t="shared" ref="D1031:K1031" si="174">D688+D789</f>
        <v>22350</v>
      </c>
      <c r="E1031" s="2">
        <f t="shared" si="174"/>
        <v>16250</v>
      </c>
      <c r="F1031" s="2">
        <f t="shared" si="174"/>
        <v>30000</v>
      </c>
      <c r="G1031" s="2">
        <f t="shared" si="174"/>
        <v>20000</v>
      </c>
      <c r="H1031" s="2">
        <f t="shared" si="174"/>
        <v>20000</v>
      </c>
      <c r="I1031" s="2">
        <f t="shared" si="174"/>
        <v>20000</v>
      </c>
      <c r="J1031" s="2">
        <f t="shared" si="174"/>
        <v>20000</v>
      </c>
      <c r="K1031" s="2">
        <f t="shared" si="174"/>
        <v>20000</v>
      </c>
    </row>
    <row r="1032" spans="1:12" ht="20.100000000000001" customHeight="1">
      <c r="A1032" s="190"/>
      <c r="B1032" s="5" t="s">
        <v>1050</v>
      </c>
      <c r="C1032" s="2">
        <f>C689</f>
        <v>14161</v>
      </c>
      <c r="D1032" s="2">
        <f t="shared" ref="D1032:K1032" si="175">D689</f>
        <v>12864</v>
      </c>
      <c r="E1032" s="2">
        <f t="shared" si="175"/>
        <v>13000</v>
      </c>
      <c r="F1032" s="2">
        <f t="shared" si="175"/>
        <v>9300</v>
      </c>
      <c r="G1032" s="2">
        <f t="shared" si="175"/>
        <v>9300</v>
      </c>
      <c r="H1032" s="2">
        <f t="shared" si="175"/>
        <v>9300</v>
      </c>
      <c r="I1032" s="2">
        <f t="shared" si="175"/>
        <v>9300</v>
      </c>
      <c r="J1032" s="2">
        <f t="shared" si="175"/>
        <v>9300</v>
      </c>
      <c r="K1032" s="2">
        <f t="shared" si="175"/>
        <v>9300</v>
      </c>
    </row>
    <row r="1033" spans="1:12" ht="20.100000000000001" customHeight="1">
      <c r="A1033" s="190"/>
      <c r="B1033" s="5" t="s">
        <v>1051</v>
      </c>
      <c r="C1033" s="2">
        <f>C690</f>
        <v>17117</v>
      </c>
      <c r="D1033" s="2">
        <f t="shared" ref="D1033:K1033" si="176">D690</f>
        <v>15368</v>
      </c>
      <c r="E1033" s="2">
        <f t="shared" si="176"/>
        <v>17000</v>
      </c>
      <c r="F1033" s="2">
        <f t="shared" si="176"/>
        <v>13450</v>
      </c>
      <c r="G1033" s="2">
        <f t="shared" si="176"/>
        <v>14000</v>
      </c>
      <c r="H1033" s="2">
        <f t="shared" si="176"/>
        <v>14000</v>
      </c>
      <c r="I1033" s="2">
        <f t="shared" si="176"/>
        <v>14000</v>
      </c>
      <c r="J1033" s="2">
        <f t="shared" si="176"/>
        <v>14000</v>
      </c>
      <c r="K1033" s="2">
        <f t="shared" si="176"/>
        <v>14000</v>
      </c>
    </row>
    <row r="1034" spans="1:12" ht="20.100000000000001" customHeight="1">
      <c r="A1034" s="190"/>
      <c r="B1034" s="5" t="s">
        <v>1052</v>
      </c>
      <c r="C1034" s="2">
        <f>C691+C745+C790</f>
        <v>690</v>
      </c>
      <c r="D1034" s="2">
        <f t="shared" ref="D1034:K1034" si="177">D691+D745+D790</f>
        <v>604</v>
      </c>
      <c r="E1034" s="2">
        <f t="shared" si="177"/>
        <v>550</v>
      </c>
      <c r="F1034" s="2">
        <f t="shared" si="177"/>
        <v>1470</v>
      </c>
      <c r="G1034" s="2">
        <f t="shared" si="177"/>
        <v>1520</v>
      </c>
      <c r="H1034" s="2">
        <f t="shared" si="177"/>
        <v>1520</v>
      </c>
      <c r="I1034" s="2">
        <f t="shared" si="177"/>
        <v>1720</v>
      </c>
      <c r="J1034" s="2">
        <f t="shared" si="177"/>
        <v>1720</v>
      </c>
      <c r="K1034" s="2">
        <f t="shared" si="177"/>
        <v>1720</v>
      </c>
    </row>
    <row r="1035" spans="1:12" ht="20.100000000000001" customHeight="1">
      <c r="A1035" s="190"/>
      <c r="B1035" s="5" t="s">
        <v>1053</v>
      </c>
      <c r="C1035" s="2">
        <f>C692</f>
        <v>0</v>
      </c>
      <c r="D1035" s="2">
        <f t="shared" ref="D1035:K1035" si="178">D692</f>
        <v>0</v>
      </c>
      <c r="E1035" s="2">
        <f t="shared" si="178"/>
        <v>7306</v>
      </c>
      <c r="F1035" s="2">
        <f t="shared" si="178"/>
        <v>9396</v>
      </c>
      <c r="G1035" s="2">
        <f t="shared" si="178"/>
        <v>0</v>
      </c>
      <c r="H1035" s="2">
        <f t="shared" si="178"/>
        <v>0</v>
      </c>
      <c r="I1035" s="2">
        <f t="shared" si="178"/>
        <v>0</v>
      </c>
      <c r="J1035" s="2">
        <f t="shared" si="178"/>
        <v>0</v>
      </c>
      <c r="K1035" s="2">
        <f t="shared" si="178"/>
        <v>0</v>
      </c>
    </row>
    <row r="1036" spans="1:12" ht="20.100000000000001" customHeight="1">
      <c r="A1036" s="190"/>
      <c r="B1036" s="5" t="s">
        <v>1054</v>
      </c>
      <c r="C1036" s="2">
        <f>C693</f>
        <v>7823</v>
      </c>
      <c r="D1036" s="2">
        <f t="shared" ref="D1036:K1036" si="179">D693</f>
        <v>15045</v>
      </c>
      <c r="E1036" s="2">
        <f t="shared" si="179"/>
        <v>8500</v>
      </c>
      <c r="F1036" s="2">
        <f t="shared" si="179"/>
        <v>8940</v>
      </c>
      <c r="G1036" s="2">
        <f t="shared" si="179"/>
        <v>9250</v>
      </c>
      <c r="H1036" s="2">
        <f t="shared" si="179"/>
        <v>9250</v>
      </c>
      <c r="I1036" s="2">
        <f t="shared" si="179"/>
        <v>9250</v>
      </c>
      <c r="J1036" s="2">
        <f t="shared" si="179"/>
        <v>9250</v>
      </c>
      <c r="K1036" s="2">
        <f t="shared" si="179"/>
        <v>9250</v>
      </c>
    </row>
    <row r="1037" spans="1:12" ht="20.100000000000001" customHeight="1">
      <c r="A1037" s="190"/>
      <c r="B1037" s="205" t="s">
        <v>1055</v>
      </c>
      <c r="C1037" s="2">
        <f>C694+C746+C791</f>
        <v>0</v>
      </c>
      <c r="D1037" s="2">
        <f t="shared" ref="D1037:K1037" si="180">D694+D746+D791</f>
        <v>665019</v>
      </c>
      <c r="E1037" s="2">
        <f t="shared" si="180"/>
        <v>43489</v>
      </c>
      <c r="F1037" s="2">
        <f t="shared" si="180"/>
        <v>35469</v>
      </c>
      <c r="G1037" s="2">
        <f t="shared" si="180"/>
        <v>52174</v>
      </c>
      <c r="H1037" s="2">
        <f t="shared" si="180"/>
        <v>32375</v>
      </c>
      <c r="I1037" s="2">
        <f t="shared" si="180"/>
        <v>34168</v>
      </c>
      <c r="J1037" s="2">
        <f t="shared" si="180"/>
        <v>36068</v>
      </c>
      <c r="K1037" s="2">
        <f t="shared" si="180"/>
        <v>38082</v>
      </c>
    </row>
    <row r="1038" spans="1:12" ht="20.100000000000001" customHeight="1" thickBot="1">
      <c r="A1038" s="190"/>
      <c r="B1038" s="193" t="s">
        <v>1056</v>
      </c>
      <c r="C1038" s="188">
        <f t="shared" ref="C1038:K1038" si="181">SUM(C1029:C1037)</f>
        <v>1334042</v>
      </c>
      <c r="D1038" s="188">
        <f t="shared" si="181"/>
        <v>2164777</v>
      </c>
      <c r="E1038" s="188">
        <f t="shared" si="181"/>
        <v>1631283</v>
      </c>
      <c r="F1038" s="188">
        <f t="shared" si="181"/>
        <v>1615422</v>
      </c>
      <c r="G1038" s="188">
        <f t="shared" si="181"/>
        <v>1570622</v>
      </c>
      <c r="H1038" s="188">
        <f t="shared" si="181"/>
        <v>1538933</v>
      </c>
      <c r="I1038" s="188">
        <f t="shared" si="181"/>
        <v>1554151</v>
      </c>
      <c r="J1038" s="188">
        <f t="shared" si="181"/>
        <v>1563776</v>
      </c>
      <c r="K1038" s="188">
        <f t="shared" si="181"/>
        <v>1593115</v>
      </c>
    </row>
    <row r="1039" spans="1:12" s="152" customFormat="1" ht="15" hidden="1">
      <c r="A1039" s="194"/>
      <c r="B1039" s="195"/>
      <c r="C1039" s="163">
        <f>'Budget Detail FY 2013-18'!N978+'Budget Detail FY 2013-18'!N1042+'Budget Detail FY 2013-18'!N1066</f>
        <v>1334042</v>
      </c>
      <c r="D1039" s="163">
        <f>'Budget Detail FY 2013-18'!O978+'Budget Detail FY 2013-18'!O1042+'Budget Detail FY 2013-18'!O1066</f>
        <v>2164777</v>
      </c>
      <c r="E1039" s="163">
        <f>'Budget Detail FY 2013-18'!P978+'Budget Detail FY 2013-18'!P1042+'Budget Detail FY 2013-18'!P1066</f>
        <v>1631283</v>
      </c>
      <c r="F1039" s="163">
        <f>'Budget Detail FY 2013-18'!Q978+'Budget Detail FY 2013-18'!Q1042+'Budget Detail FY 2013-18'!Q1066</f>
        <v>1615422</v>
      </c>
      <c r="G1039" s="163">
        <f>'Budget Detail FY 2013-18'!R978+'Budget Detail FY 2013-18'!R1042+'Budget Detail FY 2013-18'!R1066</f>
        <v>1570622</v>
      </c>
      <c r="H1039" s="163">
        <f>'Budget Detail FY 2013-18'!S978+'Budget Detail FY 2013-18'!S1042+'Budget Detail FY 2013-18'!S1066</f>
        <v>1538933</v>
      </c>
      <c r="I1039" s="163">
        <f>'Budget Detail FY 2013-18'!T978+'Budget Detail FY 2013-18'!T1042+'Budget Detail FY 2013-18'!T1066</f>
        <v>1554151</v>
      </c>
      <c r="J1039" s="163">
        <f>'Budget Detail FY 2013-18'!U978+'Budget Detail FY 2013-18'!U1042+'Budget Detail FY 2013-18'!U1066</f>
        <v>1563776</v>
      </c>
      <c r="K1039" s="163">
        <f>'Budget Detail FY 2013-18'!V978+'Budget Detail FY 2013-18'!V1042+'Budget Detail FY 2013-18'!V1066</f>
        <v>1593115</v>
      </c>
      <c r="L1039" s="166" t="s">
        <v>1462</v>
      </c>
    </row>
    <row r="1040" spans="1:12" s="158" customFormat="1" ht="15" hidden="1">
      <c r="A1040" s="196"/>
      <c r="B1040" s="197"/>
      <c r="C1040" s="203">
        <f>C1038-C1039</f>
        <v>0</v>
      </c>
      <c r="D1040" s="203">
        <f t="shared" ref="D1040:K1040" si="182">D1038-D1039</f>
        <v>0</v>
      </c>
      <c r="E1040" s="203">
        <f t="shared" si="182"/>
        <v>0</v>
      </c>
      <c r="F1040" s="203">
        <f t="shared" si="182"/>
        <v>0</v>
      </c>
      <c r="G1040" s="203">
        <f t="shared" si="182"/>
        <v>0</v>
      </c>
      <c r="H1040" s="203">
        <f t="shared" si="182"/>
        <v>0</v>
      </c>
      <c r="I1040" s="203">
        <f t="shared" si="182"/>
        <v>0</v>
      </c>
      <c r="J1040" s="203">
        <f t="shared" si="182"/>
        <v>0</v>
      </c>
      <c r="K1040" s="203">
        <f t="shared" si="182"/>
        <v>0</v>
      </c>
      <c r="L1040" s="167" t="s">
        <v>1463</v>
      </c>
    </row>
    <row r="1041" spans="1:12" ht="7.5" customHeight="1">
      <c r="A1041" s="190"/>
      <c r="B1041" s="1"/>
      <c r="C1041" s="2"/>
      <c r="D1041" s="2"/>
      <c r="E1041" s="2"/>
      <c r="F1041" s="2"/>
      <c r="G1041" s="2"/>
      <c r="H1041" s="2"/>
      <c r="I1041" s="2"/>
      <c r="J1041" s="2"/>
      <c r="K1041" s="2"/>
    </row>
    <row r="1042" spans="1:12" ht="15">
      <c r="A1042" s="190"/>
      <c r="B1042" s="198" t="s">
        <v>761</v>
      </c>
      <c r="C1042" s="2"/>
      <c r="D1042" s="2"/>
      <c r="E1042" s="2"/>
      <c r="F1042" s="2"/>
      <c r="G1042" s="2"/>
      <c r="H1042" s="2"/>
      <c r="I1042" s="2"/>
      <c r="J1042" s="2"/>
      <c r="K1042" s="2"/>
    </row>
    <row r="1043" spans="1:12" ht="20.100000000000001" customHeight="1">
      <c r="A1043" s="190"/>
      <c r="B1043" s="199" t="s">
        <v>1057</v>
      </c>
      <c r="C1043" s="2">
        <f>C700</f>
        <v>501353</v>
      </c>
      <c r="D1043" s="2">
        <f t="shared" ref="D1043:K1043" si="183">D700</f>
        <v>432008</v>
      </c>
      <c r="E1043" s="2">
        <f t="shared" si="183"/>
        <v>440000</v>
      </c>
      <c r="F1043" s="2">
        <f t="shared" si="183"/>
        <v>440000</v>
      </c>
      <c r="G1043" s="2">
        <f t="shared" si="183"/>
        <v>447540</v>
      </c>
      <c r="H1043" s="2">
        <f t="shared" si="183"/>
        <v>447540</v>
      </c>
      <c r="I1043" s="2">
        <f t="shared" si="183"/>
        <v>447540</v>
      </c>
      <c r="J1043" s="2">
        <f t="shared" si="183"/>
        <v>447540</v>
      </c>
      <c r="K1043" s="2">
        <f t="shared" si="183"/>
        <v>447540</v>
      </c>
    </row>
    <row r="1044" spans="1:12" ht="20.100000000000001" customHeight="1">
      <c r="A1044" s="190"/>
      <c r="B1044" s="199" t="s">
        <v>1058</v>
      </c>
      <c r="C1044" s="2">
        <f>C701</f>
        <v>143220</v>
      </c>
      <c r="D1044" s="2">
        <f t="shared" ref="D1044:K1044" si="184">D701</f>
        <v>149612</v>
      </c>
      <c r="E1044" s="2">
        <f t="shared" si="184"/>
        <v>218553</v>
      </c>
      <c r="F1044" s="2">
        <f t="shared" si="184"/>
        <v>200412</v>
      </c>
      <c r="G1044" s="2">
        <f t="shared" si="184"/>
        <v>193524</v>
      </c>
      <c r="H1044" s="2">
        <f t="shared" si="184"/>
        <v>205290</v>
      </c>
      <c r="I1044" s="2">
        <f t="shared" si="184"/>
        <v>218163</v>
      </c>
      <c r="J1044" s="2">
        <f t="shared" si="184"/>
        <v>227380</v>
      </c>
      <c r="K1044" s="2">
        <f t="shared" si="184"/>
        <v>237148</v>
      </c>
    </row>
    <row r="1045" spans="1:12" ht="20.100000000000001" customHeight="1">
      <c r="A1045" s="190"/>
      <c r="B1045" s="199" t="s">
        <v>1059</v>
      </c>
      <c r="C1045" s="2">
        <f>C702+C797</f>
        <v>149678</v>
      </c>
      <c r="D1045" s="2">
        <f t="shared" ref="D1045:K1045" si="185">D702+D797</f>
        <v>88124</v>
      </c>
      <c r="E1045" s="2">
        <f t="shared" si="185"/>
        <v>111599</v>
      </c>
      <c r="F1045" s="2">
        <f t="shared" si="185"/>
        <v>111649</v>
      </c>
      <c r="G1045" s="2">
        <f t="shared" si="185"/>
        <v>112549</v>
      </c>
      <c r="H1045" s="2">
        <f t="shared" si="185"/>
        <v>113179</v>
      </c>
      <c r="I1045" s="2">
        <f t="shared" si="185"/>
        <v>113841</v>
      </c>
      <c r="J1045" s="2">
        <f t="shared" si="185"/>
        <v>114535</v>
      </c>
      <c r="K1045" s="2">
        <f t="shared" si="185"/>
        <v>115264</v>
      </c>
    </row>
    <row r="1046" spans="1:12" ht="20.100000000000001" customHeight="1">
      <c r="A1046" s="190"/>
      <c r="B1046" s="199" t="s">
        <v>1060</v>
      </c>
      <c r="C1046" s="2">
        <f>C703+C798</f>
        <v>180831</v>
      </c>
      <c r="D1046" s="2">
        <f t="shared" ref="D1046:K1046" si="186">D703+D798</f>
        <v>21623</v>
      </c>
      <c r="E1046" s="2">
        <f t="shared" si="186"/>
        <v>35224</v>
      </c>
      <c r="F1046" s="2">
        <f t="shared" si="186"/>
        <v>37224</v>
      </c>
      <c r="G1046" s="2">
        <f t="shared" si="186"/>
        <v>56600</v>
      </c>
      <c r="H1046" s="2">
        <f t="shared" si="186"/>
        <v>37770</v>
      </c>
      <c r="I1046" s="2">
        <f t="shared" si="186"/>
        <v>37770</v>
      </c>
      <c r="J1046" s="2">
        <f t="shared" si="186"/>
        <v>37770</v>
      </c>
      <c r="K1046" s="2">
        <f t="shared" si="186"/>
        <v>37770</v>
      </c>
    </row>
    <row r="1047" spans="1:12" ht="20.100000000000001" customHeight="1">
      <c r="A1047" s="190"/>
      <c r="B1047" s="205" t="s">
        <v>1062</v>
      </c>
      <c r="C1047" s="2">
        <f>C704</f>
        <v>6705</v>
      </c>
      <c r="D1047" s="2">
        <f t="shared" ref="D1047:K1047" si="187">D704</f>
        <v>158</v>
      </c>
      <c r="E1047" s="2">
        <f t="shared" si="187"/>
        <v>1000</v>
      </c>
      <c r="F1047" s="2">
        <f t="shared" si="187"/>
        <v>0</v>
      </c>
      <c r="G1047" s="2">
        <f t="shared" si="187"/>
        <v>0</v>
      </c>
      <c r="H1047" s="2">
        <f t="shared" si="187"/>
        <v>0</v>
      </c>
      <c r="I1047" s="2">
        <f t="shared" si="187"/>
        <v>0</v>
      </c>
      <c r="J1047" s="2">
        <f t="shared" si="187"/>
        <v>0</v>
      </c>
      <c r="K1047" s="2">
        <f t="shared" si="187"/>
        <v>0</v>
      </c>
    </row>
    <row r="1048" spans="1:12" ht="20.100000000000001" customHeight="1">
      <c r="A1048" s="190"/>
      <c r="B1048" s="205" t="s">
        <v>967</v>
      </c>
      <c r="C1048" s="2">
        <f>C705+C752</f>
        <v>605925</v>
      </c>
      <c r="D1048" s="2">
        <f t="shared" ref="D1048:K1048" si="188">D705+D752</f>
        <v>720800</v>
      </c>
      <c r="E1048" s="2">
        <f t="shared" si="188"/>
        <v>795488</v>
      </c>
      <c r="F1048" s="2">
        <f t="shared" si="188"/>
        <v>795488</v>
      </c>
      <c r="G1048" s="2">
        <f t="shared" si="188"/>
        <v>769638</v>
      </c>
      <c r="H1048" s="2">
        <f t="shared" si="188"/>
        <v>730288</v>
      </c>
      <c r="I1048" s="2">
        <f t="shared" si="188"/>
        <v>743513</v>
      </c>
      <c r="J1048" s="2">
        <f t="shared" si="188"/>
        <v>751238</v>
      </c>
      <c r="K1048" s="2">
        <f t="shared" si="188"/>
        <v>753563</v>
      </c>
    </row>
    <row r="1049" spans="1:12" ht="20.100000000000001" customHeight="1">
      <c r="A1049" s="190"/>
      <c r="B1049" s="199" t="s">
        <v>1061</v>
      </c>
      <c r="C1049" s="2">
        <f>C799</f>
        <v>0</v>
      </c>
      <c r="D1049" s="2">
        <f t="shared" ref="D1049:K1049" si="189">D799</f>
        <v>10965</v>
      </c>
      <c r="E1049" s="2">
        <f t="shared" si="189"/>
        <v>0</v>
      </c>
      <c r="F1049" s="2">
        <f t="shared" si="189"/>
        <v>0</v>
      </c>
      <c r="G1049" s="2">
        <f t="shared" si="189"/>
        <v>0</v>
      </c>
      <c r="H1049" s="2">
        <f t="shared" si="189"/>
        <v>0</v>
      </c>
      <c r="I1049" s="2">
        <f t="shared" si="189"/>
        <v>0</v>
      </c>
      <c r="J1049" s="2">
        <f t="shared" si="189"/>
        <v>0</v>
      </c>
      <c r="K1049" s="2">
        <f t="shared" si="189"/>
        <v>0</v>
      </c>
    </row>
    <row r="1050" spans="1:12" ht="20.100000000000001" customHeight="1">
      <c r="A1050" s="190"/>
      <c r="B1050" s="205" t="s">
        <v>1063</v>
      </c>
      <c r="C1050" s="2">
        <f>C706+C800</f>
        <v>0</v>
      </c>
      <c r="D1050" s="2">
        <f t="shared" ref="D1050:K1050" si="190">D706+D800</f>
        <v>665019</v>
      </c>
      <c r="E1050" s="2">
        <f t="shared" si="190"/>
        <v>1511</v>
      </c>
      <c r="F1050" s="2">
        <f t="shared" si="190"/>
        <v>5469</v>
      </c>
      <c r="G1050" s="2">
        <f t="shared" si="190"/>
        <v>0</v>
      </c>
      <c r="H1050" s="2">
        <f t="shared" si="190"/>
        <v>0</v>
      </c>
      <c r="I1050" s="2">
        <f t="shared" si="190"/>
        <v>0</v>
      </c>
      <c r="J1050" s="2">
        <f t="shared" si="190"/>
        <v>0</v>
      </c>
      <c r="K1050" s="2">
        <f t="shared" si="190"/>
        <v>0</v>
      </c>
    </row>
    <row r="1051" spans="1:12" ht="20.100000000000001" customHeight="1" thickBot="1">
      <c r="A1051" s="190"/>
      <c r="B1051" s="193" t="s">
        <v>1064</v>
      </c>
      <c r="C1051" s="188">
        <f>SUM(C1043:C1050)</f>
        <v>1587712</v>
      </c>
      <c r="D1051" s="188">
        <f>SUM(D1043:D1050)</f>
        <v>2088309</v>
      </c>
      <c r="E1051" s="188">
        <f t="shared" ref="E1051:J1051" si="191">SUM(E1043:E1050)</f>
        <v>1603375</v>
      </c>
      <c r="F1051" s="188">
        <f t="shared" si="191"/>
        <v>1590242</v>
      </c>
      <c r="G1051" s="188">
        <f t="shared" si="191"/>
        <v>1579851</v>
      </c>
      <c r="H1051" s="188">
        <f t="shared" si="191"/>
        <v>1534067</v>
      </c>
      <c r="I1051" s="188">
        <f t="shared" si="191"/>
        <v>1560827</v>
      </c>
      <c r="J1051" s="188">
        <f t="shared" si="191"/>
        <v>1578463</v>
      </c>
      <c r="K1051" s="188">
        <f>SUM(K1043:K1050)</f>
        <v>1591285</v>
      </c>
    </row>
    <row r="1052" spans="1:12" s="152" customFormat="1" ht="15" hidden="1">
      <c r="A1052" s="194"/>
      <c r="B1052" s="195"/>
      <c r="C1052" s="163">
        <f>'Budget Detail FY 2013-18'!N1029+'Budget Detail FY 2013-18'!N1054+'Budget Detail FY 2013-18'!N1077</f>
        <v>1587712</v>
      </c>
      <c r="D1052" s="163">
        <f>'Budget Detail FY 2013-18'!O1029+'Budget Detail FY 2013-18'!O1054+'Budget Detail FY 2013-18'!O1077</f>
        <v>2088309</v>
      </c>
      <c r="E1052" s="163">
        <f>'Budget Detail FY 2013-18'!P1029+'Budget Detail FY 2013-18'!P1054+'Budget Detail FY 2013-18'!P1077</f>
        <v>1603375</v>
      </c>
      <c r="F1052" s="163">
        <f>'Budget Detail FY 2013-18'!Q1029+'Budget Detail FY 2013-18'!Q1054+'Budget Detail FY 2013-18'!Q1077</f>
        <v>1590242</v>
      </c>
      <c r="G1052" s="163">
        <f>'Budget Detail FY 2013-18'!R1029+'Budget Detail FY 2013-18'!R1054+'Budget Detail FY 2013-18'!R1077</f>
        <v>1579851</v>
      </c>
      <c r="H1052" s="163">
        <f>'Budget Detail FY 2013-18'!S1029+'Budget Detail FY 2013-18'!S1054+'Budget Detail FY 2013-18'!S1077</f>
        <v>1534067</v>
      </c>
      <c r="I1052" s="163">
        <f>'Budget Detail FY 2013-18'!T1029+'Budget Detail FY 2013-18'!T1054+'Budget Detail FY 2013-18'!T1077</f>
        <v>1560827</v>
      </c>
      <c r="J1052" s="163">
        <f>'Budget Detail FY 2013-18'!U1029+'Budget Detail FY 2013-18'!U1054+'Budget Detail FY 2013-18'!U1077</f>
        <v>1578463</v>
      </c>
      <c r="K1052" s="163">
        <f>'Budget Detail FY 2013-18'!V1029+'Budget Detail FY 2013-18'!V1054+'Budget Detail FY 2013-18'!V1077</f>
        <v>1591285</v>
      </c>
      <c r="L1052" s="166" t="s">
        <v>1462</v>
      </c>
    </row>
    <row r="1053" spans="1:12" s="158" customFormat="1" ht="14.25" hidden="1">
      <c r="A1053" s="196"/>
      <c r="B1053" s="197"/>
      <c r="C1053" s="164">
        <f>C1051-C1052</f>
        <v>0</v>
      </c>
      <c r="D1053" s="164">
        <f t="shared" ref="D1053:K1053" si="192">D1051-D1052</f>
        <v>0</v>
      </c>
      <c r="E1053" s="164">
        <f t="shared" si="192"/>
        <v>0</v>
      </c>
      <c r="F1053" s="164">
        <f t="shared" si="192"/>
        <v>0</v>
      </c>
      <c r="G1053" s="164">
        <f t="shared" si="192"/>
        <v>0</v>
      </c>
      <c r="H1053" s="164">
        <f t="shared" si="192"/>
        <v>0</v>
      </c>
      <c r="I1053" s="164">
        <f t="shared" si="192"/>
        <v>0</v>
      </c>
      <c r="J1053" s="164">
        <f t="shared" si="192"/>
        <v>0</v>
      </c>
      <c r="K1053" s="164">
        <f t="shared" si="192"/>
        <v>0</v>
      </c>
      <c r="L1053" s="167" t="s">
        <v>1463</v>
      </c>
    </row>
    <row r="1054" spans="1:12" ht="7.5" customHeight="1">
      <c r="A1054" s="190"/>
      <c r="B1054" s="200"/>
      <c r="C1054" s="3"/>
      <c r="D1054" s="2"/>
      <c r="E1054" s="2"/>
      <c r="F1054" s="2"/>
      <c r="G1054" s="2"/>
      <c r="H1054" s="2"/>
      <c r="I1054" s="2"/>
      <c r="J1054" s="2"/>
      <c r="K1054" s="2"/>
    </row>
    <row r="1055" spans="1:12" ht="20.100000000000001" customHeight="1">
      <c r="A1055" s="190"/>
      <c r="B1055" s="189" t="s">
        <v>1065</v>
      </c>
      <c r="C1055" s="3">
        <f>+C1038-C1051</f>
        <v>-253670</v>
      </c>
      <c r="D1055" s="3">
        <f>+D1038-D1051</f>
        <v>76468</v>
      </c>
      <c r="E1055" s="3">
        <f t="shared" ref="E1055:K1055" si="193">+E1038-E1051</f>
        <v>27908</v>
      </c>
      <c r="F1055" s="3">
        <f t="shared" si="193"/>
        <v>25180</v>
      </c>
      <c r="G1055" s="3">
        <f t="shared" si="193"/>
        <v>-9229</v>
      </c>
      <c r="H1055" s="3">
        <f t="shared" si="193"/>
        <v>4866</v>
      </c>
      <c r="I1055" s="3">
        <f t="shared" si="193"/>
        <v>-6676</v>
      </c>
      <c r="J1055" s="3">
        <f t="shared" si="193"/>
        <v>-14687</v>
      </c>
      <c r="K1055" s="3">
        <f t="shared" si="193"/>
        <v>1830</v>
      </c>
    </row>
    <row r="1056" spans="1:12" s="152" customFormat="1" ht="15" hidden="1">
      <c r="A1056" s="194"/>
      <c r="B1056" s="201"/>
      <c r="C1056" s="163">
        <f>'Budget Detail FY 2013-18'!N1031+'Budget Detail FY 2013-18'!N1056+'Budget Detail FY 2013-18'!N1079</f>
        <v>-253670</v>
      </c>
      <c r="D1056" s="163">
        <f>'Budget Detail FY 2013-18'!O1031+'Budget Detail FY 2013-18'!O1056+'Budget Detail FY 2013-18'!O1079</f>
        <v>76468</v>
      </c>
      <c r="E1056" s="163">
        <f>'Budget Detail FY 2013-18'!P1031+'Budget Detail FY 2013-18'!P1056+'Budget Detail FY 2013-18'!P1079</f>
        <v>27908</v>
      </c>
      <c r="F1056" s="163">
        <f>'Budget Detail FY 2013-18'!Q1031+'Budget Detail FY 2013-18'!Q1056+'Budget Detail FY 2013-18'!Q1079</f>
        <v>25180</v>
      </c>
      <c r="G1056" s="163">
        <f>'Budget Detail FY 2013-18'!R1031+'Budget Detail FY 2013-18'!R1056+'Budget Detail FY 2013-18'!R1079</f>
        <v>-9229</v>
      </c>
      <c r="H1056" s="163">
        <f>'Budget Detail FY 2013-18'!S1031+'Budget Detail FY 2013-18'!S1056+'Budget Detail FY 2013-18'!S1079</f>
        <v>4866</v>
      </c>
      <c r="I1056" s="163">
        <f>'Budget Detail FY 2013-18'!T1031+'Budget Detail FY 2013-18'!T1056+'Budget Detail FY 2013-18'!T1079</f>
        <v>-6676</v>
      </c>
      <c r="J1056" s="163">
        <f>'Budget Detail FY 2013-18'!U1031+'Budget Detail FY 2013-18'!U1056+'Budget Detail FY 2013-18'!U1079</f>
        <v>-14687</v>
      </c>
      <c r="K1056" s="163">
        <f>'Budget Detail FY 2013-18'!V1031+'Budget Detail FY 2013-18'!V1056+'Budget Detail FY 2013-18'!V1079</f>
        <v>1830</v>
      </c>
      <c r="L1056" s="166" t="s">
        <v>1462</v>
      </c>
    </row>
    <row r="1057" spans="1:12" s="158" customFormat="1" ht="15" hidden="1">
      <c r="A1057" s="196"/>
      <c r="B1057" s="202"/>
      <c r="C1057" s="203">
        <f>C1055-C1056</f>
        <v>0</v>
      </c>
      <c r="D1057" s="203">
        <f t="shared" ref="D1057:K1057" si="194">D1055-D1056</f>
        <v>0</v>
      </c>
      <c r="E1057" s="203">
        <f t="shared" si="194"/>
        <v>0</v>
      </c>
      <c r="F1057" s="203">
        <f t="shared" si="194"/>
        <v>0</v>
      </c>
      <c r="G1057" s="203">
        <f t="shared" si="194"/>
        <v>0</v>
      </c>
      <c r="H1057" s="203">
        <f t="shared" si="194"/>
        <v>0</v>
      </c>
      <c r="I1057" s="203">
        <f t="shared" si="194"/>
        <v>0</v>
      </c>
      <c r="J1057" s="203">
        <f t="shared" si="194"/>
        <v>0</v>
      </c>
      <c r="K1057" s="203">
        <f t="shared" si="194"/>
        <v>0</v>
      </c>
      <c r="L1057" s="167" t="s">
        <v>1463</v>
      </c>
    </row>
    <row r="1058" spans="1:12" ht="7.5" customHeight="1">
      <c r="A1058" s="190"/>
      <c r="B1058" s="204"/>
      <c r="C1058" s="3"/>
      <c r="D1058" s="2"/>
      <c r="E1058" s="2"/>
      <c r="F1058" s="2"/>
      <c r="G1058" s="2"/>
      <c r="H1058" s="2"/>
      <c r="I1058" s="2"/>
      <c r="J1058" s="2"/>
      <c r="K1058" s="2"/>
    </row>
    <row r="1059" spans="1:12" ht="20.100000000000001" customHeight="1" thickBot="1">
      <c r="A1059" s="190"/>
      <c r="B1059" s="191" t="s">
        <v>1066</v>
      </c>
      <c r="C1059" s="99">
        <v>317336</v>
      </c>
      <c r="D1059" s="99">
        <v>393804</v>
      </c>
      <c r="E1059" s="99">
        <v>370330</v>
      </c>
      <c r="F1059" s="99">
        <f>D1059+F1055</f>
        <v>418984</v>
      </c>
      <c r="G1059" s="99">
        <f>F1059+G1055</f>
        <v>409755</v>
      </c>
      <c r="H1059" s="99">
        <f>G1059+H1055</f>
        <v>414621</v>
      </c>
      <c r="I1059" s="99">
        <f>H1059+I1055</f>
        <v>407945</v>
      </c>
      <c r="J1059" s="99">
        <f>I1059+J1055</f>
        <v>393258</v>
      </c>
      <c r="K1059" s="99">
        <f>J1059+K1055</f>
        <v>395088</v>
      </c>
    </row>
    <row r="1060" spans="1:12" s="152" customFormat="1" ht="15.75" hidden="1" thickTop="1">
      <c r="A1060" s="194"/>
      <c r="B1060" s="195"/>
      <c r="C1060" s="163">
        <f>'Budget Detail FY 2013-18'!N1033+'Budget Detail FY 2013-18'!N1058+'Budget Detail FY 2013-18'!N1081</f>
        <v>317336</v>
      </c>
      <c r="D1060" s="163">
        <f>'Budget Detail FY 2013-18'!O1033+'Budget Detail FY 2013-18'!O1058+'Budget Detail FY 2013-18'!O1081</f>
        <v>393804</v>
      </c>
      <c r="E1060" s="163">
        <f>'Budget Detail FY 2013-18'!P1033+'Budget Detail FY 2013-18'!P1058+'Budget Detail FY 2013-18'!P1081</f>
        <v>370330</v>
      </c>
      <c r="F1060" s="163">
        <f>'Budget Detail FY 2013-18'!Q1033+'Budget Detail FY 2013-18'!Q1058+'Budget Detail FY 2013-18'!Q1081</f>
        <v>418984</v>
      </c>
      <c r="G1060" s="163">
        <f>'Budget Detail FY 2013-18'!R1033+'Budget Detail FY 2013-18'!R1058+'Budget Detail FY 2013-18'!R1081</f>
        <v>409755</v>
      </c>
      <c r="H1060" s="163">
        <f>'Budget Detail FY 2013-18'!S1033+'Budget Detail FY 2013-18'!S1058+'Budget Detail FY 2013-18'!S1081</f>
        <v>414621</v>
      </c>
      <c r="I1060" s="163">
        <f>'Budget Detail FY 2013-18'!T1033+'Budget Detail FY 2013-18'!T1058+'Budget Detail FY 2013-18'!T1081</f>
        <v>407945</v>
      </c>
      <c r="J1060" s="163">
        <f>'Budget Detail FY 2013-18'!U1033+'Budget Detail FY 2013-18'!U1058+'Budget Detail FY 2013-18'!U1081</f>
        <v>393258</v>
      </c>
      <c r="K1060" s="163">
        <f>'Budget Detail FY 2013-18'!V1033+'Budget Detail FY 2013-18'!V1058+'Budget Detail FY 2013-18'!V1081</f>
        <v>395088</v>
      </c>
      <c r="L1060" s="166" t="s">
        <v>1462</v>
      </c>
    </row>
    <row r="1061" spans="1:12" s="158" customFormat="1" ht="15" hidden="1">
      <c r="A1061" s="196"/>
      <c r="B1061" s="197"/>
      <c r="C1061" s="203">
        <f>C1059-C1060</f>
        <v>0</v>
      </c>
      <c r="D1061" s="203">
        <f t="shared" ref="D1061:K1061" si="195">D1059-D1060</f>
        <v>0</v>
      </c>
      <c r="E1061" s="203">
        <f t="shared" si="195"/>
        <v>0</v>
      </c>
      <c r="F1061" s="203">
        <f t="shared" si="195"/>
        <v>0</v>
      </c>
      <c r="G1061" s="203">
        <f t="shared" si="195"/>
        <v>0</v>
      </c>
      <c r="H1061" s="203">
        <f t="shared" si="195"/>
        <v>0</v>
      </c>
      <c r="I1061" s="203">
        <f t="shared" si="195"/>
        <v>0</v>
      </c>
      <c r="J1061" s="203">
        <f t="shared" si="195"/>
        <v>0</v>
      </c>
      <c r="K1061" s="203">
        <f t="shared" si="195"/>
        <v>0</v>
      </c>
      <c r="L1061" s="167" t="s">
        <v>1463</v>
      </c>
    </row>
    <row r="1062" spans="1:12" ht="15.75" thickTop="1">
      <c r="A1062" s="190"/>
      <c r="B1062" s="205"/>
      <c r="C1062" s="206">
        <f t="shared" ref="C1062:K1062" si="196">+C1059/C1051</f>
        <v>0.19987000161238311</v>
      </c>
      <c r="D1062" s="206">
        <f t="shared" si="196"/>
        <v>0.18857554126329007</v>
      </c>
      <c r="E1062" s="206">
        <f t="shared" si="196"/>
        <v>0.23096904966087159</v>
      </c>
      <c r="F1062" s="206">
        <f t="shared" si="196"/>
        <v>0.263471848938715</v>
      </c>
      <c r="G1062" s="206">
        <f t="shared" si="196"/>
        <v>0.25936306651703228</v>
      </c>
      <c r="H1062" s="206">
        <f t="shared" si="196"/>
        <v>0.27027567896317434</v>
      </c>
      <c r="I1062" s="206">
        <f t="shared" si="196"/>
        <v>0.26136464835628803</v>
      </c>
      <c r="J1062" s="206">
        <f t="shared" si="196"/>
        <v>0.24913982779450644</v>
      </c>
      <c r="K1062" s="206">
        <f t="shared" si="196"/>
        <v>0.24828236299594353</v>
      </c>
    </row>
    <row r="1063" spans="1:12" ht="7.5" customHeight="1">
      <c r="A1063" s="190"/>
      <c r="B1063" s="205"/>
      <c r="C1063" s="219"/>
      <c r="D1063" s="219"/>
      <c r="E1063" s="219"/>
      <c r="F1063" s="219"/>
      <c r="G1063" s="219"/>
      <c r="H1063" s="219"/>
      <c r="I1063" s="219"/>
      <c r="J1063" s="219"/>
      <c r="K1063" s="219"/>
    </row>
    <row r="1064" spans="1:12" ht="15">
      <c r="A1064" s="190"/>
      <c r="B1064" s="205"/>
      <c r="C1064" s="2"/>
      <c r="D1064" s="2"/>
      <c r="E1064" s="2"/>
      <c r="F1064" s="2"/>
      <c r="G1064" s="2"/>
      <c r="H1064" s="2"/>
      <c r="I1064" s="2"/>
      <c r="J1064" s="2"/>
      <c r="K1064" s="2"/>
    </row>
    <row r="1065" spans="1:12" ht="15">
      <c r="A1065" s="190"/>
      <c r="B1065" s="1"/>
      <c r="C1065" s="2"/>
      <c r="D1065" s="2"/>
      <c r="E1065" s="2"/>
      <c r="F1065" s="2"/>
      <c r="G1065" s="2"/>
      <c r="H1065" s="2"/>
      <c r="I1065" s="2"/>
      <c r="J1065" s="2"/>
      <c r="K1065" s="2"/>
    </row>
    <row r="1066" spans="1:12" ht="15">
      <c r="A1066" s="190"/>
      <c r="B1066" s="1"/>
      <c r="C1066" s="2"/>
      <c r="D1066" s="2"/>
      <c r="E1066" s="2"/>
      <c r="F1066" s="2"/>
      <c r="G1066" s="2"/>
      <c r="H1066" s="2"/>
      <c r="I1066" s="2"/>
      <c r="J1066" s="2"/>
      <c r="K1066" s="2"/>
    </row>
    <row r="1067" spans="1:12" ht="15">
      <c r="A1067" s="190"/>
      <c r="B1067" s="1"/>
      <c r="C1067" s="2"/>
      <c r="D1067" s="2"/>
      <c r="E1067" s="2"/>
      <c r="F1067" s="2"/>
      <c r="G1067" s="2"/>
      <c r="H1067" s="2"/>
      <c r="I1067" s="2"/>
      <c r="J1067" s="2"/>
      <c r="K1067" s="2"/>
    </row>
    <row r="1068" spans="1:12" ht="15">
      <c r="A1068" s="190"/>
      <c r="B1068" s="1"/>
      <c r="C1068" s="2"/>
      <c r="D1068" s="2"/>
      <c r="E1068" s="2"/>
      <c r="F1068" s="2"/>
      <c r="G1068" s="2"/>
      <c r="H1068" s="2"/>
      <c r="I1068" s="2"/>
      <c r="J1068" s="2"/>
      <c r="K1068" s="2"/>
    </row>
    <row r="1069" spans="1:12" ht="15">
      <c r="A1069" s="190"/>
      <c r="B1069" s="1"/>
      <c r="C1069" s="2"/>
      <c r="D1069" s="2"/>
      <c r="E1069" s="2"/>
      <c r="F1069" s="2"/>
      <c r="G1069" s="2"/>
      <c r="H1069" s="2"/>
      <c r="I1069" s="2"/>
      <c r="J1069" s="2"/>
      <c r="K1069" s="2"/>
    </row>
    <row r="1070" spans="1:12" ht="15">
      <c r="A1070" s="190"/>
      <c r="B1070" s="1"/>
      <c r="C1070" s="2"/>
      <c r="D1070" s="2"/>
      <c r="E1070" s="2"/>
      <c r="F1070" s="2"/>
      <c r="G1070" s="2"/>
      <c r="H1070" s="2"/>
      <c r="I1070" s="2"/>
      <c r="J1070" s="2"/>
      <c r="K1070" s="2"/>
    </row>
    <row r="1071" spans="1:12" ht="15">
      <c r="A1071" s="190"/>
      <c r="B1071" s="1"/>
      <c r="C1071" s="2"/>
      <c r="D1071" s="2"/>
      <c r="E1071" s="2"/>
      <c r="F1071" s="2"/>
      <c r="G1071" s="2"/>
      <c r="H1071" s="2"/>
      <c r="I1071" s="2"/>
      <c r="J1071" s="2"/>
      <c r="K1071" s="2"/>
    </row>
    <row r="1072" spans="1:12" ht="15">
      <c r="A1072" s="190"/>
      <c r="B1072" s="1"/>
      <c r="C1072" s="2"/>
      <c r="D1072" s="2"/>
      <c r="E1072" s="2"/>
      <c r="F1072" s="2"/>
      <c r="G1072" s="2"/>
      <c r="H1072" s="2"/>
      <c r="I1072" s="2"/>
      <c r="J1072" s="2"/>
      <c r="K1072" s="2"/>
    </row>
    <row r="1073" spans="1:11" ht="15">
      <c r="A1073" s="190"/>
      <c r="B1073" s="1"/>
      <c r="C1073" s="2"/>
      <c r="D1073" s="2"/>
      <c r="E1073" s="2"/>
      <c r="F1073" s="2"/>
      <c r="G1073" s="2"/>
      <c r="H1073" s="2"/>
      <c r="I1073" s="2"/>
      <c r="J1073" s="2"/>
      <c r="K1073" s="2"/>
    </row>
    <row r="1074" spans="1:11" ht="15">
      <c r="A1074" s="190"/>
      <c r="B1074" s="1"/>
      <c r="C1074" s="2"/>
      <c r="D1074" s="2"/>
      <c r="E1074" s="2"/>
      <c r="F1074" s="2"/>
      <c r="G1074" s="2"/>
      <c r="H1074" s="2"/>
      <c r="I1074" s="2"/>
      <c r="J1074" s="2"/>
      <c r="K1074" s="2"/>
    </row>
    <row r="1075" spans="1:11" ht="15">
      <c r="A1075" s="190"/>
      <c r="B1075" s="1"/>
      <c r="C1075" s="2"/>
      <c r="D1075" s="2"/>
      <c r="E1075" s="2"/>
      <c r="F1075" s="2"/>
      <c r="G1075" s="2"/>
      <c r="H1075" s="2"/>
      <c r="I1075" s="2"/>
      <c r="J1075" s="2"/>
      <c r="K1075" s="2"/>
    </row>
    <row r="1076" spans="1:11" ht="15">
      <c r="A1076" s="190"/>
      <c r="B1076" s="1"/>
      <c r="C1076" s="2"/>
      <c r="D1076" s="2"/>
      <c r="E1076" s="2"/>
      <c r="F1076" s="2"/>
      <c r="G1076" s="2"/>
      <c r="H1076" s="2"/>
      <c r="I1076" s="2"/>
      <c r="J1076" s="2"/>
      <c r="K1076" s="2"/>
    </row>
    <row r="1077" spans="1:11" ht="18.75">
      <c r="A1077" s="190"/>
      <c r="B1077" s="523" t="s">
        <v>1432</v>
      </c>
      <c r="C1077" s="523"/>
      <c r="D1077" s="523"/>
      <c r="E1077" s="523"/>
      <c r="F1077" s="523"/>
      <c r="G1077" s="523"/>
      <c r="H1077" s="523"/>
      <c r="I1077" s="523"/>
      <c r="J1077" s="523"/>
      <c r="K1077" s="523"/>
    </row>
    <row r="1078" spans="1:11" ht="7.5" customHeight="1">
      <c r="A1078" s="190"/>
      <c r="B1078" s="80"/>
      <c r="C1078" s="3"/>
      <c r="D1078" s="2"/>
      <c r="E1078" s="2"/>
      <c r="F1078" s="2"/>
      <c r="G1078" s="2"/>
      <c r="H1078" s="2"/>
      <c r="I1078" s="2"/>
      <c r="J1078" s="2"/>
      <c r="K1078" s="2"/>
    </row>
    <row r="1079" spans="1:11">
      <c r="A1079" s="190"/>
      <c r="B1079" s="529" t="s">
        <v>1439</v>
      </c>
      <c r="C1079" s="529"/>
      <c r="D1079" s="529"/>
      <c r="E1079" s="529"/>
      <c r="F1079" s="529"/>
      <c r="G1079" s="529"/>
      <c r="H1079" s="529"/>
      <c r="I1079" s="529"/>
      <c r="J1079" s="529"/>
      <c r="K1079" s="529"/>
    </row>
    <row r="1080" spans="1:11">
      <c r="A1080" s="190"/>
      <c r="B1080" s="529"/>
      <c r="C1080" s="529"/>
      <c r="D1080" s="529"/>
      <c r="E1080" s="529"/>
      <c r="F1080" s="529"/>
      <c r="G1080" s="529"/>
      <c r="H1080" s="529"/>
      <c r="I1080" s="529"/>
      <c r="J1080" s="529"/>
      <c r="K1080" s="529"/>
    </row>
    <row r="1081" spans="1:11">
      <c r="A1081" s="190"/>
      <c r="B1081" s="529"/>
      <c r="C1081" s="529"/>
      <c r="D1081" s="529"/>
      <c r="E1081" s="529"/>
      <c r="F1081" s="529"/>
      <c r="G1081" s="529"/>
      <c r="H1081" s="529"/>
      <c r="I1081" s="529"/>
      <c r="J1081" s="529"/>
      <c r="K1081" s="529"/>
    </row>
    <row r="1082" spans="1:11">
      <c r="A1082" s="190"/>
      <c r="B1082" s="529"/>
      <c r="C1082" s="529"/>
      <c r="D1082" s="529"/>
      <c r="E1082" s="529"/>
      <c r="F1082" s="529"/>
      <c r="G1082" s="529"/>
      <c r="H1082" s="529"/>
      <c r="I1082" s="529"/>
      <c r="J1082" s="529"/>
      <c r="K1082" s="529"/>
    </row>
    <row r="1083" spans="1:11" ht="15">
      <c r="A1083" s="190"/>
      <c r="B1083" s="5"/>
      <c r="C1083" s="80"/>
      <c r="D1083" s="81"/>
      <c r="E1083" s="80" t="s">
        <v>312</v>
      </c>
      <c r="F1083" s="1"/>
      <c r="G1083" s="1"/>
      <c r="H1083" s="1"/>
      <c r="I1083" s="1"/>
      <c r="J1083" s="1"/>
      <c r="K1083" s="1"/>
    </row>
    <row r="1084" spans="1:11" ht="15">
      <c r="A1084" s="190"/>
      <c r="B1084" s="81"/>
      <c r="C1084" s="80" t="s">
        <v>23</v>
      </c>
      <c r="D1084" s="104" t="s">
        <v>253</v>
      </c>
      <c r="E1084" s="81" t="s">
        <v>1045</v>
      </c>
      <c r="F1084" s="81" t="s">
        <v>312</v>
      </c>
      <c r="G1084" s="81" t="s">
        <v>313</v>
      </c>
      <c r="H1084" s="81" t="s">
        <v>329</v>
      </c>
      <c r="I1084" s="81" t="s">
        <v>332</v>
      </c>
      <c r="J1084" s="81" t="s">
        <v>333</v>
      </c>
      <c r="K1084" s="81" t="s">
        <v>1224</v>
      </c>
    </row>
    <row r="1085" spans="1:11" ht="15.75" thickBot="1">
      <c r="A1085" s="190"/>
      <c r="B1085" s="209"/>
      <c r="C1085" s="83" t="s">
        <v>1</v>
      </c>
      <c r="D1085" s="83" t="s">
        <v>1</v>
      </c>
      <c r="E1085" s="83" t="s">
        <v>987</v>
      </c>
      <c r="F1085" s="83" t="s">
        <v>24</v>
      </c>
      <c r="G1085" s="83" t="s">
        <v>1045</v>
      </c>
      <c r="H1085" s="83" t="s">
        <v>24</v>
      </c>
      <c r="I1085" s="83" t="s">
        <v>24</v>
      </c>
      <c r="J1085" s="83" t="s">
        <v>24</v>
      </c>
      <c r="K1085" s="83" t="s">
        <v>24</v>
      </c>
    </row>
    <row r="1086" spans="1:11" ht="15">
      <c r="A1086" s="190"/>
      <c r="B1086" s="79"/>
      <c r="C1086" s="210"/>
      <c r="D1086" s="2"/>
      <c r="E1086" s="2"/>
      <c r="F1086" s="2"/>
      <c r="G1086" s="2"/>
      <c r="H1086" s="2"/>
      <c r="I1086" s="2"/>
      <c r="J1086" s="2"/>
      <c r="K1086" s="2"/>
    </row>
    <row r="1087" spans="1:11" ht="15">
      <c r="A1087" s="190"/>
      <c r="B1087" s="198" t="s">
        <v>1046</v>
      </c>
      <c r="C1087" s="2"/>
      <c r="D1087" s="2"/>
      <c r="E1087" s="2"/>
      <c r="F1087" s="2"/>
      <c r="G1087" s="2"/>
      <c r="H1087" s="2"/>
      <c r="I1087" s="2"/>
      <c r="J1087" s="2"/>
      <c r="K1087" s="2"/>
    </row>
    <row r="1088" spans="1:11" ht="20.100000000000001" customHeight="1">
      <c r="A1088" s="190"/>
      <c r="B1088" s="5" t="s">
        <v>1051</v>
      </c>
      <c r="C1088" s="2">
        <f>C588+C639+'Budget Detail FY 2013-18'!N494</f>
        <v>830766</v>
      </c>
      <c r="D1088" s="2">
        <f>D588+D639+'Budget Detail FY 2013-18'!O494</f>
        <v>888788</v>
      </c>
      <c r="E1088" s="2">
        <f>E588+E639+'Budget Detail FY 2013-18'!P494</f>
        <v>830250</v>
      </c>
      <c r="F1088" s="2">
        <f>F588+F639+'Budget Detail FY 2013-18'!Q494</f>
        <v>749525</v>
      </c>
      <c r="G1088" s="2">
        <f>G588+G639+'Budget Detail FY 2013-18'!R494</f>
        <v>303275</v>
      </c>
      <c r="H1088" s="2">
        <f>H588+H639+'Budget Detail FY 2013-18'!S494</f>
        <v>242275</v>
      </c>
      <c r="I1088" s="2">
        <f>I588+I639+'Budget Detail FY 2013-18'!T494</f>
        <v>242275</v>
      </c>
      <c r="J1088" s="2">
        <f>J588+J639+'Budget Detail FY 2013-18'!U494</f>
        <v>242275</v>
      </c>
      <c r="K1088" s="2">
        <f>K588+K639+'Budget Detail FY 2013-18'!V494</f>
        <v>242275</v>
      </c>
    </row>
    <row r="1089" spans="1:12" ht="20.100000000000001" customHeight="1">
      <c r="A1089" s="190"/>
      <c r="B1089" s="5" t="s">
        <v>1052</v>
      </c>
      <c r="C1089" s="2">
        <f>C589+'Budget Detail FY 2013-18'!N503</f>
        <v>400</v>
      </c>
      <c r="D1089" s="2">
        <f>D589+'Budget Detail FY 2013-18'!O503</f>
        <v>503</v>
      </c>
      <c r="E1089" s="2">
        <f>E589+'Budget Detail FY 2013-18'!P503</f>
        <v>450</v>
      </c>
      <c r="F1089" s="2">
        <f>F589+'Budget Detail FY 2013-18'!Q503</f>
        <v>700</v>
      </c>
      <c r="G1089" s="2">
        <f>G589+'Budget Detail FY 2013-18'!R503</f>
        <v>650</v>
      </c>
      <c r="H1089" s="2">
        <f>H589+'Budget Detail FY 2013-18'!S503</f>
        <v>650</v>
      </c>
      <c r="I1089" s="2">
        <f>I589+'Budget Detail FY 2013-18'!T503</f>
        <v>650</v>
      </c>
      <c r="J1089" s="2">
        <f>J589+'Budget Detail FY 2013-18'!U503</f>
        <v>650</v>
      </c>
      <c r="K1089" s="2">
        <f>K589+'Budget Detail FY 2013-18'!V503</f>
        <v>650</v>
      </c>
    </row>
    <row r="1090" spans="1:12" ht="20.100000000000001" customHeight="1">
      <c r="A1090" s="190"/>
      <c r="B1090" s="5" t="s">
        <v>1053</v>
      </c>
      <c r="C1090" s="2">
        <f>C590+'Budget Detail FY 2013-18'!N504</f>
        <v>14829</v>
      </c>
      <c r="D1090" s="2">
        <f>D590+'Budget Detail FY 2013-18'!O504</f>
        <v>14038</v>
      </c>
      <c r="E1090" s="2">
        <f>E590+'Budget Detail FY 2013-18'!P504</f>
        <v>51661</v>
      </c>
      <c r="F1090" s="2">
        <f>F590+'Budget Detail FY 2013-18'!Q504</f>
        <v>52265</v>
      </c>
      <c r="G1090" s="2">
        <f>G590+'Budget Detail FY 2013-18'!R504</f>
        <v>50000</v>
      </c>
      <c r="H1090" s="2">
        <f>H590+'Budget Detail FY 2013-18'!S504</f>
        <v>0</v>
      </c>
      <c r="I1090" s="2">
        <f>I590+'Budget Detail FY 2013-18'!T504</f>
        <v>0</v>
      </c>
      <c r="J1090" s="2">
        <f>J590+'Budget Detail FY 2013-18'!U504</f>
        <v>0</v>
      </c>
      <c r="K1090" s="2">
        <f>K590+'Budget Detail FY 2013-18'!V504</f>
        <v>0</v>
      </c>
    </row>
    <row r="1091" spans="1:12" ht="20.100000000000001" customHeight="1">
      <c r="A1091" s="190"/>
      <c r="B1091" s="5" t="s">
        <v>1054</v>
      </c>
      <c r="C1091" s="2">
        <f>C591+C640+'Budget Detail FY 2013-18'!N508</f>
        <v>198644</v>
      </c>
      <c r="D1091" s="2">
        <f>D591+D640+'Budget Detail FY 2013-18'!O508</f>
        <v>208662</v>
      </c>
      <c r="E1091" s="2">
        <f>E591+E640+'Budget Detail FY 2013-18'!P508</f>
        <v>279200</v>
      </c>
      <c r="F1091" s="2">
        <f>F591+F640+'Budget Detail FY 2013-18'!Q508</f>
        <v>216691</v>
      </c>
      <c r="G1091" s="2">
        <f>G591+G640+'Budget Detail FY 2013-18'!R508</f>
        <v>223000</v>
      </c>
      <c r="H1091" s="2">
        <f>H591+H640+'Budget Detail FY 2013-18'!S508</f>
        <v>223000</v>
      </c>
      <c r="I1091" s="2">
        <f>I591+I640+'Budget Detail FY 2013-18'!T508</f>
        <v>223000</v>
      </c>
      <c r="J1091" s="2">
        <f>J591+J640+'Budget Detail FY 2013-18'!U508</f>
        <v>223000</v>
      </c>
      <c r="K1091" s="2">
        <f>K591+K640+'Budget Detail FY 2013-18'!V508</f>
        <v>232700</v>
      </c>
    </row>
    <row r="1092" spans="1:12" ht="20.100000000000001" customHeight="1">
      <c r="A1092" s="190"/>
      <c r="B1092" s="5" t="s">
        <v>1055</v>
      </c>
      <c r="C1092" s="2">
        <f t="shared" ref="C1092:K1092" si="197">C592+C641</f>
        <v>951890</v>
      </c>
      <c r="D1092" s="2">
        <f t="shared" si="197"/>
        <v>736710</v>
      </c>
      <c r="E1092" s="2">
        <f t="shared" si="197"/>
        <v>955886</v>
      </c>
      <c r="F1092" s="2">
        <f t="shared" si="197"/>
        <v>955886</v>
      </c>
      <c r="G1092" s="2">
        <f t="shared" si="197"/>
        <v>2322461</v>
      </c>
      <c r="H1092" s="2">
        <f t="shared" si="197"/>
        <v>1110111</v>
      </c>
      <c r="I1092" s="2">
        <f t="shared" si="197"/>
        <v>1192708</v>
      </c>
      <c r="J1092" s="2">
        <f t="shared" si="197"/>
        <v>1217069</v>
      </c>
      <c r="K1092" s="2">
        <f t="shared" si="197"/>
        <v>1229444</v>
      </c>
    </row>
    <row r="1093" spans="1:12" ht="20.100000000000001" customHeight="1" thickBot="1">
      <c r="A1093" s="190"/>
      <c r="B1093" s="193" t="s">
        <v>1056</v>
      </c>
      <c r="C1093" s="188">
        <f>SUM(C1088:C1092)</f>
        <v>1996529</v>
      </c>
      <c r="D1093" s="188">
        <f t="shared" ref="D1093:K1093" si="198">SUM(D1088:D1092)</f>
        <v>1848701</v>
      </c>
      <c r="E1093" s="188">
        <f t="shared" si="198"/>
        <v>2117447</v>
      </c>
      <c r="F1093" s="188">
        <f t="shared" si="198"/>
        <v>1975067</v>
      </c>
      <c r="G1093" s="188">
        <f t="shared" si="198"/>
        <v>2899386</v>
      </c>
      <c r="H1093" s="188">
        <f t="shared" si="198"/>
        <v>1576036</v>
      </c>
      <c r="I1093" s="188">
        <f t="shared" si="198"/>
        <v>1658633</v>
      </c>
      <c r="J1093" s="188">
        <f t="shared" si="198"/>
        <v>1682994</v>
      </c>
      <c r="K1093" s="188">
        <f t="shared" si="198"/>
        <v>1705069</v>
      </c>
    </row>
    <row r="1094" spans="1:12" s="152" customFormat="1" ht="15" hidden="1">
      <c r="A1094" s="194"/>
      <c r="B1094" s="195"/>
      <c r="C1094" s="163">
        <f>'Budget Detail FY 2013-18'!N823+'Budget Detail FY 2013-18'!N912+'Budget Detail FY 2013-18'!N508+'Budget Detail FY 2013-18'!N504+'Budget Detail FY 2013-18'!N503+'Budget Detail FY 2013-18'!N494</f>
        <v>1996529</v>
      </c>
      <c r="D1094" s="163">
        <f>'Budget Detail FY 2013-18'!O823+'Budget Detail FY 2013-18'!O912+'Budget Detail FY 2013-18'!O508+'Budget Detail FY 2013-18'!O504+'Budget Detail FY 2013-18'!O503+'Budget Detail FY 2013-18'!O494</f>
        <v>1848701</v>
      </c>
      <c r="E1094" s="163">
        <f>'Budget Detail FY 2013-18'!P823+'Budget Detail FY 2013-18'!P912+'Budget Detail FY 2013-18'!P508+'Budget Detail FY 2013-18'!P504+'Budget Detail FY 2013-18'!P503+'Budget Detail FY 2013-18'!P494</f>
        <v>2117447</v>
      </c>
      <c r="F1094" s="163">
        <f>'Budget Detail FY 2013-18'!Q823+'Budget Detail FY 2013-18'!Q912+'Budget Detail FY 2013-18'!Q508+'Budget Detail FY 2013-18'!Q504+'Budget Detail FY 2013-18'!Q503+'Budget Detail FY 2013-18'!Q494</f>
        <v>1975067</v>
      </c>
      <c r="G1094" s="163">
        <f>'Budget Detail FY 2013-18'!R823+'Budget Detail FY 2013-18'!R912+'Budget Detail FY 2013-18'!R508+'Budget Detail FY 2013-18'!R504+'Budget Detail FY 2013-18'!R503+'Budget Detail FY 2013-18'!R494</f>
        <v>2899386</v>
      </c>
      <c r="H1094" s="163">
        <f>'Budget Detail FY 2013-18'!S823+'Budget Detail FY 2013-18'!S912+'Budget Detail FY 2013-18'!S508+'Budget Detail FY 2013-18'!S504+'Budget Detail FY 2013-18'!S503+'Budget Detail FY 2013-18'!S494</f>
        <v>1576036</v>
      </c>
      <c r="I1094" s="163">
        <f>'Budget Detail FY 2013-18'!T823+'Budget Detail FY 2013-18'!T912+'Budget Detail FY 2013-18'!T508+'Budget Detail FY 2013-18'!T504+'Budget Detail FY 2013-18'!T503+'Budget Detail FY 2013-18'!T494</f>
        <v>1658633</v>
      </c>
      <c r="J1094" s="163">
        <f>'Budget Detail FY 2013-18'!U823+'Budget Detail FY 2013-18'!U912+'Budget Detail FY 2013-18'!U508+'Budget Detail FY 2013-18'!U504+'Budget Detail FY 2013-18'!U503+'Budget Detail FY 2013-18'!U494</f>
        <v>1682994</v>
      </c>
      <c r="K1094" s="163">
        <f>'Budget Detail FY 2013-18'!V823+'Budget Detail FY 2013-18'!V912+'Budget Detail FY 2013-18'!V508+'Budget Detail FY 2013-18'!V504+'Budget Detail FY 2013-18'!V503+'Budget Detail FY 2013-18'!V494</f>
        <v>1705069</v>
      </c>
      <c r="L1094" s="166" t="s">
        <v>1462</v>
      </c>
    </row>
    <row r="1095" spans="1:12" s="158" customFormat="1" ht="15" hidden="1">
      <c r="A1095" s="196"/>
      <c r="B1095" s="197"/>
      <c r="C1095" s="203">
        <f>C1093-C1094</f>
        <v>0</v>
      </c>
      <c r="D1095" s="203">
        <f t="shared" ref="D1095:K1095" si="199">D1093-D1094</f>
        <v>0</v>
      </c>
      <c r="E1095" s="203">
        <f t="shared" si="199"/>
        <v>0</v>
      </c>
      <c r="F1095" s="203">
        <f t="shared" si="199"/>
        <v>0</v>
      </c>
      <c r="G1095" s="203">
        <f t="shared" si="199"/>
        <v>0</v>
      </c>
      <c r="H1095" s="203">
        <f t="shared" si="199"/>
        <v>0</v>
      </c>
      <c r="I1095" s="203">
        <f t="shared" si="199"/>
        <v>0</v>
      </c>
      <c r="J1095" s="203">
        <f t="shared" si="199"/>
        <v>0</v>
      </c>
      <c r="K1095" s="203">
        <f t="shared" si="199"/>
        <v>0</v>
      </c>
      <c r="L1095" s="167" t="s">
        <v>1463</v>
      </c>
    </row>
    <row r="1096" spans="1:12" ht="7.5" customHeight="1">
      <c r="A1096" s="190"/>
      <c r="B1096" s="1"/>
      <c r="C1096" s="2"/>
      <c r="D1096" s="2"/>
      <c r="E1096" s="2"/>
      <c r="F1096" s="2"/>
      <c r="G1096" s="2"/>
      <c r="H1096" s="2"/>
      <c r="I1096" s="2"/>
      <c r="J1096" s="2"/>
      <c r="K1096" s="2"/>
    </row>
    <row r="1097" spans="1:12" ht="15">
      <c r="A1097" s="190"/>
      <c r="B1097" s="198" t="s">
        <v>761</v>
      </c>
      <c r="C1097" s="2"/>
      <c r="D1097" s="2"/>
      <c r="E1097" s="2"/>
      <c r="F1097" s="2"/>
      <c r="G1097" s="2"/>
      <c r="H1097" s="2"/>
      <c r="I1097" s="2"/>
      <c r="J1097" s="2"/>
      <c r="K1097" s="2"/>
    </row>
    <row r="1098" spans="1:12" ht="20.100000000000001" customHeight="1">
      <c r="A1098" s="190"/>
      <c r="B1098" s="199" t="s">
        <v>1057</v>
      </c>
      <c r="C1098" s="2">
        <f t="shared" ref="C1098:K1098" si="200">C598+C647</f>
        <v>912499</v>
      </c>
      <c r="D1098" s="2">
        <f t="shared" si="200"/>
        <v>853663</v>
      </c>
      <c r="E1098" s="2">
        <f t="shared" si="200"/>
        <v>925800</v>
      </c>
      <c r="F1098" s="2">
        <f t="shared" si="200"/>
        <v>840050</v>
      </c>
      <c r="G1098" s="2">
        <f t="shared" si="200"/>
        <v>791493</v>
      </c>
      <c r="H1098" s="2">
        <f t="shared" si="200"/>
        <v>772993</v>
      </c>
      <c r="I1098" s="2">
        <f t="shared" si="200"/>
        <v>774568</v>
      </c>
      <c r="J1098" s="2">
        <f t="shared" si="200"/>
        <v>776222</v>
      </c>
      <c r="K1098" s="2">
        <f t="shared" si="200"/>
        <v>777958</v>
      </c>
    </row>
    <row r="1099" spans="1:12" ht="20.100000000000001" customHeight="1">
      <c r="A1099" s="190"/>
      <c r="B1099" s="199" t="s">
        <v>1058</v>
      </c>
      <c r="C1099" s="2">
        <f t="shared" ref="C1099:K1099" si="201">C599+C648</f>
        <v>137717</v>
      </c>
      <c r="D1099" s="2">
        <f t="shared" si="201"/>
        <v>132716</v>
      </c>
      <c r="E1099" s="2">
        <f t="shared" si="201"/>
        <v>325689</v>
      </c>
      <c r="F1099" s="2">
        <f t="shared" si="201"/>
        <v>331945</v>
      </c>
      <c r="G1099" s="2">
        <f t="shared" si="201"/>
        <v>351668</v>
      </c>
      <c r="H1099" s="2">
        <f t="shared" si="201"/>
        <v>373476</v>
      </c>
      <c r="I1099" s="2">
        <f t="shared" si="201"/>
        <v>397463</v>
      </c>
      <c r="J1099" s="2">
        <f t="shared" si="201"/>
        <v>413300</v>
      </c>
      <c r="K1099" s="2">
        <f t="shared" si="201"/>
        <v>430087</v>
      </c>
    </row>
    <row r="1100" spans="1:12" ht="20.100000000000001" customHeight="1">
      <c r="A1100" s="190"/>
      <c r="B1100" s="199" t="s">
        <v>1059</v>
      </c>
      <c r="C1100" s="2">
        <f t="shared" ref="C1100:K1100" si="202">C600+C649</f>
        <v>510630</v>
      </c>
      <c r="D1100" s="2">
        <f t="shared" si="202"/>
        <v>540570</v>
      </c>
      <c r="E1100" s="2">
        <f t="shared" si="202"/>
        <v>585780</v>
      </c>
      <c r="F1100" s="2">
        <f t="shared" si="202"/>
        <v>637680</v>
      </c>
      <c r="G1100" s="2">
        <f t="shared" si="202"/>
        <v>341530</v>
      </c>
      <c r="H1100" s="2">
        <f t="shared" si="202"/>
        <v>222530</v>
      </c>
      <c r="I1100" s="2">
        <f t="shared" si="202"/>
        <v>196993</v>
      </c>
      <c r="J1100" s="2">
        <f t="shared" si="202"/>
        <v>201679</v>
      </c>
      <c r="K1100" s="2">
        <f t="shared" si="202"/>
        <v>206598</v>
      </c>
    </row>
    <row r="1101" spans="1:12" ht="20.100000000000001" customHeight="1">
      <c r="A1101" s="190"/>
      <c r="B1101" s="199" t="s">
        <v>1060</v>
      </c>
      <c r="C1101" s="2">
        <f t="shared" ref="C1101:K1101" si="203">C601+C650</f>
        <v>287298</v>
      </c>
      <c r="D1101" s="2">
        <f t="shared" si="203"/>
        <v>283625</v>
      </c>
      <c r="E1101" s="2">
        <f t="shared" si="203"/>
        <v>373131</v>
      </c>
      <c r="F1101" s="2">
        <f t="shared" si="203"/>
        <v>357156</v>
      </c>
      <c r="G1101" s="2">
        <f t="shared" si="203"/>
        <v>307889</v>
      </c>
      <c r="H1101" s="2">
        <f t="shared" si="203"/>
        <v>293358</v>
      </c>
      <c r="I1101" s="2">
        <f t="shared" si="203"/>
        <v>295186</v>
      </c>
      <c r="J1101" s="2">
        <f t="shared" si="203"/>
        <v>297141</v>
      </c>
      <c r="K1101" s="2">
        <f t="shared" si="203"/>
        <v>299233</v>
      </c>
    </row>
    <row r="1102" spans="1:12" ht="20.100000000000001" customHeight="1">
      <c r="A1102" s="190"/>
      <c r="B1102" s="199" t="s">
        <v>1061</v>
      </c>
      <c r="C1102" s="2">
        <f>C335</f>
        <v>24658</v>
      </c>
      <c r="D1102" s="2">
        <f t="shared" ref="D1102:K1102" si="204">D335</f>
        <v>0</v>
      </c>
      <c r="E1102" s="2">
        <f t="shared" si="204"/>
        <v>50000</v>
      </c>
      <c r="F1102" s="2">
        <f t="shared" si="204"/>
        <v>12000</v>
      </c>
      <c r="G1102" s="2">
        <f t="shared" si="204"/>
        <v>17000</v>
      </c>
      <c r="H1102" s="2">
        <f t="shared" si="204"/>
        <v>16000</v>
      </c>
      <c r="I1102" s="2">
        <f t="shared" si="204"/>
        <v>0</v>
      </c>
      <c r="J1102" s="2">
        <f t="shared" si="204"/>
        <v>0</v>
      </c>
      <c r="K1102" s="2">
        <f t="shared" si="204"/>
        <v>0</v>
      </c>
    </row>
    <row r="1103" spans="1:12" ht="20.100000000000001" customHeight="1">
      <c r="A1103" s="190"/>
      <c r="B1103" s="205" t="s">
        <v>967</v>
      </c>
      <c r="C1103" s="2">
        <f>C336</f>
        <v>0</v>
      </c>
      <c r="D1103" s="2">
        <f t="shared" ref="D1103:K1103" si="205">D336</f>
        <v>0</v>
      </c>
      <c r="E1103" s="2">
        <f t="shared" si="205"/>
        <v>0</v>
      </c>
      <c r="F1103" s="2">
        <f t="shared" si="205"/>
        <v>0</v>
      </c>
      <c r="G1103" s="2">
        <f t="shared" si="205"/>
        <v>2500</v>
      </c>
      <c r="H1103" s="2">
        <f t="shared" si="205"/>
        <v>2500</v>
      </c>
      <c r="I1103" s="2">
        <f t="shared" si="205"/>
        <v>2500</v>
      </c>
      <c r="J1103" s="2">
        <f t="shared" si="205"/>
        <v>2500</v>
      </c>
      <c r="K1103" s="2">
        <f t="shared" si="205"/>
        <v>2500</v>
      </c>
    </row>
    <row r="1104" spans="1:12" ht="20.100000000000001" customHeight="1">
      <c r="A1104" s="190"/>
      <c r="B1104" s="205" t="s">
        <v>1063</v>
      </c>
      <c r="C1104" s="2">
        <f t="shared" ref="C1104:K1104" si="206">C337+C602</f>
        <v>0</v>
      </c>
      <c r="D1104" s="2">
        <f t="shared" si="206"/>
        <v>3500</v>
      </c>
      <c r="E1104" s="2">
        <f t="shared" si="206"/>
        <v>2500</v>
      </c>
      <c r="F1104" s="2">
        <f t="shared" si="206"/>
        <v>2500</v>
      </c>
      <c r="G1104" s="2">
        <f t="shared" si="206"/>
        <v>606957</v>
      </c>
      <c r="H1104" s="2">
        <f t="shared" si="206"/>
        <v>0</v>
      </c>
      <c r="I1104" s="2">
        <f t="shared" si="206"/>
        <v>0</v>
      </c>
      <c r="J1104" s="2">
        <f t="shared" si="206"/>
        <v>0</v>
      </c>
      <c r="K1104" s="2">
        <f t="shared" si="206"/>
        <v>0</v>
      </c>
    </row>
    <row r="1105" spans="1:12" ht="20.100000000000001" customHeight="1" thickBot="1">
      <c r="A1105" s="190"/>
      <c r="B1105" s="193" t="s">
        <v>1064</v>
      </c>
      <c r="C1105" s="188">
        <f>SUM(C1098:C1104)</f>
        <v>1872802</v>
      </c>
      <c r="D1105" s="188">
        <f t="shared" ref="D1105:K1105" si="207">SUM(D1098:D1104)</f>
        <v>1814074</v>
      </c>
      <c r="E1105" s="188">
        <f t="shared" si="207"/>
        <v>2262900</v>
      </c>
      <c r="F1105" s="188">
        <f t="shared" si="207"/>
        <v>2181331</v>
      </c>
      <c r="G1105" s="188">
        <f t="shared" si="207"/>
        <v>2419037</v>
      </c>
      <c r="H1105" s="188">
        <f t="shared" si="207"/>
        <v>1680857</v>
      </c>
      <c r="I1105" s="188">
        <f t="shared" si="207"/>
        <v>1666710</v>
      </c>
      <c r="J1105" s="188">
        <f t="shared" si="207"/>
        <v>1690842</v>
      </c>
      <c r="K1105" s="188">
        <f t="shared" si="207"/>
        <v>1716376</v>
      </c>
    </row>
    <row r="1106" spans="1:12" s="152" customFormat="1" ht="15" hidden="1">
      <c r="A1106" s="194"/>
      <c r="B1106" s="195"/>
      <c r="C1106" s="163">
        <f>'Budget Detail FY 2013-18'!N542+'Budget Detail FY 2013-18'!N891+'Budget Detail FY 2013-18'!N947</f>
        <v>1872802</v>
      </c>
      <c r="D1106" s="163">
        <f>'Budget Detail FY 2013-18'!O542+'Budget Detail FY 2013-18'!O891+'Budget Detail FY 2013-18'!O947</f>
        <v>1814074</v>
      </c>
      <c r="E1106" s="163">
        <f>'Budget Detail FY 2013-18'!P542+'Budget Detail FY 2013-18'!P891+'Budget Detail FY 2013-18'!P947</f>
        <v>2262900</v>
      </c>
      <c r="F1106" s="163">
        <f>'Budget Detail FY 2013-18'!Q542+'Budget Detail FY 2013-18'!Q891+'Budget Detail FY 2013-18'!Q947</f>
        <v>2181331</v>
      </c>
      <c r="G1106" s="163">
        <f>'Budget Detail FY 2013-18'!R542+'Budget Detail FY 2013-18'!R891+'Budget Detail FY 2013-18'!R947</f>
        <v>2419037</v>
      </c>
      <c r="H1106" s="163">
        <f>'Budget Detail FY 2013-18'!S542+'Budget Detail FY 2013-18'!S891+'Budget Detail FY 2013-18'!S947</f>
        <v>1680857</v>
      </c>
      <c r="I1106" s="163">
        <f>'Budget Detail FY 2013-18'!T542+'Budget Detail FY 2013-18'!T891+'Budget Detail FY 2013-18'!T947</f>
        <v>1666710</v>
      </c>
      <c r="J1106" s="163">
        <f>'Budget Detail FY 2013-18'!U542+'Budget Detail FY 2013-18'!U891+'Budget Detail FY 2013-18'!U947</f>
        <v>1690842</v>
      </c>
      <c r="K1106" s="163">
        <f>'Budget Detail FY 2013-18'!V542+'Budget Detail FY 2013-18'!V891+'Budget Detail FY 2013-18'!V947</f>
        <v>1716376</v>
      </c>
      <c r="L1106" s="166" t="s">
        <v>1462</v>
      </c>
    </row>
    <row r="1107" spans="1:12" s="158" customFormat="1" ht="15" hidden="1">
      <c r="A1107" s="196"/>
      <c r="B1107" s="197"/>
      <c r="C1107" s="203">
        <f>C1105-C1106</f>
        <v>0</v>
      </c>
      <c r="D1107" s="203">
        <f t="shared" ref="D1107:K1107" si="208">D1105-D1106</f>
        <v>0</v>
      </c>
      <c r="E1107" s="203">
        <f t="shared" si="208"/>
        <v>0</v>
      </c>
      <c r="F1107" s="203">
        <f t="shared" si="208"/>
        <v>0</v>
      </c>
      <c r="G1107" s="203">
        <f t="shared" si="208"/>
        <v>0</v>
      </c>
      <c r="H1107" s="203">
        <f t="shared" si="208"/>
        <v>0</v>
      </c>
      <c r="I1107" s="203">
        <f t="shared" si="208"/>
        <v>0</v>
      </c>
      <c r="J1107" s="203">
        <f t="shared" si="208"/>
        <v>0</v>
      </c>
      <c r="K1107" s="203">
        <f t="shared" si="208"/>
        <v>0</v>
      </c>
      <c r="L1107" s="167" t="s">
        <v>1463</v>
      </c>
    </row>
    <row r="1108" spans="1:12" ht="7.5" customHeight="1">
      <c r="A1108" s="190"/>
      <c r="B1108" s="200"/>
      <c r="C1108" s="3"/>
      <c r="D1108" s="2"/>
      <c r="E1108" s="2"/>
      <c r="F1108" s="2"/>
      <c r="G1108" s="2"/>
      <c r="H1108" s="2"/>
      <c r="I1108" s="2"/>
      <c r="J1108" s="2"/>
      <c r="K1108" s="2"/>
    </row>
    <row r="1109" spans="1:12" ht="20.100000000000001" customHeight="1">
      <c r="A1109" s="190"/>
      <c r="B1109" s="189" t="s">
        <v>1065</v>
      </c>
      <c r="C1109" s="3">
        <f t="shared" ref="C1109:K1109" si="209">+C1093-C1105</f>
        <v>123727</v>
      </c>
      <c r="D1109" s="3">
        <f t="shared" si="209"/>
        <v>34627</v>
      </c>
      <c r="E1109" s="3">
        <f t="shared" si="209"/>
        <v>-145453</v>
      </c>
      <c r="F1109" s="3">
        <f t="shared" si="209"/>
        <v>-206264</v>
      </c>
      <c r="G1109" s="3">
        <f t="shared" si="209"/>
        <v>480349</v>
      </c>
      <c r="H1109" s="3">
        <f t="shared" si="209"/>
        <v>-104821</v>
      </c>
      <c r="I1109" s="3">
        <f t="shared" si="209"/>
        <v>-8077</v>
      </c>
      <c r="J1109" s="3">
        <f t="shared" si="209"/>
        <v>-7848</v>
      </c>
      <c r="K1109" s="3">
        <f t="shared" si="209"/>
        <v>-11307</v>
      </c>
    </row>
    <row r="1110" spans="1:12" s="152" customFormat="1" ht="15" hidden="1">
      <c r="A1110" s="194"/>
      <c r="B1110" s="201"/>
      <c r="C1110" s="163">
        <f>'Budget Detail FY 2013-18'!N949+'Budget Detail FY 2013-18'!N893+('Budget Detail FY 2013-18'!N494+'Budget Detail FY 2013-18'!N503+'Budget Detail FY 2013-18'!N504+'Budget Detail FY 2013-18'!N508-'Budget Detail FY 2013-18'!N542)</f>
        <v>123727</v>
      </c>
      <c r="D1110" s="163">
        <f>'Budget Detail FY 2013-18'!O949+'Budget Detail FY 2013-18'!O893+('Budget Detail FY 2013-18'!O494+'Budget Detail FY 2013-18'!O503+'Budget Detail FY 2013-18'!O504+'Budget Detail FY 2013-18'!O508-'Budget Detail FY 2013-18'!O542)</f>
        <v>34627</v>
      </c>
      <c r="E1110" s="163">
        <f>'Budget Detail FY 2013-18'!P949+'Budget Detail FY 2013-18'!P893+('Budget Detail FY 2013-18'!P494+'Budget Detail FY 2013-18'!P503+'Budget Detail FY 2013-18'!P504+'Budget Detail FY 2013-18'!P508-'Budget Detail FY 2013-18'!P542)</f>
        <v>-145453</v>
      </c>
      <c r="F1110" s="163">
        <f>'Budget Detail FY 2013-18'!Q949+'Budget Detail FY 2013-18'!Q893+('Budget Detail FY 2013-18'!Q494+'Budget Detail FY 2013-18'!Q503+'Budget Detail FY 2013-18'!Q504+'Budget Detail FY 2013-18'!Q508-'Budget Detail FY 2013-18'!Q542)</f>
        <v>-206264</v>
      </c>
      <c r="G1110" s="163">
        <f>'Budget Detail FY 2013-18'!R949+'Budget Detail FY 2013-18'!R893+('Budget Detail FY 2013-18'!R494+'Budget Detail FY 2013-18'!R503+'Budget Detail FY 2013-18'!R504+'Budget Detail FY 2013-18'!R508-'Budget Detail FY 2013-18'!R542)</f>
        <v>480349</v>
      </c>
      <c r="H1110" s="163">
        <f>'Budget Detail FY 2013-18'!S949+'Budget Detail FY 2013-18'!S893+('Budget Detail FY 2013-18'!S494+'Budget Detail FY 2013-18'!S503+'Budget Detail FY 2013-18'!S504+'Budget Detail FY 2013-18'!S508-'Budget Detail FY 2013-18'!S542)</f>
        <v>-104821</v>
      </c>
      <c r="I1110" s="163">
        <f>'Budget Detail FY 2013-18'!T949+'Budget Detail FY 2013-18'!T893+('Budget Detail FY 2013-18'!T494+'Budget Detail FY 2013-18'!T503+'Budget Detail FY 2013-18'!T504+'Budget Detail FY 2013-18'!T508-'Budget Detail FY 2013-18'!T542)</f>
        <v>-8077</v>
      </c>
      <c r="J1110" s="163">
        <f>'Budget Detail FY 2013-18'!U949+'Budget Detail FY 2013-18'!U893+('Budget Detail FY 2013-18'!U494+'Budget Detail FY 2013-18'!U503+'Budget Detail FY 2013-18'!U504+'Budget Detail FY 2013-18'!U508-'Budget Detail FY 2013-18'!U542)</f>
        <v>-7848</v>
      </c>
      <c r="K1110" s="163">
        <f>'Budget Detail FY 2013-18'!V949+'Budget Detail FY 2013-18'!V893+('Budget Detail FY 2013-18'!V494+'Budget Detail FY 2013-18'!V503+'Budget Detail FY 2013-18'!V504+'Budget Detail FY 2013-18'!V508-'Budget Detail FY 2013-18'!V542)</f>
        <v>-11307</v>
      </c>
      <c r="L1110" s="166" t="s">
        <v>1462</v>
      </c>
    </row>
    <row r="1111" spans="1:12" s="158" customFormat="1" ht="15" hidden="1">
      <c r="A1111" s="196"/>
      <c r="B1111" s="202"/>
      <c r="C1111" s="211">
        <f>C1109-C1110</f>
        <v>0</v>
      </c>
      <c r="D1111" s="211">
        <f t="shared" ref="D1111:K1111" si="210">D1109-D1110</f>
        <v>0</v>
      </c>
      <c r="E1111" s="211">
        <f t="shared" si="210"/>
        <v>0</v>
      </c>
      <c r="F1111" s="211">
        <f t="shared" si="210"/>
        <v>0</v>
      </c>
      <c r="G1111" s="211">
        <f t="shared" si="210"/>
        <v>0</v>
      </c>
      <c r="H1111" s="211">
        <f t="shared" si="210"/>
        <v>0</v>
      </c>
      <c r="I1111" s="211">
        <f t="shared" si="210"/>
        <v>0</v>
      </c>
      <c r="J1111" s="211">
        <f t="shared" si="210"/>
        <v>0</v>
      </c>
      <c r="K1111" s="211">
        <f t="shared" si="210"/>
        <v>0</v>
      </c>
      <c r="L1111" s="167" t="s">
        <v>1463</v>
      </c>
    </row>
    <row r="1112" spans="1:12" ht="7.5" customHeight="1">
      <c r="A1112" s="190"/>
      <c r="B1112" s="204"/>
      <c r="C1112" s="3"/>
      <c r="D1112" s="2"/>
      <c r="E1112" s="2"/>
      <c r="F1112" s="2"/>
      <c r="G1112" s="2"/>
      <c r="H1112" s="2"/>
      <c r="I1112" s="2"/>
      <c r="J1112" s="2"/>
      <c r="K1112" s="2"/>
    </row>
    <row r="1113" spans="1:12" ht="20.100000000000001" customHeight="1" thickBot="1">
      <c r="A1113" s="190"/>
      <c r="B1113" s="191" t="s">
        <v>1066</v>
      </c>
      <c r="C1113" s="99">
        <v>87914</v>
      </c>
      <c r="D1113" s="99">
        <v>122537</v>
      </c>
      <c r="E1113" s="99">
        <v>-159341</v>
      </c>
      <c r="F1113" s="99">
        <f>D1113+F1109</f>
        <v>-83727</v>
      </c>
      <c r="G1113" s="99">
        <f>F1113+G1109</f>
        <v>396622</v>
      </c>
      <c r="H1113" s="99">
        <f>G1113+H1109</f>
        <v>291801</v>
      </c>
      <c r="I1113" s="99">
        <f>H1113+I1109</f>
        <v>283724</v>
      </c>
      <c r="J1113" s="99">
        <f>I1113+J1109</f>
        <v>275876</v>
      </c>
      <c r="K1113" s="99">
        <f>J1113+K1109</f>
        <v>264569</v>
      </c>
    </row>
    <row r="1114" spans="1:12" s="152" customFormat="1" ht="15.75" hidden="1" thickTop="1">
      <c r="A1114" s="194"/>
      <c r="B1114" s="195"/>
      <c r="C1114" s="163">
        <f>'Budget Detail FY 2013-18'!N552+'Budget Detail FY 2013-18'!N895+'Budget Detail FY 2013-18'!N951</f>
        <v>87914</v>
      </c>
      <c r="D1114" s="163">
        <f>'Budget Detail FY 2013-18'!O552+'Budget Detail FY 2013-18'!O895+'Budget Detail FY 2013-18'!O951</f>
        <v>122537</v>
      </c>
      <c r="E1114" s="163">
        <f>'Budget Detail FY 2013-18'!P552+'Budget Detail FY 2013-18'!P895+'Budget Detail FY 2013-18'!P951</f>
        <v>-159341</v>
      </c>
      <c r="F1114" s="163">
        <f>'Budget Detail FY 2013-18'!Q552+'Budget Detail FY 2013-18'!Q895+'Budget Detail FY 2013-18'!Q951</f>
        <v>-83727</v>
      </c>
      <c r="G1114" s="163">
        <f>'Budget Detail FY 2013-18'!R552+'Budget Detail FY 2013-18'!R895+'Budget Detail FY 2013-18'!R951</f>
        <v>396622</v>
      </c>
      <c r="H1114" s="163">
        <f>'Budget Detail FY 2013-18'!S552+'Budget Detail FY 2013-18'!S895+'Budget Detail FY 2013-18'!S951</f>
        <v>291801</v>
      </c>
      <c r="I1114" s="163">
        <f>'Budget Detail FY 2013-18'!T552+'Budget Detail FY 2013-18'!T895+'Budget Detail FY 2013-18'!T951</f>
        <v>283724</v>
      </c>
      <c r="J1114" s="163">
        <f>'Budget Detail FY 2013-18'!U552+'Budget Detail FY 2013-18'!U895+'Budget Detail FY 2013-18'!U951</f>
        <v>275876</v>
      </c>
      <c r="K1114" s="163">
        <f>'Budget Detail FY 2013-18'!V552+'Budget Detail FY 2013-18'!V895+'Budget Detail FY 2013-18'!V951</f>
        <v>264569</v>
      </c>
      <c r="L1114" s="166" t="s">
        <v>1462</v>
      </c>
    </row>
    <row r="1115" spans="1:12" s="158" customFormat="1" ht="15" hidden="1">
      <c r="A1115" s="196"/>
      <c r="B1115" s="197"/>
      <c r="C1115" s="203">
        <f>C1113-C1114</f>
        <v>0</v>
      </c>
      <c r="D1115" s="203">
        <f t="shared" ref="D1115:K1115" si="211">D1113-D1114</f>
        <v>0</v>
      </c>
      <c r="E1115" s="203">
        <f t="shared" si="211"/>
        <v>0</v>
      </c>
      <c r="F1115" s="203">
        <f t="shared" si="211"/>
        <v>0</v>
      </c>
      <c r="G1115" s="203">
        <f t="shared" si="211"/>
        <v>0</v>
      </c>
      <c r="H1115" s="203">
        <f t="shared" si="211"/>
        <v>0</v>
      </c>
      <c r="I1115" s="203">
        <f t="shared" si="211"/>
        <v>0</v>
      </c>
      <c r="J1115" s="203">
        <f t="shared" si="211"/>
        <v>0</v>
      </c>
      <c r="K1115" s="203">
        <f t="shared" si="211"/>
        <v>0</v>
      </c>
      <c r="L1115" s="167" t="s">
        <v>1463</v>
      </c>
    </row>
    <row r="1116" spans="1:12" ht="15.75" thickTop="1">
      <c r="A1116" s="190"/>
      <c r="B1116" s="205"/>
      <c r="C1116" s="213">
        <f>+C1113/C1105</f>
        <v>4.6942495789731108E-2</v>
      </c>
      <c r="D1116" s="213">
        <f t="shared" ref="D1116:K1116" si="212">+D1113/D1105</f>
        <v>6.7547961108532506E-2</v>
      </c>
      <c r="E1116" s="213">
        <f t="shared" si="212"/>
        <v>-7.0414512351407485E-2</v>
      </c>
      <c r="F1116" s="213">
        <f t="shared" si="212"/>
        <v>-3.8383445703563557E-2</v>
      </c>
      <c r="G1116" s="213">
        <f t="shared" si="212"/>
        <v>0.1639586331254958</v>
      </c>
      <c r="H1116" s="213">
        <f t="shared" si="212"/>
        <v>0.17360251347973088</v>
      </c>
      <c r="I1116" s="213">
        <f t="shared" si="212"/>
        <v>0.17022997402067547</v>
      </c>
      <c r="J1116" s="213">
        <f t="shared" si="212"/>
        <v>0.16315894684423501</v>
      </c>
      <c r="K1116" s="213">
        <f t="shared" si="212"/>
        <v>0.15414396379348114</v>
      </c>
    </row>
    <row r="1117" spans="1:12" ht="7.5" customHeight="1">
      <c r="A1117" s="190"/>
      <c r="B1117" s="205"/>
      <c r="C1117" s="2"/>
      <c r="D1117" s="2"/>
      <c r="E1117" s="2"/>
      <c r="F1117" s="2"/>
      <c r="G1117" s="2"/>
      <c r="H1117" s="2"/>
      <c r="I1117" s="2"/>
      <c r="J1117" s="2"/>
      <c r="K1117" s="2"/>
    </row>
    <row r="1118" spans="1:12" ht="15">
      <c r="A1118" s="190"/>
      <c r="B1118" s="1"/>
      <c r="C1118" s="2"/>
      <c r="D1118" s="2"/>
      <c r="E1118" s="2"/>
      <c r="F1118" s="2"/>
      <c r="G1118" s="2"/>
      <c r="H1118" s="2"/>
      <c r="I1118" s="2"/>
      <c r="J1118" s="2"/>
      <c r="K1118" s="2"/>
    </row>
    <row r="1119" spans="1:12" ht="15">
      <c r="A1119" s="190"/>
      <c r="B1119" s="1"/>
      <c r="C1119" s="2"/>
      <c r="D1119" s="2"/>
      <c r="E1119" s="2"/>
      <c r="F1119" s="2"/>
      <c r="G1119" s="2"/>
      <c r="H1119" s="2"/>
      <c r="I1119" s="2"/>
      <c r="J1119" s="2"/>
      <c r="K1119" s="2"/>
    </row>
    <row r="1120" spans="1:12" ht="15">
      <c r="A1120" s="190"/>
      <c r="B1120" s="1"/>
      <c r="C1120" s="2"/>
      <c r="D1120" s="2"/>
      <c r="E1120" s="2"/>
      <c r="F1120" s="2"/>
      <c r="G1120" s="2"/>
      <c r="H1120" s="2"/>
      <c r="I1120" s="2"/>
      <c r="J1120" s="2"/>
      <c r="K1120" s="2"/>
    </row>
    <row r="1121" spans="1:11" ht="15">
      <c r="A1121" s="190"/>
      <c r="B1121" s="1"/>
      <c r="C1121" s="2"/>
      <c r="D1121" s="2"/>
      <c r="E1121" s="2"/>
      <c r="F1121" s="2"/>
      <c r="G1121" s="2"/>
      <c r="H1121" s="2"/>
      <c r="I1121" s="2"/>
      <c r="J1121" s="2"/>
      <c r="K1121" s="2"/>
    </row>
    <row r="1122" spans="1:11" ht="15">
      <c r="A1122" s="190"/>
      <c r="B1122" s="1"/>
      <c r="C1122" s="2"/>
      <c r="D1122" s="2"/>
      <c r="E1122" s="2"/>
      <c r="F1122" s="2"/>
      <c r="G1122" s="2"/>
      <c r="H1122" s="2"/>
      <c r="I1122" s="2"/>
      <c r="J1122" s="2"/>
      <c r="K1122" s="2"/>
    </row>
    <row r="1123" spans="1:11" ht="15">
      <c r="A1123" s="190"/>
      <c r="B1123" s="1"/>
      <c r="C1123" s="2"/>
      <c r="D1123" s="2"/>
      <c r="E1123" s="2"/>
      <c r="F1123" s="2"/>
      <c r="G1123" s="2"/>
      <c r="H1123" s="2"/>
      <c r="I1123" s="2"/>
      <c r="J1123" s="2"/>
      <c r="K1123" s="2"/>
    </row>
    <row r="1124" spans="1:11" ht="15">
      <c r="A1124" s="190"/>
      <c r="B1124" s="1"/>
      <c r="C1124" s="2"/>
      <c r="D1124" s="2"/>
      <c r="E1124" s="2"/>
      <c r="F1124" s="2"/>
      <c r="G1124" s="2"/>
      <c r="H1124" s="2"/>
      <c r="I1124" s="2"/>
      <c r="J1124" s="2"/>
      <c r="K1124" s="2"/>
    </row>
    <row r="1125" spans="1:11" ht="15">
      <c r="A1125" s="190"/>
      <c r="B1125" s="1"/>
      <c r="C1125" s="2"/>
      <c r="D1125" s="2"/>
      <c r="E1125" s="2"/>
      <c r="F1125" s="2"/>
      <c r="G1125" s="2"/>
      <c r="H1125" s="2"/>
      <c r="I1125" s="2"/>
      <c r="J1125" s="2"/>
      <c r="K1125" s="2"/>
    </row>
    <row r="1126" spans="1:11" ht="15">
      <c r="A1126" s="190"/>
      <c r="B1126" s="1"/>
      <c r="C1126" s="2"/>
      <c r="D1126" s="2"/>
      <c r="E1126" s="2"/>
      <c r="F1126" s="2"/>
      <c r="G1126" s="2"/>
      <c r="H1126" s="2"/>
      <c r="I1126" s="2"/>
      <c r="J1126" s="2"/>
      <c r="K1126" s="2"/>
    </row>
    <row r="1127" spans="1:11" ht="15">
      <c r="A1127" s="190"/>
      <c r="B1127" s="1"/>
      <c r="C1127" s="2"/>
      <c r="D1127" s="2"/>
      <c r="E1127" s="2"/>
      <c r="F1127" s="2"/>
      <c r="G1127" s="2"/>
      <c r="H1127" s="2"/>
      <c r="I1127" s="2"/>
      <c r="J1127" s="2"/>
      <c r="K1127" s="2"/>
    </row>
    <row r="1128" spans="1:11">
      <c r="A1128" s="190"/>
      <c r="B1128" s="190"/>
      <c r="C1128" s="207"/>
      <c r="D1128" s="207"/>
      <c r="E1128" s="208"/>
      <c r="F1128" s="208"/>
      <c r="G1128" s="208"/>
      <c r="H1128" s="208"/>
      <c r="I1128" s="208"/>
      <c r="J1128" s="208"/>
      <c r="K1128" s="208"/>
    </row>
    <row r="1129" spans="1:11">
      <c r="A1129" s="190"/>
      <c r="B1129" s="190"/>
      <c r="C1129" s="207"/>
      <c r="D1129" s="207"/>
      <c r="E1129" s="208"/>
      <c r="F1129" s="208"/>
      <c r="G1129" s="208"/>
      <c r="H1129" s="208"/>
      <c r="I1129" s="208"/>
      <c r="J1129" s="208"/>
      <c r="K1129" s="208"/>
    </row>
    <row r="1130" spans="1:11">
      <c r="A1130" s="190"/>
      <c r="B1130" s="190"/>
      <c r="C1130" s="207"/>
      <c r="D1130" s="207"/>
      <c r="E1130" s="208"/>
      <c r="F1130" s="208"/>
      <c r="G1130" s="208"/>
      <c r="H1130" s="208"/>
      <c r="I1130" s="208"/>
      <c r="J1130" s="208"/>
      <c r="K1130" s="208"/>
    </row>
    <row r="1131" spans="1:11">
      <c r="A1131" s="190"/>
      <c r="B1131" s="190"/>
      <c r="C1131" s="207"/>
      <c r="D1131" s="207"/>
      <c r="E1131" s="208"/>
      <c r="F1131" s="208"/>
      <c r="G1131" s="208"/>
      <c r="H1131" s="208"/>
      <c r="I1131" s="208"/>
      <c r="J1131" s="208"/>
      <c r="K1131" s="208"/>
    </row>
    <row r="1132" spans="1:11">
      <c r="A1132" s="190"/>
      <c r="B1132" s="190"/>
      <c r="C1132" s="207"/>
      <c r="D1132" s="207"/>
      <c r="E1132" s="208"/>
      <c r="F1132" s="208"/>
      <c r="G1132" s="208"/>
      <c r="H1132" s="208"/>
      <c r="I1132" s="208"/>
      <c r="J1132" s="208"/>
      <c r="K1132" s="208"/>
    </row>
    <row r="1133" spans="1:11">
      <c r="A1133" s="190"/>
      <c r="B1133" s="190"/>
      <c r="C1133" s="207"/>
      <c r="D1133" s="207"/>
      <c r="E1133" s="208"/>
      <c r="F1133" s="208"/>
      <c r="G1133" s="208"/>
      <c r="H1133" s="208"/>
      <c r="I1133" s="208"/>
      <c r="J1133" s="208"/>
      <c r="K1133" s="208"/>
    </row>
    <row r="1134" spans="1:11">
      <c r="A1134" s="190"/>
      <c r="B1134" s="190"/>
      <c r="C1134" s="207"/>
      <c r="D1134" s="207"/>
      <c r="E1134" s="208"/>
      <c r="F1134" s="208"/>
      <c r="G1134" s="208"/>
      <c r="H1134" s="208"/>
      <c r="I1134" s="208"/>
      <c r="J1134" s="208"/>
      <c r="K1134" s="208"/>
    </row>
    <row r="1135" spans="1:11">
      <c r="A1135" s="190"/>
      <c r="B1135" s="190"/>
      <c r="C1135" s="207"/>
      <c r="D1135" s="207"/>
      <c r="E1135" s="208"/>
      <c r="F1135" s="208"/>
      <c r="G1135" s="208"/>
      <c r="H1135" s="208"/>
      <c r="I1135" s="208"/>
      <c r="J1135" s="208"/>
      <c r="K1135" s="208"/>
    </row>
    <row r="1136" spans="1:11">
      <c r="A1136" s="190"/>
      <c r="B1136" s="190"/>
      <c r="C1136" s="207"/>
      <c r="D1136" s="207"/>
      <c r="E1136" s="208"/>
      <c r="F1136" s="208"/>
      <c r="G1136" s="208"/>
      <c r="H1136" s="208"/>
      <c r="I1136" s="208"/>
      <c r="J1136" s="208"/>
      <c r="K1136" s="208"/>
    </row>
    <row r="1137" spans="1:11">
      <c r="A1137" s="190"/>
      <c r="B1137" s="190"/>
      <c r="C1137" s="207"/>
      <c r="D1137" s="207"/>
      <c r="E1137" s="208"/>
      <c r="F1137" s="208"/>
      <c r="G1137" s="208"/>
      <c r="H1137" s="208"/>
      <c r="I1137" s="208"/>
      <c r="J1137" s="208"/>
      <c r="K1137" s="208"/>
    </row>
    <row r="1138" spans="1:11">
      <c r="A1138" s="190"/>
      <c r="B1138" s="190"/>
      <c r="C1138" s="207"/>
      <c r="D1138" s="207"/>
      <c r="E1138" s="208"/>
      <c r="F1138" s="208"/>
      <c r="G1138" s="208"/>
      <c r="H1138" s="208"/>
      <c r="I1138" s="208"/>
      <c r="J1138" s="208"/>
      <c r="K1138" s="208"/>
    </row>
    <row r="1139" spans="1:11">
      <c r="A1139" s="190"/>
      <c r="B1139" s="190"/>
      <c r="C1139" s="207"/>
      <c r="D1139" s="207"/>
      <c r="E1139" s="208"/>
      <c r="F1139" s="208"/>
      <c r="G1139" s="208"/>
      <c r="H1139" s="208"/>
      <c r="I1139" s="208"/>
      <c r="J1139" s="208"/>
      <c r="K1139" s="208"/>
    </row>
    <row r="1140" spans="1:11">
      <c r="A1140" s="190"/>
      <c r="B1140" s="190"/>
      <c r="C1140" s="207"/>
      <c r="D1140" s="207"/>
      <c r="E1140" s="208"/>
      <c r="F1140" s="208"/>
      <c r="G1140" s="208"/>
      <c r="H1140" s="208"/>
      <c r="I1140" s="208"/>
      <c r="J1140" s="208"/>
      <c r="K1140" s="208"/>
    </row>
    <row r="1141" spans="1:11">
      <c r="A1141" s="190"/>
      <c r="B1141" s="190"/>
      <c r="C1141" s="207"/>
      <c r="D1141" s="207"/>
      <c r="E1141" s="208"/>
      <c r="F1141" s="208"/>
      <c r="G1141" s="208"/>
      <c r="H1141" s="208"/>
      <c r="I1141" s="208"/>
      <c r="J1141" s="208"/>
      <c r="K1141" s="208"/>
    </row>
    <row r="1142" spans="1:11">
      <c r="A1142" s="190"/>
      <c r="B1142" s="190"/>
      <c r="C1142" s="207"/>
      <c r="D1142" s="207"/>
      <c r="E1142" s="208"/>
      <c r="F1142" s="208"/>
      <c r="G1142" s="208"/>
      <c r="H1142" s="208"/>
      <c r="I1142" s="208"/>
      <c r="J1142" s="208"/>
      <c r="K1142" s="208"/>
    </row>
    <row r="1143" spans="1:11">
      <c r="A1143" s="190"/>
      <c r="B1143" s="190"/>
      <c r="C1143" s="207"/>
      <c r="D1143" s="207"/>
      <c r="E1143" s="208"/>
      <c r="F1143" s="208"/>
      <c r="G1143" s="208"/>
      <c r="H1143" s="208"/>
      <c r="I1143" s="208"/>
      <c r="J1143" s="208"/>
      <c r="K1143" s="208"/>
    </row>
    <row r="1144" spans="1:11">
      <c r="A1144" s="190"/>
      <c r="B1144" s="190"/>
      <c r="C1144" s="207"/>
      <c r="D1144" s="207"/>
      <c r="E1144" s="208"/>
      <c r="F1144" s="208"/>
      <c r="G1144" s="208"/>
      <c r="H1144" s="208"/>
      <c r="I1144" s="208"/>
      <c r="J1144" s="208"/>
      <c r="K1144" s="208"/>
    </row>
    <row r="1145" spans="1:11">
      <c r="A1145" s="190"/>
      <c r="B1145" s="190"/>
      <c r="C1145" s="207"/>
      <c r="D1145" s="207"/>
      <c r="E1145" s="208"/>
      <c r="F1145" s="208"/>
      <c r="G1145" s="208"/>
      <c r="H1145" s="208"/>
      <c r="I1145" s="208"/>
      <c r="J1145" s="208"/>
      <c r="K1145" s="208"/>
    </row>
    <row r="1146" spans="1:11">
      <c r="A1146" s="190"/>
      <c r="B1146" s="190"/>
      <c r="C1146" s="207"/>
      <c r="D1146" s="207"/>
      <c r="E1146" s="208"/>
      <c r="F1146" s="208"/>
      <c r="G1146" s="208"/>
      <c r="H1146" s="208"/>
      <c r="I1146" s="208"/>
      <c r="J1146" s="208"/>
      <c r="K1146" s="208"/>
    </row>
    <row r="1147" spans="1:11">
      <c r="A1147" s="190"/>
      <c r="B1147" s="190"/>
      <c r="C1147" s="207"/>
      <c r="D1147" s="207"/>
      <c r="E1147" s="208"/>
      <c r="F1147" s="208"/>
      <c r="G1147" s="208"/>
      <c r="H1147" s="208"/>
      <c r="I1147" s="208"/>
      <c r="J1147" s="208"/>
      <c r="K1147" s="208"/>
    </row>
    <row r="1148" spans="1:11">
      <c r="A1148" s="190"/>
      <c r="B1148" s="190"/>
      <c r="C1148" s="207"/>
      <c r="D1148" s="207"/>
      <c r="E1148" s="208"/>
      <c r="F1148" s="208"/>
      <c r="G1148" s="208"/>
      <c r="H1148" s="208"/>
      <c r="I1148" s="208"/>
      <c r="J1148" s="208"/>
      <c r="K1148" s="208"/>
    </row>
    <row r="1149" spans="1:11">
      <c r="A1149" s="190"/>
      <c r="B1149" s="190"/>
      <c r="C1149" s="207"/>
      <c r="D1149" s="207"/>
      <c r="E1149" s="208"/>
      <c r="F1149" s="208"/>
      <c r="G1149" s="208"/>
      <c r="H1149" s="208"/>
      <c r="I1149" s="208"/>
      <c r="J1149" s="208"/>
      <c r="K1149" s="208"/>
    </row>
    <row r="1150" spans="1:11">
      <c r="A1150" s="190"/>
      <c r="B1150" s="190"/>
      <c r="C1150" s="207"/>
      <c r="D1150" s="207"/>
      <c r="E1150" s="208"/>
      <c r="F1150" s="208"/>
      <c r="G1150" s="208"/>
      <c r="H1150" s="208"/>
      <c r="I1150" s="208"/>
      <c r="J1150" s="208"/>
      <c r="K1150" s="208"/>
    </row>
    <row r="1151" spans="1:11">
      <c r="A1151" s="190"/>
      <c r="B1151" s="190"/>
      <c r="C1151" s="207"/>
      <c r="D1151" s="207"/>
      <c r="E1151" s="208"/>
      <c r="F1151" s="208"/>
      <c r="G1151" s="208"/>
      <c r="H1151" s="208"/>
      <c r="I1151" s="208"/>
      <c r="J1151" s="208"/>
      <c r="K1151" s="208"/>
    </row>
    <row r="1152" spans="1:11">
      <c r="A1152" s="190"/>
      <c r="B1152" s="190"/>
      <c r="C1152" s="207"/>
      <c r="D1152" s="207"/>
      <c r="E1152" s="208"/>
      <c r="F1152" s="208"/>
      <c r="G1152" s="208"/>
      <c r="H1152" s="208"/>
      <c r="I1152" s="208"/>
      <c r="J1152" s="208"/>
      <c r="K1152" s="208"/>
    </row>
    <row r="1153" spans="1:11">
      <c r="A1153" s="190"/>
      <c r="B1153" s="190"/>
      <c r="C1153" s="207"/>
      <c r="D1153" s="207"/>
      <c r="E1153" s="208"/>
      <c r="F1153" s="208"/>
      <c r="G1153" s="208"/>
      <c r="H1153" s="208"/>
      <c r="I1153" s="208"/>
      <c r="J1153" s="208"/>
      <c r="K1153" s="208"/>
    </row>
    <row r="1154" spans="1:11">
      <c r="A1154" s="190"/>
      <c r="B1154" s="190"/>
      <c r="C1154" s="207"/>
      <c r="D1154" s="207"/>
      <c r="E1154" s="208"/>
      <c r="F1154" s="208"/>
      <c r="G1154" s="208"/>
      <c r="H1154" s="208"/>
      <c r="I1154" s="208"/>
      <c r="J1154" s="208"/>
      <c r="K1154" s="208"/>
    </row>
    <row r="1155" spans="1:11">
      <c r="A1155" s="190"/>
      <c r="B1155" s="190"/>
      <c r="C1155" s="207"/>
      <c r="D1155" s="207"/>
      <c r="E1155" s="208"/>
      <c r="F1155" s="208"/>
      <c r="G1155" s="208"/>
      <c r="H1155" s="208"/>
      <c r="I1155" s="208"/>
      <c r="J1155" s="208"/>
      <c r="K1155" s="208"/>
    </row>
    <row r="1156" spans="1:11">
      <c r="A1156" s="190"/>
      <c r="B1156" s="190"/>
      <c r="C1156" s="207"/>
      <c r="D1156" s="207"/>
      <c r="E1156" s="208"/>
      <c r="F1156" s="208"/>
      <c r="G1156" s="208"/>
      <c r="H1156" s="208"/>
      <c r="I1156" s="208"/>
      <c r="J1156" s="208"/>
      <c r="K1156" s="208"/>
    </row>
    <row r="1157" spans="1:11">
      <c r="A1157" s="190"/>
      <c r="B1157" s="190"/>
      <c r="C1157" s="207"/>
      <c r="D1157" s="207"/>
      <c r="E1157" s="208"/>
      <c r="F1157" s="208"/>
      <c r="G1157" s="208"/>
      <c r="H1157" s="208"/>
      <c r="I1157" s="208"/>
      <c r="J1157" s="208"/>
      <c r="K1157" s="208"/>
    </row>
    <row r="1158" spans="1:11">
      <c r="A1158" s="190"/>
      <c r="B1158" s="190"/>
      <c r="C1158" s="207"/>
      <c r="D1158" s="207"/>
      <c r="E1158" s="208"/>
      <c r="F1158" s="208"/>
      <c r="G1158" s="208"/>
      <c r="H1158" s="208"/>
      <c r="I1158" s="208"/>
      <c r="J1158" s="208"/>
      <c r="K1158" s="208"/>
    </row>
    <row r="1159" spans="1:11">
      <c r="A1159" s="190"/>
      <c r="B1159" s="190"/>
      <c r="C1159" s="207"/>
      <c r="D1159" s="207"/>
      <c r="E1159" s="208"/>
      <c r="F1159" s="208"/>
      <c r="G1159" s="208"/>
      <c r="H1159" s="208"/>
      <c r="I1159" s="208"/>
      <c r="J1159" s="208"/>
      <c r="K1159" s="208"/>
    </row>
    <row r="1160" spans="1:11">
      <c r="A1160" s="190"/>
      <c r="B1160" s="190"/>
      <c r="C1160" s="207"/>
      <c r="D1160" s="207"/>
      <c r="E1160" s="208"/>
      <c r="F1160" s="208"/>
      <c r="G1160" s="208"/>
      <c r="H1160" s="208"/>
      <c r="I1160" s="208"/>
      <c r="J1160" s="208"/>
      <c r="K1160" s="208"/>
    </row>
    <row r="1161" spans="1:11">
      <c r="A1161" s="190"/>
      <c r="B1161" s="190"/>
      <c r="C1161" s="207"/>
      <c r="D1161" s="207"/>
      <c r="E1161" s="208"/>
      <c r="F1161" s="208"/>
      <c r="G1161" s="208"/>
      <c r="H1161" s="208"/>
      <c r="I1161" s="208"/>
      <c r="J1161" s="208"/>
      <c r="K1161" s="208"/>
    </row>
    <row r="1162" spans="1:11">
      <c r="A1162" s="190"/>
      <c r="B1162" s="190"/>
      <c r="C1162" s="207"/>
      <c r="D1162" s="207"/>
      <c r="E1162" s="208"/>
      <c r="F1162" s="208"/>
      <c r="G1162" s="208"/>
      <c r="H1162" s="208"/>
      <c r="I1162" s="208"/>
      <c r="J1162" s="208"/>
      <c r="K1162" s="208"/>
    </row>
    <row r="1163" spans="1:11">
      <c r="A1163" s="190"/>
      <c r="B1163" s="190"/>
      <c r="C1163" s="207"/>
      <c r="D1163" s="207"/>
      <c r="E1163" s="208"/>
      <c r="F1163" s="208"/>
      <c r="G1163" s="208"/>
      <c r="H1163" s="208"/>
      <c r="I1163" s="208"/>
      <c r="J1163" s="208"/>
      <c r="K1163" s="208"/>
    </row>
    <row r="1164" spans="1:11">
      <c r="A1164" s="190"/>
      <c r="B1164" s="190"/>
      <c r="C1164" s="207"/>
      <c r="D1164" s="207"/>
      <c r="E1164" s="208"/>
      <c r="F1164" s="208"/>
      <c r="G1164" s="208"/>
      <c r="H1164" s="208"/>
      <c r="I1164" s="208"/>
      <c r="J1164" s="208"/>
      <c r="K1164" s="208"/>
    </row>
    <row r="1165" spans="1:11">
      <c r="A1165" s="190"/>
      <c r="B1165" s="190"/>
      <c r="C1165" s="207"/>
      <c r="D1165" s="207"/>
      <c r="E1165" s="208"/>
      <c r="F1165" s="208"/>
      <c r="G1165" s="208"/>
      <c r="H1165" s="208"/>
      <c r="I1165" s="208"/>
      <c r="J1165" s="208"/>
      <c r="K1165" s="208"/>
    </row>
    <row r="1166" spans="1:11">
      <c r="A1166" s="190"/>
      <c r="B1166" s="190"/>
      <c r="C1166" s="207"/>
      <c r="D1166" s="207"/>
      <c r="E1166" s="208"/>
      <c r="F1166" s="208"/>
      <c r="G1166" s="208"/>
      <c r="H1166" s="208"/>
      <c r="I1166" s="208"/>
      <c r="J1166" s="208"/>
      <c r="K1166" s="208"/>
    </row>
    <row r="1167" spans="1:11">
      <c r="A1167" s="190"/>
      <c r="B1167" s="190"/>
      <c r="C1167" s="207"/>
      <c r="D1167" s="207"/>
      <c r="E1167" s="208"/>
      <c r="F1167" s="208"/>
      <c r="G1167" s="208"/>
      <c r="H1167" s="208"/>
      <c r="I1167" s="208"/>
      <c r="J1167" s="208"/>
      <c r="K1167" s="208"/>
    </row>
    <row r="1168" spans="1:11">
      <c r="A1168" s="190"/>
      <c r="B1168" s="190"/>
      <c r="C1168" s="207"/>
      <c r="D1168" s="207"/>
      <c r="E1168" s="208"/>
      <c r="F1168" s="208"/>
      <c r="G1168" s="208"/>
      <c r="H1168" s="208"/>
      <c r="I1168" s="208"/>
      <c r="J1168" s="208"/>
      <c r="K1168" s="208"/>
    </row>
    <row r="1169" spans="1:11">
      <c r="A1169" s="190"/>
      <c r="B1169" s="190"/>
      <c r="C1169" s="207"/>
      <c r="D1169" s="207"/>
      <c r="E1169" s="208"/>
      <c r="F1169" s="208"/>
      <c r="G1169" s="208"/>
      <c r="H1169" s="208"/>
      <c r="I1169" s="208"/>
      <c r="J1169" s="208"/>
      <c r="K1169" s="208"/>
    </row>
    <row r="1170" spans="1:11">
      <c r="A1170" s="190"/>
      <c r="B1170" s="190"/>
      <c r="C1170" s="207"/>
      <c r="D1170" s="207"/>
      <c r="E1170" s="208"/>
      <c r="F1170" s="208"/>
      <c r="G1170" s="208"/>
      <c r="H1170" s="208"/>
      <c r="I1170" s="208"/>
      <c r="J1170" s="208"/>
      <c r="K1170" s="208"/>
    </row>
    <row r="1171" spans="1:11">
      <c r="A1171" s="190"/>
      <c r="B1171" s="190"/>
      <c r="C1171" s="207"/>
      <c r="D1171" s="207"/>
      <c r="E1171" s="208"/>
      <c r="F1171" s="208"/>
      <c r="G1171" s="208"/>
      <c r="H1171" s="208"/>
      <c r="I1171" s="208"/>
      <c r="J1171" s="208"/>
      <c r="K1171" s="208"/>
    </row>
    <row r="1172" spans="1:11">
      <c r="A1172" s="190"/>
      <c r="B1172" s="190"/>
      <c r="C1172" s="207"/>
      <c r="D1172" s="207"/>
      <c r="E1172" s="208"/>
      <c r="F1172" s="208"/>
      <c r="G1172" s="208"/>
      <c r="H1172" s="208"/>
      <c r="I1172" s="208"/>
      <c r="J1172" s="208"/>
      <c r="K1172" s="208"/>
    </row>
    <row r="1173" spans="1:11">
      <c r="A1173" s="190"/>
      <c r="B1173" s="190"/>
      <c r="C1173" s="207"/>
      <c r="D1173" s="207"/>
      <c r="E1173" s="208"/>
      <c r="F1173" s="208"/>
      <c r="G1173" s="208"/>
      <c r="H1173" s="208"/>
      <c r="I1173" s="208"/>
      <c r="J1173" s="208"/>
      <c r="K1173" s="208"/>
    </row>
    <row r="1174" spans="1:11">
      <c r="A1174" s="190"/>
      <c r="B1174" s="190"/>
      <c r="C1174" s="207"/>
      <c r="D1174" s="207"/>
      <c r="E1174" s="208"/>
      <c r="F1174" s="208"/>
      <c r="G1174" s="208"/>
      <c r="H1174" s="208"/>
      <c r="I1174" s="208"/>
      <c r="J1174" s="208"/>
      <c r="K1174" s="208"/>
    </row>
    <row r="1175" spans="1:11">
      <c r="A1175" s="190"/>
      <c r="B1175" s="190"/>
      <c r="C1175" s="207"/>
      <c r="D1175" s="207"/>
      <c r="E1175" s="208"/>
      <c r="F1175" s="208"/>
      <c r="G1175" s="208"/>
      <c r="H1175" s="208"/>
      <c r="I1175" s="208"/>
      <c r="J1175" s="208"/>
      <c r="K1175" s="208"/>
    </row>
    <row r="1176" spans="1:11">
      <c r="A1176" s="190"/>
      <c r="B1176" s="190"/>
      <c r="C1176" s="207"/>
      <c r="D1176" s="207"/>
      <c r="E1176" s="208"/>
      <c r="F1176" s="208"/>
      <c r="G1176" s="208"/>
      <c r="H1176" s="208"/>
      <c r="I1176" s="208"/>
      <c r="J1176" s="208"/>
      <c r="K1176" s="208"/>
    </row>
    <row r="1177" spans="1:11">
      <c r="A1177" s="190"/>
      <c r="B1177" s="190"/>
      <c r="C1177" s="207"/>
      <c r="D1177" s="207"/>
      <c r="E1177" s="208"/>
      <c r="F1177" s="208"/>
      <c r="G1177" s="208"/>
      <c r="H1177" s="208"/>
      <c r="I1177" s="208"/>
      <c r="J1177" s="208"/>
      <c r="K1177" s="208"/>
    </row>
    <row r="1178" spans="1:11">
      <c r="A1178" s="190"/>
      <c r="B1178" s="190"/>
      <c r="C1178" s="207"/>
      <c r="D1178" s="207"/>
      <c r="E1178" s="208"/>
      <c r="F1178" s="208"/>
      <c r="G1178" s="208"/>
      <c r="H1178" s="208"/>
      <c r="I1178" s="208"/>
      <c r="J1178" s="208"/>
      <c r="K1178" s="208"/>
    </row>
    <row r="1179" spans="1:11">
      <c r="A1179" s="190"/>
      <c r="B1179" s="190"/>
      <c r="C1179" s="207"/>
      <c r="D1179" s="207"/>
      <c r="E1179" s="208"/>
      <c r="F1179" s="208"/>
      <c r="G1179" s="208"/>
      <c r="H1179" s="208"/>
      <c r="I1179" s="208"/>
      <c r="J1179" s="208"/>
      <c r="K1179" s="208"/>
    </row>
    <row r="1180" spans="1:11">
      <c r="A1180" s="190"/>
      <c r="B1180" s="190"/>
      <c r="C1180" s="207"/>
      <c r="D1180" s="207"/>
      <c r="E1180" s="208"/>
      <c r="F1180" s="208"/>
      <c r="G1180" s="208"/>
      <c r="H1180" s="208"/>
      <c r="I1180" s="208"/>
      <c r="J1180" s="208"/>
      <c r="K1180" s="208"/>
    </row>
    <row r="1181" spans="1:11">
      <c r="A1181" s="190"/>
      <c r="B1181" s="190"/>
      <c r="C1181" s="207"/>
      <c r="D1181" s="207"/>
      <c r="E1181" s="208"/>
      <c r="F1181" s="208"/>
      <c r="G1181" s="208"/>
      <c r="H1181" s="208"/>
      <c r="I1181" s="208"/>
      <c r="J1181" s="208"/>
      <c r="K1181" s="208"/>
    </row>
    <row r="1182" spans="1:11">
      <c r="A1182" s="190"/>
      <c r="B1182" s="190"/>
      <c r="C1182" s="207"/>
      <c r="D1182" s="207"/>
      <c r="E1182" s="208"/>
      <c r="F1182" s="208"/>
      <c r="G1182" s="208"/>
      <c r="H1182" s="208"/>
      <c r="I1182" s="208"/>
      <c r="J1182" s="208"/>
      <c r="K1182" s="208"/>
    </row>
    <row r="1183" spans="1:11">
      <c r="A1183" s="190"/>
      <c r="B1183" s="190"/>
      <c r="C1183" s="207"/>
      <c r="D1183" s="207"/>
      <c r="E1183" s="208"/>
      <c r="F1183" s="208"/>
      <c r="G1183" s="208"/>
      <c r="H1183" s="208"/>
      <c r="I1183" s="208"/>
      <c r="J1183" s="208"/>
      <c r="K1183" s="208"/>
    </row>
    <row r="1184" spans="1:11">
      <c r="A1184" s="190"/>
      <c r="B1184" s="190"/>
      <c r="C1184" s="207"/>
      <c r="D1184" s="207"/>
      <c r="E1184" s="208"/>
      <c r="F1184" s="208"/>
      <c r="G1184" s="208"/>
      <c r="H1184" s="208"/>
      <c r="I1184" s="208"/>
      <c r="J1184" s="208"/>
      <c r="K1184" s="208"/>
    </row>
    <row r="1185" spans="1:11">
      <c r="A1185" s="190"/>
      <c r="B1185" s="190"/>
      <c r="C1185" s="207"/>
      <c r="D1185" s="207"/>
      <c r="E1185" s="208"/>
      <c r="F1185" s="208"/>
      <c r="G1185" s="208"/>
      <c r="H1185" s="208"/>
      <c r="I1185" s="208"/>
      <c r="J1185" s="208"/>
      <c r="K1185" s="208"/>
    </row>
    <row r="1186" spans="1:11">
      <c r="A1186" s="190"/>
      <c r="B1186" s="190"/>
      <c r="C1186" s="207"/>
      <c r="D1186" s="207"/>
      <c r="E1186" s="208"/>
      <c r="F1186" s="208"/>
      <c r="G1186" s="208"/>
      <c r="H1186" s="208"/>
      <c r="I1186" s="208"/>
      <c r="J1186" s="208"/>
      <c r="K1186" s="208"/>
    </row>
    <row r="1187" spans="1:11">
      <c r="A1187" s="190"/>
      <c r="B1187" s="190"/>
      <c r="C1187" s="207"/>
      <c r="D1187" s="207"/>
      <c r="E1187" s="208"/>
      <c r="F1187" s="208"/>
      <c r="G1187" s="208"/>
      <c r="H1187" s="208"/>
      <c r="I1187" s="208"/>
      <c r="J1187" s="208"/>
      <c r="K1187" s="208"/>
    </row>
    <row r="1188" spans="1:11">
      <c r="A1188" s="190"/>
      <c r="B1188" s="190"/>
      <c r="C1188" s="207"/>
      <c r="D1188" s="207"/>
      <c r="E1188" s="208"/>
      <c r="F1188" s="208"/>
      <c r="G1188" s="208"/>
      <c r="H1188" s="208"/>
      <c r="I1188" s="208"/>
      <c r="J1188" s="208"/>
      <c r="K1188" s="208"/>
    </row>
    <row r="1189" spans="1:11">
      <c r="A1189" s="190"/>
      <c r="B1189" s="190"/>
      <c r="C1189" s="207"/>
      <c r="D1189" s="207"/>
      <c r="E1189" s="208"/>
      <c r="F1189" s="208"/>
      <c r="G1189" s="208"/>
      <c r="H1189" s="208"/>
      <c r="I1189" s="208"/>
      <c r="J1189" s="208"/>
      <c r="K1189" s="208"/>
    </row>
    <row r="1190" spans="1:11">
      <c r="A1190" s="190"/>
      <c r="B1190" s="190"/>
      <c r="C1190" s="207"/>
      <c r="D1190" s="207"/>
      <c r="E1190" s="208"/>
      <c r="F1190" s="208"/>
      <c r="G1190" s="208"/>
      <c r="H1190" s="208"/>
      <c r="I1190" s="208"/>
      <c r="J1190" s="208"/>
      <c r="K1190" s="208"/>
    </row>
    <row r="1191" spans="1:11">
      <c r="A1191" s="190"/>
      <c r="B1191" s="190"/>
      <c r="C1191" s="207"/>
      <c r="D1191" s="207"/>
      <c r="E1191" s="208"/>
      <c r="F1191" s="208"/>
      <c r="G1191" s="208"/>
      <c r="H1191" s="208"/>
      <c r="I1191" s="208"/>
      <c r="J1191" s="208"/>
      <c r="K1191" s="208"/>
    </row>
    <row r="1192" spans="1:11">
      <c r="A1192" s="190"/>
      <c r="B1192" s="190"/>
      <c r="C1192" s="207"/>
      <c r="D1192" s="207"/>
      <c r="E1192" s="208"/>
      <c r="F1192" s="208"/>
      <c r="G1192" s="208"/>
      <c r="H1192" s="208"/>
      <c r="I1192" s="208"/>
      <c r="J1192" s="208"/>
      <c r="K1192" s="208"/>
    </row>
    <row r="1193" spans="1:11">
      <c r="A1193" s="190"/>
      <c r="B1193" s="190"/>
      <c r="C1193" s="207"/>
      <c r="D1193" s="207"/>
      <c r="E1193" s="208"/>
      <c r="F1193" s="208"/>
      <c r="G1193" s="208"/>
      <c r="H1193" s="208"/>
      <c r="I1193" s="208"/>
      <c r="J1193" s="208"/>
      <c r="K1193" s="208"/>
    </row>
    <row r="1194" spans="1:11">
      <c r="A1194" s="190"/>
      <c r="B1194" s="190"/>
      <c r="C1194" s="207"/>
      <c r="D1194" s="207"/>
      <c r="E1194" s="208"/>
      <c r="F1194" s="208"/>
      <c r="G1194" s="208"/>
      <c r="H1194" s="208"/>
      <c r="I1194" s="208"/>
      <c r="J1194" s="208"/>
      <c r="K1194" s="208"/>
    </row>
    <row r="1195" spans="1:11">
      <c r="A1195" s="190"/>
      <c r="B1195" s="190"/>
      <c r="C1195" s="207"/>
      <c r="D1195" s="207"/>
      <c r="E1195" s="208"/>
      <c r="F1195" s="208"/>
      <c r="G1195" s="208"/>
      <c r="H1195" s="208"/>
      <c r="I1195" s="208"/>
      <c r="J1195" s="208"/>
      <c r="K1195" s="208"/>
    </row>
    <row r="1196" spans="1:11">
      <c r="A1196" s="190"/>
      <c r="B1196" s="190"/>
      <c r="C1196" s="207"/>
      <c r="D1196" s="207"/>
      <c r="E1196" s="208"/>
      <c r="F1196" s="208"/>
      <c r="G1196" s="208"/>
      <c r="H1196" s="208"/>
      <c r="I1196" s="208"/>
      <c r="J1196" s="208"/>
      <c r="K1196" s="208"/>
    </row>
    <row r="1197" spans="1:11">
      <c r="A1197" s="190"/>
      <c r="B1197" s="190"/>
      <c r="C1197" s="207"/>
      <c r="D1197" s="207"/>
      <c r="E1197" s="208"/>
      <c r="F1197" s="208"/>
      <c r="G1197" s="208"/>
      <c r="H1197" s="208"/>
      <c r="I1197" s="208"/>
      <c r="J1197" s="208"/>
      <c r="K1197" s="208"/>
    </row>
    <row r="1198" spans="1:11">
      <c r="A1198" s="190"/>
      <c r="B1198" s="190"/>
      <c r="C1198" s="207"/>
      <c r="D1198" s="207"/>
      <c r="E1198" s="208"/>
      <c r="F1198" s="208"/>
      <c r="G1198" s="208"/>
      <c r="H1198" s="208"/>
      <c r="I1198" s="208"/>
      <c r="J1198" s="208"/>
      <c r="K1198" s="208"/>
    </row>
    <row r="1199" spans="1:11">
      <c r="A1199" s="190"/>
      <c r="B1199" s="190"/>
      <c r="C1199" s="207"/>
      <c r="D1199" s="207"/>
      <c r="E1199" s="208"/>
      <c r="F1199" s="208"/>
      <c r="G1199" s="208"/>
      <c r="H1199" s="208"/>
      <c r="I1199" s="208"/>
      <c r="J1199" s="208"/>
      <c r="K1199" s="208"/>
    </row>
    <row r="1200" spans="1:11">
      <c r="A1200" s="190"/>
      <c r="B1200" s="190"/>
      <c r="C1200" s="207"/>
      <c r="D1200" s="207"/>
      <c r="E1200" s="208"/>
      <c r="F1200" s="208"/>
      <c r="G1200" s="208"/>
      <c r="H1200" s="208"/>
      <c r="I1200" s="208"/>
      <c r="J1200" s="208"/>
      <c r="K1200" s="208"/>
    </row>
    <row r="1201" spans="1:11">
      <c r="A1201" s="190"/>
      <c r="B1201" s="190"/>
      <c r="C1201" s="207"/>
      <c r="D1201" s="207"/>
      <c r="E1201" s="208"/>
      <c r="F1201" s="208"/>
      <c r="G1201" s="208"/>
      <c r="H1201" s="208"/>
      <c r="I1201" s="208"/>
      <c r="J1201" s="208"/>
      <c r="K1201" s="208"/>
    </row>
    <row r="1202" spans="1:11">
      <c r="A1202" s="190"/>
      <c r="B1202" s="190"/>
      <c r="C1202" s="207"/>
      <c r="D1202" s="207"/>
      <c r="E1202" s="208"/>
      <c r="F1202" s="208"/>
      <c r="G1202" s="208"/>
      <c r="H1202" s="208"/>
      <c r="I1202" s="208"/>
      <c r="J1202" s="208"/>
      <c r="K1202" s="208"/>
    </row>
    <row r="1203" spans="1:11">
      <c r="A1203" s="190"/>
      <c r="B1203" s="190"/>
      <c r="C1203" s="207"/>
      <c r="D1203" s="207"/>
      <c r="E1203" s="208"/>
      <c r="F1203" s="208"/>
      <c r="G1203" s="208"/>
      <c r="H1203" s="208"/>
      <c r="I1203" s="208"/>
      <c r="J1203" s="208"/>
      <c r="K1203" s="208"/>
    </row>
    <row r="1204" spans="1:11">
      <c r="A1204" s="190"/>
      <c r="B1204" s="190"/>
      <c r="C1204" s="207"/>
      <c r="D1204" s="207"/>
      <c r="E1204" s="208"/>
      <c r="F1204" s="208"/>
      <c r="G1204" s="208"/>
      <c r="H1204" s="208"/>
      <c r="I1204" s="208"/>
      <c r="J1204" s="208"/>
      <c r="K1204" s="208"/>
    </row>
    <row r="1205" spans="1:11">
      <c r="A1205" s="190"/>
      <c r="B1205" s="190"/>
      <c r="C1205" s="207"/>
      <c r="D1205" s="207"/>
      <c r="E1205" s="208"/>
      <c r="F1205" s="208"/>
      <c r="G1205" s="208"/>
      <c r="H1205" s="208"/>
      <c r="I1205" s="208"/>
      <c r="J1205" s="208"/>
      <c r="K1205" s="208"/>
    </row>
    <row r="1206" spans="1:11">
      <c r="A1206" s="190"/>
      <c r="B1206" s="190"/>
      <c r="C1206" s="207"/>
      <c r="D1206" s="207"/>
      <c r="E1206" s="208"/>
      <c r="F1206" s="208"/>
      <c r="G1206" s="208"/>
      <c r="H1206" s="208"/>
      <c r="I1206" s="208"/>
      <c r="J1206" s="208"/>
      <c r="K1206" s="208"/>
    </row>
    <row r="1207" spans="1:11">
      <c r="A1207" s="190"/>
      <c r="B1207" s="190"/>
      <c r="C1207" s="207"/>
      <c r="D1207" s="207"/>
      <c r="E1207" s="208"/>
      <c r="F1207" s="208"/>
      <c r="G1207" s="208"/>
      <c r="H1207" s="208"/>
      <c r="I1207" s="208"/>
      <c r="J1207" s="208"/>
      <c r="K1207" s="208"/>
    </row>
    <row r="1208" spans="1:11">
      <c r="A1208" s="190"/>
      <c r="B1208" s="190"/>
      <c r="C1208" s="207"/>
      <c r="D1208" s="207"/>
      <c r="E1208" s="208"/>
      <c r="F1208" s="208"/>
      <c r="G1208" s="208"/>
      <c r="H1208" s="208"/>
      <c r="I1208" s="208"/>
      <c r="J1208" s="208"/>
      <c r="K1208" s="208"/>
    </row>
    <row r="1209" spans="1:11">
      <c r="A1209" s="190"/>
      <c r="B1209" s="190"/>
      <c r="C1209" s="207"/>
      <c r="D1209" s="207"/>
      <c r="E1209" s="208"/>
      <c r="F1209" s="208"/>
      <c r="G1209" s="208"/>
      <c r="H1209" s="208"/>
      <c r="I1209" s="208"/>
      <c r="J1209" s="208"/>
      <c r="K1209" s="208"/>
    </row>
    <row r="1210" spans="1:11">
      <c r="A1210" s="190"/>
      <c r="B1210" s="190"/>
      <c r="C1210" s="207"/>
      <c r="D1210" s="207"/>
      <c r="E1210" s="208"/>
      <c r="F1210" s="208"/>
      <c r="G1210" s="208"/>
      <c r="H1210" s="208"/>
      <c r="I1210" s="208"/>
      <c r="J1210" s="208"/>
      <c r="K1210" s="208"/>
    </row>
    <row r="1211" spans="1:11">
      <c r="A1211" s="190"/>
      <c r="B1211" s="190"/>
      <c r="C1211" s="207"/>
      <c r="D1211" s="207"/>
      <c r="E1211" s="208"/>
      <c r="F1211" s="208"/>
      <c r="G1211" s="208"/>
      <c r="H1211" s="208"/>
      <c r="I1211" s="208"/>
      <c r="J1211" s="208"/>
      <c r="K1211" s="208"/>
    </row>
    <row r="1212" spans="1:11">
      <c r="A1212" s="190"/>
      <c r="B1212" s="190"/>
      <c r="C1212" s="207"/>
      <c r="D1212" s="207"/>
      <c r="E1212" s="208"/>
      <c r="F1212" s="208"/>
      <c r="G1212" s="208"/>
      <c r="H1212" s="208"/>
      <c r="I1212" s="208"/>
      <c r="J1212" s="208"/>
      <c r="K1212" s="208"/>
    </row>
    <row r="1213" spans="1:11">
      <c r="A1213" s="190"/>
      <c r="B1213" s="190"/>
      <c r="C1213" s="207"/>
      <c r="D1213" s="207"/>
      <c r="E1213" s="208"/>
      <c r="F1213" s="208"/>
      <c r="G1213" s="208"/>
      <c r="H1213" s="208"/>
      <c r="I1213" s="208"/>
      <c r="J1213" s="208"/>
      <c r="K1213" s="208"/>
    </row>
    <row r="1214" spans="1:11">
      <c r="A1214" s="190"/>
      <c r="B1214" s="190"/>
      <c r="C1214" s="207"/>
      <c r="D1214" s="207"/>
      <c r="E1214" s="208"/>
      <c r="F1214" s="208"/>
      <c r="G1214" s="208"/>
      <c r="H1214" s="208"/>
      <c r="I1214" s="208"/>
      <c r="J1214" s="208"/>
      <c r="K1214" s="208"/>
    </row>
    <row r="1215" spans="1:11">
      <c r="A1215" s="190"/>
      <c r="B1215" s="190"/>
      <c r="C1215" s="207"/>
      <c r="D1215" s="207"/>
      <c r="E1215" s="208"/>
      <c r="F1215" s="208"/>
      <c r="G1215" s="208"/>
      <c r="H1215" s="208"/>
      <c r="I1215" s="208"/>
      <c r="J1215" s="208"/>
      <c r="K1215" s="208"/>
    </row>
    <row r="1216" spans="1:11">
      <c r="A1216" s="190"/>
      <c r="B1216" s="190"/>
      <c r="C1216" s="207"/>
      <c r="D1216" s="207"/>
      <c r="E1216" s="208"/>
      <c r="F1216" s="208"/>
      <c r="G1216" s="208"/>
      <c r="H1216" s="208"/>
      <c r="I1216" s="208"/>
      <c r="J1216" s="208"/>
      <c r="K1216" s="208"/>
    </row>
    <row r="1217" spans="1:11">
      <c r="A1217" s="190"/>
      <c r="B1217" s="190"/>
      <c r="C1217" s="207"/>
      <c r="D1217" s="207"/>
      <c r="E1217" s="208"/>
      <c r="F1217" s="208"/>
      <c r="G1217" s="208"/>
      <c r="H1217" s="208"/>
      <c r="I1217" s="208"/>
      <c r="J1217" s="208"/>
      <c r="K1217" s="208"/>
    </row>
    <row r="1218" spans="1:11">
      <c r="A1218" s="190"/>
      <c r="B1218" s="190"/>
      <c r="C1218" s="207"/>
      <c r="D1218" s="207"/>
      <c r="E1218" s="208"/>
      <c r="F1218" s="208"/>
      <c r="G1218" s="208"/>
      <c r="H1218" s="208"/>
      <c r="I1218" s="208"/>
      <c r="J1218" s="208"/>
      <c r="K1218" s="208"/>
    </row>
    <row r="1219" spans="1:11">
      <c r="A1219" s="190"/>
      <c r="B1219" s="190"/>
      <c r="C1219" s="207"/>
      <c r="D1219" s="207"/>
      <c r="E1219" s="208"/>
      <c r="F1219" s="208"/>
      <c r="G1219" s="208"/>
      <c r="H1219" s="208"/>
      <c r="I1219" s="208"/>
      <c r="J1219" s="208"/>
      <c r="K1219" s="208"/>
    </row>
    <row r="1220" spans="1:11">
      <c r="A1220" s="190"/>
      <c r="B1220" s="190"/>
      <c r="C1220" s="207"/>
      <c r="D1220" s="207"/>
      <c r="E1220" s="208"/>
      <c r="F1220" s="208"/>
      <c r="G1220" s="208"/>
      <c r="H1220" s="208"/>
      <c r="I1220" s="208"/>
      <c r="J1220" s="208"/>
      <c r="K1220" s="208"/>
    </row>
    <row r="1221" spans="1:11">
      <c r="A1221" s="190"/>
      <c r="B1221" s="190"/>
      <c r="C1221" s="207"/>
      <c r="D1221" s="207"/>
      <c r="E1221" s="208"/>
      <c r="F1221" s="208"/>
      <c r="G1221" s="208"/>
      <c r="H1221" s="208"/>
      <c r="I1221" s="208"/>
      <c r="J1221" s="208"/>
      <c r="K1221" s="208"/>
    </row>
    <row r="1222" spans="1:11">
      <c r="A1222" s="190"/>
      <c r="B1222" s="190"/>
      <c r="C1222" s="207"/>
      <c r="D1222" s="207"/>
      <c r="E1222" s="208"/>
      <c r="F1222" s="208"/>
      <c r="G1222" s="208"/>
      <c r="H1222" s="208"/>
      <c r="I1222" s="208"/>
      <c r="J1222" s="208"/>
      <c r="K1222" s="208"/>
    </row>
    <row r="1223" spans="1:11">
      <c r="A1223" s="190"/>
      <c r="B1223" s="190"/>
      <c r="C1223" s="207"/>
      <c r="D1223" s="207"/>
      <c r="E1223" s="208"/>
      <c r="F1223" s="208"/>
      <c r="G1223" s="208"/>
      <c r="H1223" s="208"/>
      <c r="I1223" s="208"/>
      <c r="J1223" s="208"/>
      <c r="K1223" s="208"/>
    </row>
    <row r="1224" spans="1:11">
      <c r="A1224" s="190"/>
      <c r="B1224" s="190"/>
      <c r="C1224" s="207"/>
      <c r="D1224" s="207"/>
      <c r="E1224" s="208"/>
      <c r="F1224" s="208"/>
      <c r="G1224" s="208"/>
      <c r="H1224" s="208"/>
      <c r="I1224" s="208"/>
      <c r="J1224" s="208"/>
      <c r="K1224" s="208"/>
    </row>
    <row r="1225" spans="1:11">
      <c r="A1225" s="190"/>
      <c r="B1225" s="190"/>
      <c r="C1225" s="207"/>
      <c r="D1225" s="207"/>
      <c r="E1225" s="208"/>
      <c r="F1225" s="208"/>
      <c r="G1225" s="208"/>
      <c r="H1225" s="208"/>
      <c r="I1225" s="208"/>
      <c r="J1225" s="208"/>
      <c r="K1225" s="208"/>
    </row>
    <row r="1226" spans="1:11">
      <c r="A1226" s="190"/>
      <c r="B1226" s="190"/>
      <c r="C1226" s="207"/>
      <c r="D1226" s="207"/>
      <c r="E1226" s="208"/>
      <c r="F1226" s="208"/>
      <c r="G1226" s="208"/>
      <c r="H1226" s="208"/>
      <c r="I1226" s="208"/>
      <c r="J1226" s="208"/>
      <c r="K1226" s="208"/>
    </row>
    <row r="1227" spans="1:11">
      <c r="A1227" s="190"/>
      <c r="B1227" s="190"/>
      <c r="C1227" s="207"/>
      <c r="D1227" s="207"/>
      <c r="E1227" s="208"/>
      <c r="F1227" s="208"/>
      <c r="G1227" s="208"/>
      <c r="H1227" s="208"/>
      <c r="I1227" s="208"/>
      <c r="J1227" s="208"/>
      <c r="K1227" s="208"/>
    </row>
    <row r="1228" spans="1:11">
      <c r="A1228" s="190"/>
      <c r="B1228" s="190"/>
      <c r="C1228" s="207"/>
      <c r="D1228" s="207"/>
      <c r="E1228" s="208"/>
      <c r="F1228" s="208"/>
      <c r="G1228" s="208"/>
      <c r="H1228" s="208"/>
      <c r="I1228" s="208"/>
      <c r="J1228" s="208"/>
      <c r="K1228" s="208"/>
    </row>
    <row r="1229" spans="1:11">
      <c r="A1229" s="190"/>
      <c r="B1229" s="190"/>
      <c r="C1229" s="207"/>
      <c r="D1229" s="207"/>
      <c r="E1229" s="208"/>
      <c r="F1229" s="208"/>
      <c r="G1229" s="208"/>
      <c r="H1229" s="208"/>
      <c r="I1229" s="208"/>
      <c r="J1229" s="208"/>
      <c r="K1229" s="208"/>
    </row>
    <row r="1230" spans="1:11">
      <c r="A1230" s="190"/>
      <c r="B1230" s="190"/>
      <c r="C1230" s="207"/>
      <c r="D1230" s="207"/>
      <c r="E1230" s="208"/>
      <c r="F1230" s="208"/>
      <c r="G1230" s="208"/>
      <c r="H1230" s="208"/>
      <c r="I1230" s="208"/>
      <c r="J1230" s="208"/>
      <c r="K1230" s="208"/>
    </row>
    <row r="1231" spans="1:11">
      <c r="A1231" s="190"/>
      <c r="B1231" s="190"/>
      <c r="C1231" s="207"/>
      <c r="D1231" s="207"/>
      <c r="E1231" s="208"/>
      <c r="F1231" s="208"/>
      <c r="G1231" s="208"/>
      <c r="H1231" s="208"/>
      <c r="I1231" s="208"/>
      <c r="J1231" s="208"/>
      <c r="K1231" s="208"/>
    </row>
    <row r="1232" spans="1:11">
      <c r="A1232" s="190"/>
      <c r="B1232" s="190"/>
      <c r="C1232" s="207"/>
      <c r="D1232" s="207"/>
      <c r="E1232" s="208"/>
      <c r="F1232" s="208"/>
      <c r="G1232" s="208"/>
      <c r="H1232" s="208"/>
      <c r="I1232" s="208"/>
      <c r="J1232" s="208"/>
      <c r="K1232" s="208"/>
    </row>
    <row r="1233" spans="1:11">
      <c r="A1233" s="190"/>
      <c r="B1233" s="190"/>
      <c r="C1233" s="207"/>
      <c r="D1233" s="207"/>
      <c r="E1233" s="208"/>
      <c r="F1233" s="208"/>
      <c r="G1233" s="208"/>
      <c r="H1233" s="208"/>
      <c r="I1233" s="208"/>
      <c r="J1233" s="208"/>
      <c r="K1233" s="208"/>
    </row>
    <row r="1234" spans="1:11">
      <c r="A1234" s="190"/>
      <c r="B1234" s="190"/>
      <c r="C1234" s="207"/>
      <c r="D1234" s="207"/>
      <c r="E1234" s="208"/>
      <c r="F1234" s="208"/>
      <c r="G1234" s="208"/>
      <c r="H1234" s="208"/>
      <c r="I1234" s="208"/>
      <c r="J1234" s="208"/>
      <c r="K1234" s="208"/>
    </row>
    <row r="1235" spans="1:11">
      <c r="A1235" s="190"/>
      <c r="B1235" s="190"/>
      <c r="C1235" s="207"/>
      <c r="D1235" s="207"/>
      <c r="E1235" s="208"/>
      <c r="F1235" s="208"/>
      <c r="G1235" s="208"/>
      <c r="H1235" s="208"/>
      <c r="I1235" s="208"/>
      <c r="J1235" s="208"/>
      <c r="K1235" s="208"/>
    </row>
    <row r="1236" spans="1:11">
      <c r="A1236" s="190"/>
      <c r="B1236" s="190"/>
      <c r="C1236" s="207"/>
      <c r="D1236" s="207"/>
      <c r="E1236" s="208"/>
      <c r="F1236" s="208"/>
      <c r="G1236" s="208"/>
      <c r="H1236" s="208"/>
      <c r="I1236" s="208"/>
      <c r="J1236" s="208"/>
      <c r="K1236" s="208"/>
    </row>
    <row r="1237" spans="1:11">
      <c r="A1237" s="190"/>
      <c r="B1237" s="190"/>
      <c r="C1237" s="207"/>
      <c r="D1237" s="207"/>
      <c r="E1237" s="208"/>
      <c r="F1237" s="208"/>
      <c r="G1237" s="208"/>
      <c r="H1237" s="208"/>
      <c r="I1237" s="208"/>
      <c r="J1237" s="208"/>
      <c r="K1237" s="208"/>
    </row>
    <row r="1238" spans="1:11">
      <c r="A1238" s="190"/>
      <c r="B1238" s="190"/>
      <c r="C1238" s="207"/>
      <c r="D1238" s="207"/>
      <c r="E1238" s="208"/>
      <c r="F1238" s="208"/>
      <c r="G1238" s="208"/>
      <c r="H1238" s="208"/>
      <c r="I1238" s="208"/>
      <c r="J1238" s="208"/>
      <c r="K1238" s="208"/>
    </row>
    <row r="1239" spans="1:11">
      <c r="A1239" s="190"/>
      <c r="B1239" s="190"/>
      <c r="C1239" s="207"/>
      <c r="D1239" s="207"/>
      <c r="E1239" s="208"/>
      <c r="F1239" s="208"/>
      <c r="G1239" s="208"/>
      <c r="H1239" s="208"/>
      <c r="I1239" s="208"/>
      <c r="J1239" s="208"/>
      <c r="K1239" s="208"/>
    </row>
    <row r="1240" spans="1:11">
      <c r="A1240" s="190"/>
      <c r="B1240" s="190"/>
      <c r="C1240" s="207"/>
      <c r="D1240" s="207"/>
      <c r="E1240" s="208"/>
      <c r="F1240" s="208"/>
      <c r="G1240" s="208"/>
      <c r="H1240" s="208"/>
      <c r="I1240" s="208"/>
      <c r="J1240" s="208"/>
      <c r="K1240" s="208"/>
    </row>
    <row r="1241" spans="1:11">
      <c r="A1241" s="190"/>
      <c r="B1241" s="190"/>
      <c r="C1241" s="207"/>
      <c r="D1241" s="207"/>
      <c r="E1241" s="208"/>
      <c r="F1241" s="208"/>
      <c r="G1241" s="208"/>
      <c r="H1241" s="208"/>
      <c r="I1241" s="208"/>
      <c r="J1241" s="208"/>
      <c r="K1241" s="208"/>
    </row>
    <row r="1242" spans="1:11">
      <c r="A1242" s="190"/>
      <c r="B1242" s="190"/>
      <c r="C1242" s="207"/>
      <c r="D1242" s="207"/>
      <c r="E1242" s="208"/>
      <c r="F1242" s="208"/>
      <c r="G1242" s="208"/>
      <c r="H1242" s="208"/>
      <c r="I1242" s="208"/>
      <c r="J1242" s="208"/>
      <c r="K1242" s="208"/>
    </row>
    <row r="1243" spans="1:11">
      <c r="A1243" s="190"/>
      <c r="B1243" s="190"/>
      <c r="C1243" s="207"/>
      <c r="D1243" s="207"/>
      <c r="E1243" s="208"/>
      <c r="F1243" s="208"/>
      <c r="G1243" s="208"/>
      <c r="H1243" s="208"/>
      <c r="I1243" s="208"/>
      <c r="J1243" s="208"/>
      <c r="K1243" s="208"/>
    </row>
    <row r="1244" spans="1:11">
      <c r="A1244" s="190"/>
      <c r="B1244" s="190"/>
      <c r="C1244" s="207"/>
      <c r="D1244" s="207"/>
      <c r="E1244" s="208"/>
      <c r="F1244" s="208"/>
      <c r="G1244" s="208"/>
      <c r="H1244" s="208"/>
      <c r="I1244" s="208"/>
      <c r="J1244" s="208"/>
      <c r="K1244" s="208"/>
    </row>
    <row r="1245" spans="1:11">
      <c r="A1245" s="190"/>
      <c r="B1245" s="190"/>
      <c r="C1245" s="207"/>
      <c r="D1245" s="207"/>
      <c r="E1245" s="208"/>
      <c r="F1245" s="208"/>
      <c r="G1245" s="208"/>
      <c r="H1245" s="208"/>
      <c r="I1245" s="208"/>
      <c r="J1245" s="208"/>
      <c r="K1245" s="208"/>
    </row>
    <row r="1246" spans="1:11">
      <c r="A1246" s="190"/>
      <c r="B1246" s="190"/>
      <c r="C1246" s="207"/>
      <c r="D1246" s="207"/>
      <c r="E1246" s="208"/>
      <c r="F1246" s="208"/>
      <c r="G1246" s="208"/>
      <c r="H1246" s="208"/>
      <c r="I1246" s="208"/>
      <c r="J1246" s="208"/>
      <c r="K1246" s="208"/>
    </row>
    <row r="1247" spans="1:11">
      <c r="A1247" s="190"/>
      <c r="B1247" s="190"/>
      <c r="C1247" s="207"/>
      <c r="D1247" s="207"/>
      <c r="E1247" s="208"/>
      <c r="F1247" s="208"/>
      <c r="G1247" s="208"/>
      <c r="H1247" s="208"/>
      <c r="I1247" s="208"/>
      <c r="J1247" s="208"/>
      <c r="K1247" s="208"/>
    </row>
    <row r="1248" spans="1:11">
      <c r="A1248" s="190"/>
      <c r="B1248" s="190"/>
      <c r="C1248" s="207"/>
      <c r="D1248" s="207"/>
      <c r="E1248" s="208"/>
      <c r="F1248" s="208"/>
      <c r="G1248" s="208"/>
      <c r="H1248" s="208"/>
      <c r="I1248" s="208"/>
      <c r="J1248" s="208"/>
      <c r="K1248" s="208"/>
    </row>
    <row r="1249" spans="1:11">
      <c r="A1249" s="190"/>
      <c r="B1249" s="190"/>
      <c r="C1249" s="207"/>
      <c r="D1249" s="207"/>
      <c r="E1249" s="208"/>
      <c r="F1249" s="208"/>
      <c r="G1249" s="208"/>
      <c r="H1249" s="208"/>
      <c r="I1249" s="208"/>
      <c r="J1249" s="208"/>
      <c r="K1249" s="208"/>
    </row>
    <row r="1250" spans="1:11">
      <c r="A1250" s="190"/>
      <c r="B1250" s="190"/>
      <c r="C1250" s="207"/>
      <c r="D1250" s="207"/>
      <c r="E1250" s="208"/>
      <c r="F1250" s="208"/>
      <c r="G1250" s="208"/>
      <c r="H1250" s="208"/>
      <c r="I1250" s="208"/>
      <c r="J1250" s="208"/>
      <c r="K1250" s="208"/>
    </row>
    <row r="1251" spans="1:11">
      <c r="A1251" s="190"/>
      <c r="B1251" s="190"/>
      <c r="C1251" s="207"/>
      <c r="D1251" s="207"/>
      <c r="E1251" s="208"/>
      <c r="F1251" s="208"/>
      <c r="G1251" s="208"/>
      <c r="H1251" s="208"/>
      <c r="I1251" s="208"/>
      <c r="J1251" s="208"/>
      <c r="K1251" s="208"/>
    </row>
    <row r="1252" spans="1:11">
      <c r="A1252" s="190"/>
      <c r="B1252" s="190"/>
      <c r="C1252" s="207"/>
      <c r="D1252" s="207"/>
      <c r="E1252" s="208"/>
      <c r="F1252" s="208"/>
      <c r="G1252" s="208"/>
      <c r="H1252" s="208"/>
      <c r="I1252" s="208"/>
      <c r="J1252" s="208"/>
      <c r="K1252" s="208"/>
    </row>
    <row r="1253" spans="1:11">
      <c r="A1253" s="190"/>
      <c r="B1253" s="190"/>
      <c r="C1253" s="207"/>
      <c r="D1253" s="207"/>
      <c r="E1253" s="208"/>
      <c r="F1253" s="208"/>
      <c r="G1253" s="208"/>
      <c r="H1253" s="208"/>
      <c r="I1253" s="208"/>
      <c r="J1253" s="208"/>
      <c r="K1253" s="208"/>
    </row>
    <row r="1254" spans="1:11">
      <c r="A1254" s="190"/>
      <c r="B1254" s="190"/>
      <c r="C1254" s="207"/>
      <c r="D1254" s="207"/>
      <c r="E1254" s="208"/>
      <c r="F1254" s="208"/>
      <c r="G1254" s="208"/>
      <c r="H1254" s="208"/>
      <c r="I1254" s="208"/>
      <c r="J1254" s="208"/>
      <c r="K1254" s="208"/>
    </row>
    <row r="1255" spans="1:11">
      <c r="A1255" s="190"/>
      <c r="B1255" s="190"/>
      <c r="C1255" s="207"/>
      <c r="D1255" s="207"/>
      <c r="E1255" s="208"/>
      <c r="F1255" s="208"/>
      <c r="G1255" s="208"/>
      <c r="H1255" s="208"/>
      <c r="I1255" s="208"/>
      <c r="J1255" s="208"/>
      <c r="K1255" s="208"/>
    </row>
    <row r="1256" spans="1:11">
      <c r="A1256" s="190"/>
      <c r="B1256" s="190"/>
      <c r="C1256" s="207"/>
      <c r="D1256" s="207"/>
      <c r="E1256" s="208"/>
      <c r="F1256" s="208"/>
      <c r="G1256" s="208"/>
      <c r="H1256" s="208"/>
      <c r="I1256" s="208"/>
      <c r="J1256" s="208"/>
      <c r="K1256" s="208"/>
    </row>
    <row r="1257" spans="1:11">
      <c r="A1257" s="190"/>
      <c r="B1257" s="190"/>
      <c r="C1257" s="207"/>
      <c r="D1257" s="207"/>
      <c r="E1257" s="208"/>
      <c r="F1257" s="208"/>
      <c r="G1257" s="208"/>
      <c r="H1257" s="208"/>
      <c r="I1257" s="208"/>
      <c r="J1257" s="208"/>
      <c r="K1257" s="208"/>
    </row>
    <row r="1258" spans="1:11">
      <c r="A1258" s="190"/>
      <c r="B1258" s="190"/>
      <c r="C1258" s="207"/>
      <c r="D1258" s="207"/>
      <c r="E1258" s="208"/>
      <c r="F1258" s="208"/>
      <c r="G1258" s="208"/>
      <c r="H1258" s="208"/>
      <c r="I1258" s="208"/>
      <c r="J1258" s="208"/>
      <c r="K1258" s="208"/>
    </row>
    <row r="1259" spans="1:11">
      <c r="A1259" s="190"/>
      <c r="B1259" s="190"/>
      <c r="C1259" s="207"/>
      <c r="D1259" s="207"/>
      <c r="E1259" s="208"/>
      <c r="F1259" s="208"/>
      <c r="G1259" s="208"/>
      <c r="H1259" s="208"/>
      <c r="I1259" s="208"/>
      <c r="J1259" s="208"/>
      <c r="K1259" s="208"/>
    </row>
    <row r="1260" spans="1:11">
      <c r="A1260" s="190"/>
      <c r="B1260" s="190"/>
      <c r="C1260" s="207"/>
      <c r="D1260" s="207"/>
      <c r="E1260" s="208"/>
      <c r="F1260" s="208"/>
      <c r="G1260" s="208"/>
      <c r="H1260" s="208"/>
      <c r="I1260" s="208"/>
      <c r="J1260" s="208"/>
      <c r="K1260" s="208"/>
    </row>
    <row r="1261" spans="1:11">
      <c r="A1261" s="190"/>
      <c r="B1261" s="190"/>
      <c r="C1261" s="207"/>
      <c r="D1261" s="207"/>
      <c r="E1261" s="208"/>
      <c r="F1261" s="208"/>
      <c r="G1261" s="208"/>
      <c r="H1261" s="208"/>
      <c r="I1261" s="208"/>
      <c r="J1261" s="208"/>
      <c r="K1261" s="208"/>
    </row>
    <row r="1262" spans="1:11">
      <c r="A1262" s="190"/>
      <c r="B1262" s="190"/>
      <c r="C1262" s="207"/>
      <c r="D1262" s="207"/>
      <c r="E1262" s="208"/>
      <c r="F1262" s="208"/>
      <c r="G1262" s="208"/>
      <c r="H1262" s="208"/>
      <c r="I1262" s="208"/>
      <c r="J1262" s="208"/>
      <c r="K1262" s="208"/>
    </row>
    <row r="1263" spans="1:11">
      <c r="A1263" s="190"/>
      <c r="B1263" s="190"/>
      <c r="C1263" s="207"/>
      <c r="D1263" s="207"/>
      <c r="E1263" s="208"/>
      <c r="F1263" s="208"/>
      <c r="G1263" s="208"/>
      <c r="H1263" s="208"/>
      <c r="I1263" s="208"/>
      <c r="J1263" s="208"/>
      <c r="K1263" s="208"/>
    </row>
    <row r="1264" spans="1:11">
      <c r="A1264" s="190"/>
      <c r="B1264" s="190"/>
      <c r="C1264" s="207"/>
      <c r="D1264" s="207"/>
      <c r="E1264" s="208"/>
      <c r="F1264" s="208"/>
      <c r="G1264" s="208"/>
      <c r="H1264" s="208"/>
      <c r="I1264" s="208"/>
      <c r="J1264" s="208"/>
      <c r="K1264" s="208"/>
    </row>
    <row r="1265" spans="1:11">
      <c r="A1265" s="190"/>
      <c r="B1265" s="190"/>
      <c r="C1265" s="207"/>
      <c r="D1265" s="207"/>
      <c r="E1265" s="208"/>
      <c r="F1265" s="208"/>
      <c r="G1265" s="208"/>
      <c r="H1265" s="208"/>
      <c r="I1265" s="208"/>
      <c r="J1265" s="208"/>
      <c r="K1265" s="208"/>
    </row>
    <row r="1266" spans="1:11">
      <c r="A1266" s="190"/>
      <c r="B1266" s="190"/>
      <c r="C1266" s="207"/>
      <c r="D1266" s="207"/>
      <c r="E1266" s="208"/>
      <c r="F1266" s="208"/>
      <c r="G1266" s="208"/>
      <c r="H1266" s="208"/>
      <c r="I1266" s="208"/>
      <c r="J1266" s="208"/>
      <c r="K1266" s="208"/>
    </row>
    <row r="1267" spans="1:11">
      <c r="A1267" s="190"/>
      <c r="B1267" s="190"/>
      <c r="C1267" s="207"/>
      <c r="D1267" s="207"/>
      <c r="E1267" s="208"/>
      <c r="F1267" s="208"/>
      <c r="G1267" s="208"/>
      <c r="H1267" s="208"/>
      <c r="I1267" s="208"/>
      <c r="J1267" s="208"/>
      <c r="K1267" s="208"/>
    </row>
    <row r="1268" spans="1:11">
      <c r="A1268" s="190"/>
      <c r="B1268" s="190"/>
      <c r="C1268" s="207"/>
      <c r="D1268" s="207"/>
      <c r="E1268" s="208"/>
      <c r="F1268" s="208"/>
      <c r="G1268" s="208"/>
      <c r="H1268" s="208"/>
      <c r="I1268" s="208"/>
      <c r="J1268" s="208"/>
      <c r="K1268" s="208"/>
    </row>
    <row r="1269" spans="1:11">
      <c r="A1269" s="190"/>
      <c r="B1269" s="190"/>
      <c r="C1269" s="207"/>
      <c r="D1269" s="207"/>
      <c r="E1269" s="208"/>
      <c r="F1269" s="208"/>
      <c r="G1269" s="208"/>
      <c r="H1269" s="208"/>
      <c r="I1269" s="208"/>
      <c r="J1269" s="208"/>
      <c r="K1269" s="208"/>
    </row>
    <row r="1270" spans="1:11">
      <c r="A1270" s="190"/>
      <c r="B1270" s="190"/>
      <c r="C1270" s="207"/>
      <c r="D1270" s="207"/>
      <c r="E1270" s="208"/>
      <c r="F1270" s="208"/>
      <c r="G1270" s="208"/>
      <c r="H1270" s="208"/>
      <c r="I1270" s="208"/>
      <c r="J1270" s="208"/>
      <c r="K1270" s="208"/>
    </row>
    <row r="1271" spans="1:11">
      <c r="A1271" s="190"/>
      <c r="B1271" s="190"/>
      <c r="C1271" s="207"/>
      <c r="D1271" s="207"/>
      <c r="E1271" s="208"/>
      <c r="F1271" s="208"/>
      <c r="G1271" s="208"/>
      <c r="H1271" s="208"/>
      <c r="I1271" s="208"/>
      <c r="J1271" s="208"/>
      <c r="K1271" s="208"/>
    </row>
    <row r="1272" spans="1:11">
      <c r="A1272" s="190"/>
      <c r="B1272" s="190"/>
      <c r="C1272" s="207"/>
      <c r="D1272" s="207"/>
      <c r="E1272" s="208"/>
      <c r="F1272" s="208"/>
      <c r="G1272" s="208"/>
      <c r="H1272" s="208"/>
      <c r="I1272" s="208"/>
      <c r="J1272" s="208"/>
      <c r="K1272" s="208"/>
    </row>
    <row r="1273" spans="1:11">
      <c r="A1273" s="190"/>
      <c r="B1273" s="190"/>
      <c r="C1273" s="207"/>
      <c r="D1273" s="207"/>
      <c r="E1273" s="208"/>
      <c r="F1273" s="208"/>
      <c r="G1273" s="208"/>
      <c r="H1273" s="208"/>
      <c r="I1273" s="208"/>
      <c r="J1273" s="208"/>
      <c r="K1273" s="208"/>
    </row>
    <row r="1274" spans="1:11">
      <c r="A1274" s="190"/>
      <c r="B1274" s="190"/>
      <c r="C1274" s="207"/>
      <c r="D1274" s="207"/>
      <c r="E1274" s="208"/>
      <c r="F1274" s="208"/>
      <c r="G1274" s="208"/>
      <c r="H1274" s="208"/>
      <c r="I1274" s="208"/>
      <c r="J1274" s="208"/>
      <c r="K1274" s="208"/>
    </row>
    <row r="1275" spans="1:11">
      <c r="A1275" s="190"/>
      <c r="B1275" s="190"/>
      <c r="C1275" s="207"/>
      <c r="D1275" s="207"/>
      <c r="E1275" s="208"/>
      <c r="F1275" s="208"/>
      <c r="G1275" s="208"/>
      <c r="H1275" s="208"/>
      <c r="I1275" s="208"/>
      <c r="J1275" s="208"/>
      <c r="K1275" s="208"/>
    </row>
    <row r="1276" spans="1:11">
      <c r="A1276" s="190"/>
      <c r="B1276" s="190"/>
      <c r="C1276" s="207"/>
      <c r="D1276" s="207"/>
      <c r="E1276" s="208"/>
      <c r="F1276" s="208"/>
      <c r="G1276" s="208"/>
      <c r="H1276" s="208"/>
      <c r="I1276" s="208"/>
      <c r="J1276" s="208"/>
      <c r="K1276" s="208"/>
    </row>
    <row r="1277" spans="1:11">
      <c r="A1277" s="190"/>
      <c r="B1277" s="190"/>
      <c r="C1277" s="207"/>
      <c r="D1277" s="207"/>
      <c r="E1277" s="208"/>
      <c r="F1277" s="208"/>
      <c r="G1277" s="208"/>
      <c r="H1277" s="208"/>
      <c r="I1277" s="208"/>
      <c r="J1277" s="208"/>
      <c r="K1277" s="208"/>
    </row>
    <row r="1278" spans="1:11">
      <c r="A1278" s="190"/>
      <c r="B1278" s="190"/>
      <c r="C1278" s="207"/>
      <c r="D1278" s="207"/>
      <c r="E1278" s="208"/>
      <c r="F1278" s="208"/>
      <c r="G1278" s="208"/>
      <c r="H1278" s="208"/>
      <c r="I1278" s="208"/>
      <c r="J1278" s="208"/>
      <c r="K1278" s="208"/>
    </row>
    <row r="1279" spans="1:11">
      <c r="A1279" s="190"/>
      <c r="B1279" s="190"/>
      <c r="C1279" s="207"/>
      <c r="D1279" s="207"/>
      <c r="E1279" s="208"/>
      <c r="F1279" s="208"/>
      <c r="G1279" s="208"/>
      <c r="H1279" s="208"/>
      <c r="I1279" s="208"/>
      <c r="J1279" s="208"/>
      <c r="K1279" s="208"/>
    </row>
    <row r="1280" spans="1:11">
      <c r="A1280" s="190"/>
      <c r="B1280" s="190"/>
      <c r="C1280" s="207"/>
      <c r="D1280" s="207"/>
      <c r="E1280" s="208"/>
      <c r="F1280" s="208"/>
      <c r="G1280" s="208"/>
      <c r="H1280" s="208"/>
      <c r="I1280" s="208"/>
      <c r="J1280" s="208"/>
      <c r="K1280" s="208"/>
    </row>
    <row r="1281" spans="1:11">
      <c r="A1281" s="190"/>
      <c r="B1281" s="190"/>
      <c r="C1281" s="207"/>
      <c r="D1281" s="207"/>
      <c r="E1281" s="208"/>
      <c r="F1281" s="208"/>
      <c r="G1281" s="208"/>
      <c r="H1281" s="208"/>
      <c r="I1281" s="208"/>
      <c r="J1281" s="208"/>
      <c r="K1281" s="208"/>
    </row>
    <row r="1282" spans="1:11">
      <c r="A1282" s="190"/>
      <c r="B1282" s="190"/>
      <c r="C1282" s="207"/>
      <c r="D1282" s="207"/>
      <c r="E1282" s="208"/>
      <c r="F1282" s="208"/>
      <c r="G1282" s="208"/>
      <c r="H1282" s="208"/>
      <c r="I1282" s="208"/>
      <c r="J1282" s="208"/>
      <c r="K1282" s="208"/>
    </row>
    <row r="1283" spans="1:11">
      <c r="A1283" s="190"/>
      <c r="B1283" s="190"/>
      <c r="C1283" s="207"/>
      <c r="D1283" s="207"/>
      <c r="E1283" s="208"/>
      <c r="F1283" s="208"/>
      <c r="G1283" s="208"/>
      <c r="H1283" s="208"/>
      <c r="I1283" s="208"/>
      <c r="J1283" s="208"/>
      <c r="K1283" s="208"/>
    </row>
    <row r="1284" spans="1:11">
      <c r="A1284" s="190"/>
      <c r="B1284" s="190"/>
      <c r="C1284" s="207"/>
      <c r="D1284" s="207"/>
      <c r="E1284" s="208"/>
      <c r="F1284" s="208"/>
      <c r="G1284" s="208"/>
      <c r="H1284" s="208"/>
      <c r="I1284" s="208"/>
      <c r="J1284" s="208"/>
      <c r="K1284" s="208"/>
    </row>
    <row r="1285" spans="1:11">
      <c r="A1285" s="190"/>
      <c r="B1285" s="190"/>
      <c r="C1285" s="207"/>
      <c r="D1285" s="207"/>
      <c r="E1285" s="208"/>
      <c r="F1285" s="208"/>
      <c r="G1285" s="208"/>
      <c r="H1285" s="208"/>
      <c r="I1285" s="208"/>
      <c r="J1285" s="208"/>
      <c r="K1285" s="208"/>
    </row>
    <row r="1286" spans="1:11">
      <c r="A1286" s="190"/>
      <c r="B1286" s="190"/>
      <c r="C1286" s="207"/>
      <c r="D1286" s="207"/>
      <c r="E1286" s="208"/>
      <c r="F1286" s="208"/>
      <c r="G1286" s="208"/>
      <c r="H1286" s="208"/>
      <c r="I1286" s="208"/>
      <c r="J1286" s="208"/>
      <c r="K1286" s="208"/>
    </row>
    <row r="1287" spans="1:11">
      <c r="A1287" s="190"/>
      <c r="B1287" s="190"/>
      <c r="C1287" s="207"/>
      <c r="D1287" s="207"/>
      <c r="E1287" s="208"/>
      <c r="F1287" s="208"/>
      <c r="G1287" s="208"/>
      <c r="H1287" s="208"/>
      <c r="I1287" s="208"/>
      <c r="J1287" s="208"/>
      <c r="K1287" s="208"/>
    </row>
    <row r="1288" spans="1:11">
      <c r="A1288" s="190"/>
      <c r="B1288" s="190"/>
      <c r="C1288" s="207"/>
      <c r="D1288" s="207"/>
      <c r="E1288" s="208"/>
      <c r="F1288" s="208"/>
      <c r="G1288" s="208"/>
      <c r="H1288" s="208"/>
      <c r="I1288" s="208"/>
      <c r="J1288" s="208"/>
      <c r="K1288" s="208"/>
    </row>
    <row r="1289" spans="1:11">
      <c r="A1289" s="190"/>
      <c r="B1289" s="190"/>
      <c r="C1289" s="207"/>
      <c r="D1289" s="207"/>
      <c r="E1289" s="208"/>
      <c r="F1289" s="208"/>
      <c r="G1289" s="208"/>
      <c r="H1289" s="208"/>
      <c r="I1289" s="208"/>
      <c r="J1289" s="208"/>
      <c r="K1289" s="208"/>
    </row>
    <row r="1290" spans="1:11">
      <c r="A1290" s="190"/>
      <c r="B1290" s="190"/>
      <c r="C1290" s="207"/>
      <c r="D1290" s="207"/>
      <c r="E1290" s="208"/>
      <c r="F1290" s="208"/>
      <c r="G1290" s="208"/>
      <c r="H1290" s="208"/>
      <c r="I1290" s="208"/>
      <c r="J1290" s="208"/>
      <c r="K1290" s="208"/>
    </row>
    <row r="1291" spans="1:11">
      <c r="A1291" s="190"/>
      <c r="B1291" s="190"/>
      <c r="C1291" s="207"/>
      <c r="D1291" s="207"/>
      <c r="E1291" s="208"/>
      <c r="F1291" s="208"/>
      <c r="G1291" s="208"/>
      <c r="H1291" s="208"/>
      <c r="I1291" s="208"/>
      <c r="J1291" s="208"/>
      <c r="K1291" s="208"/>
    </row>
    <row r="1292" spans="1:11">
      <c r="A1292" s="190"/>
      <c r="B1292" s="190"/>
      <c r="C1292" s="207"/>
      <c r="D1292" s="207"/>
      <c r="E1292" s="208"/>
      <c r="F1292" s="208"/>
      <c r="G1292" s="208"/>
      <c r="H1292" s="208"/>
      <c r="I1292" s="208"/>
      <c r="J1292" s="208"/>
      <c r="K1292" s="208"/>
    </row>
    <row r="1293" spans="1:11">
      <c r="A1293" s="190"/>
      <c r="B1293" s="190"/>
      <c r="C1293" s="207"/>
      <c r="D1293" s="207"/>
      <c r="E1293" s="208"/>
      <c r="F1293" s="208"/>
      <c r="G1293" s="208"/>
      <c r="H1293" s="208"/>
      <c r="I1293" s="208"/>
      <c r="J1293" s="208"/>
      <c r="K1293" s="208"/>
    </row>
    <row r="1294" spans="1:11">
      <c r="A1294" s="190"/>
      <c r="B1294" s="190"/>
      <c r="C1294" s="207"/>
      <c r="D1294" s="207"/>
      <c r="E1294" s="208"/>
      <c r="F1294" s="208"/>
      <c r="G1294" s="208"/>
      <c r="H1294" s="208"/>
      <c r="I1294" s="208"/>
      <c r="J1294" s="208"/>
      <c r="K1294" s="208"/>
    </row>
    <row r="1295" spans="1:11">
      <c r="A1295" s="190"/>
      <c r="B1295" s="190"/>
      <c r="C1295" s="207"/>
      <c r="D1295" s="207"/>
      <c r="E1295" s="208"/>
      <c r="F1295" s="208"/>
      <c r="G1295" s="208"/>
      <c r="H1295" s="208"/>
      <c r="I1295" s="208"/>
      <c r="J1295" s="208"/>
      <c r="K1295" s="208"/>
    </row>
    <row r="1296" spans="1:11">
      <c r="A1296" s="190"/>
      <c r="B1296" s="190"/>
      <c r="C1296" s="207"/>
      <c r="D1296" s="207"/>
      <c r="E1296" s="208"/>
      <c r="F1296" s="208"/>
      <c r="G1296" s="208"/>
      <c r="H1296" s="208"/>
      <c r="I1296" s="208"/>
      <c r="J1296" s="208"/>
      <c r="K1296" s="208"/>
    </row>
    <row r="1297" spans="1:11">
      <c r="A1297" s="190"/>
      <c r="B1297" s="190"/>
      <c r="C1297" s="207"/>
      <c r="D1297" s="207"/>
      <c r="E1297" s="208"/>
      <c r="F1297" s="208"/>
      <c r="G1297" s="208"/>
      <c r="H1297" s="208"/>
      <c r="I1297" s="208"/>
      <c r="J1297" s="208"/>
      <c r="K1297" s="208"/>
    </row>
    <row r="1298" spans="1:11">
      <c r="A1298" s="190"/>
      <c r="B1298" s="190"/>
      <c r="C1298" s="207"/>
      <c r="D1298" s="207"/>
      <c r="E1298" s="208"/>
      <c r="F1298" s="208"/>
      <c r="G1298" s="208"/>
      <c r="H1298" s="208"/>
      <c r="I1298" s="208"/>
      <c r="J1298" s="208"/>
      <c r="K1298" s="208"/>
    </row>
    <row r="1299" spans="1:11">
      <c r="A1299" s="190"/>
      <c r="B1299" s="190"/>
      <c r="C1299" s="207"/>
      <c r="D1299" s="207"/>
      <c r="E1299" s="208"/>
      <c r="F1299" s="208"/>
      <c r="G1299" s="208"/>
      <c r="H1299" s="208"/>
      <c r="I1299" s="208"/>
      <c r="J1299" s="208"/>
      <c r="K1299" s="208"/>
    </row>
    <row r="1300" spans="1:11">
      <c r="A1300" s="190"/>
      <c r="B1300" s="190"/>
      <c r="C1300" s="207"/>
      <c r="D1300" s="207"/>
      <c r="E1300" s="208"/>
      <c r="F1300" s="208"/>
      <c r="G1300" s="208"/>
      <c r="H1300" s="208"/>
      <c r="I1300" s="208"/>
      <c r="J1300" s="208"/>
      <c r="K1300" s="208"/>
    </row>
    <row r="1301" spans="1:11">
      <c r="A1301" s="190"/>
      <c r="B1301" s="190"/>
      <c r="C1301" s="207"/>
      <c r="D1301" s="207"/>
      <c r="E1301" s="208"/>
      <c r="F1301" s="208"/>
      <c r="G1301" s="208"/>
      <c r="H1301" s="208"/>
      <c r="I1301" s="208"/>
      <c r="J1301" s="208"/>
      <c r="K1301" s="208"/>
    </row>
    <row r="1302" spans="1:11">
      <c r="A1302" s="190"/>
      <c r="B1302" s="190"/>
      <c r="C1302" s="207"/>
      <c r="D1302" s="207"/>
      <c r="E1302" s="208"/>
      <c r="F1302" s="208"/>
      <c r="G1302" s="208"/>
      <c r="H1302" s="208"/>
      <c r="I1302" s="208"/>
      <c r="J1302" s="208"/>
      <c r="K1302" s="208"/>
    </row>
    <row r="1303" spans="1:11">
      <c r="A1303" s="190"/>
      <c r="B1303" s="190"/>
      <c r="C1303" s="207"/>
      <c r="D1303" s="207"/>
      <c r="E1303" s="208"/>
      <c r="F1303" s="208"/>
      <c r="G1303" s="208"/>
      <c r="H1303" s="208"/>
      <c r="I1303" s="208"/>
      <c r="J1303" s="208"/>
      <c r="K1303" s="208"/>
    </row>
    <row r="1304" spans="1:11">
      <c r="A1304" s="190"/>
      <c r="B1304" s="190"/>
      <c r="C1304" s="207"/>
      <c r="D1304" s="207"/>
      <c r="E1304" s="208"/>
      <c r="F1304" s="208"/>
      <c r="G1304" s="208"/>
      <c r="H1304" s="208"/>
      <c r="I1304" s="208"/>
      <c r="J1304" s="208"/>
      <c r="K1304" s="208"/>
    </row>
    <row r="1305" spans="1:11">
      <c r="A1305" s="190"/>
      <c r="B1305" s="190"/>
      <c r="C1305" s="207"/>
      <c r="D1305" s="207"/>
      <c r="E1305" s="208"/>
      <c r="F1305" s="208"/>
      <c r="G1305" s="208"/>
      <c r="H1305" s="208"/>
      <c r="I1305" s="208"/>
      <c r="J1305" s="208"/>
      <c r="K1305" s="208"/>
    </row>
    <row r="1306" spans="1:11">
      <c r="A1306" s="190"/>
      <c r="B1306" s="190"/>
      <c r="C1306" s="207"/>
      <c r="D1306" s="207"/>
      <c r="E1306" s="208"/>
      <c r="F1306" s="208"/>
      <c r="G1306" s="208"/>
      <c r="H1306" s="208"/>
      <c r="I1306" s="208"/>
      <c r="J1306" s="208"/>
      <c r="K1306" s="208"/>
    </row>
    <row r="1307" spans="1:11">
      <c r="A1307" s="190"/>
      <c r="B1307" s="190"/>
      <c r="C1307" s="207"/>
      <c r="D1307" s="207"/>
      <c r="E1307" s="208"/>
      <c r="F1307" s="208"/>
      <c r="G1307" s="208"/>
      <c r="H1307" s="208"/>
      <c r="I1307" s="208"/>
      <c r="J1307" s="208"/>
      <c r="K1307" s="208"/>
    </row>
    <row r="1308" spans="1:11">
      <c r="A1308" s="190"/>
      <c r="B1308" s="190"/>
      <c r="C1308" s="207"/>
      <c r="D1308" s="207"/>
      <c r="E1308" s="208"/>
      <c r="F1308" s="208"/>
      <c r="G1308" s="208"/>
      <c r="H1308" s="208"/>
      <c r="I1308" s="208"/>
      <c r="J1308" s="208"/>
      <c r="K1308" s="208"/>
    </row>
    <row r="1309" spans="1:11">
      <c r="A1309" s="190"/>
      <c r="B1309" s="190"/>
      <c r="C1309" s="207"/>
      <c r="D1309" s="207"/>
      <c r="E1309" s="208"/>
      <c r="F1309" s="208"/>
      <c r="G1309" s="208"/>
      <c r="H1309" s="208"/>
      <c r="I1309" s="208"/>
      <c r="J1309" s="208"/>
      <c r="K1309" s="208"/>
    </row>
    <row r="1310" spans="1:11">
      <c r="A1310" s="190"/>
      <c r="B1310" s="190"/>
      <c r="C1310" s="207"/>
      <c r="D1310" s="207"/>
      <c r="E1310" s="208"/>
      <c r="F1310" s="208"/>
      <c r="G1310" s="208"/>
      <c r="H1310" s="208"/>
      <c r="I1310" s="208"/>
      <c r="J1310" s="208"/>
      <c r="K1310" s="208"/>
    </row>
    <row r="1311" spans="1:11">
      <c r="A1311" s="190"/>
      <c r="B1311" s="190"/>
      <c r="C1311" s="207"/>
      <c r="D1311" s="207"/>
      <c r="E1311" s="208"/>
      <c r="F1311" s="208"/>
      <c r="G1311" s="208"/>
      <c r="H1311" s="208"/>
      <c r="I1311" s="208"/>
      <c r="J1311" s="208"/>
      <c r="K1311" s="208"/>
    </row>
    <row r="1312" spans="1:11">
      <c r="A1312" s="190"/>
      <c r="B1312" s="190"/>
      <c r="C1312" s="207"/>
      <c r="D1312" s="207"/>
      <c r="E1312" s="208"/>
      <c r="F1312" s="208"/>
      <c r="G1312" s="208"/>
      <c r="H1312" s="208"/>
      <c r="I1312" s="208"/>
      <c r="J1312" s="208"/>
      <c r="K1312" s="208"/>
    </row>
    <row r="1313" spans="1:11">
      <c r="A1313" s="190"/>
      <c r="B1313" s="190"/>
      <c r="C1313" s="207"/>
      <c r="D1313" s="207"/>
      <c r="E1313" s="208"/>
      <c r="F1313" s="208"/>
      <c r="G1313" s="208"/>
      <c r="H1313" s="208"/>
      <c r="I1313" s="208"/>
      <c r="J1313" s="208"/>
      <c r="K1313" s="208"/>
    </row>
    <row r="1314" spans="1:11">
      <c r="A1314" s="190"/>
      <c r="B1314" s="190"/>
      <c r="C1314" s="207"/>
      <c r="D1314" s="207"/>
      <c r="E1314" s="208"/>
      <c r="F1314" s="208"/>
      <c r="G1314" s="208"/>
      <c r="H1314" s="208"/>
      <c r="I1314" s="208"/>
      <c r="J1314" s="208"/>
      <c r="K1314" s="208"/>
    </row>
    <row r="1315" spans="1:11">
      <c r="A1315" s="190"/>
      <c r="B1315" s="190"/>
      <c r="C1315" s="207"/>
      <c r="D1315" s="207"/>
      <c r="E1315" s="208"/>
      <c r="F1315" s="208"/>
      <c r="G1315" s="208"/>
      <c r="H1315" s="208"/>
      <c r="I1315" s="208"/>
      <c r="J1315" s="208"/>
      <c r="K1315" s="208"/>
    </row>
    <row r="1316" spans="1:11">
      <c r="A1316" s="190"/>
      <c r="B1316" s="190"/>
      <c r="C1316" s="207"/>
      <c r="D1316" s="207"/>
      <c r="E1316" s="208"/>
      <c r="F1316" s="208"/>
      <c r="G1316" s="208"/>
      <c r="H1316" s="208"/>
      <c r="I1316" s="208"/>
      <c r="J1316" s="208"/>
      <c r="K1316" s="208"/>
    </row>
    <row r="1317" spans="1:11">
      <c r="A1317" s="190"/>
      <c r="B1317" s="190"/>
      <c r="C1317" s="207"/>
      <c r="D1317" s="207"/>
      <c r="E1317" s="208"/>
      <c r="F1317" s="208"/>
      <c r="G1317" s="208"/>
      <c r="H1317" s="208"/>
      <c r="I1317" s="208"/>
      <c r="J1317" s="208"/>
      <c r="K1317" s="208"/>
    </row>
    <row r="1318" spans="1:11">
      <c r="A1318" s="190"/>
      <c r="B1318" s="190"/>
      <c r="C1318" s="207"/>
      <c r="D1318" s="207"/>
      <c r="E1318" s="208"/>
      <c r="F1318" s="208"/>
      <c r="G1318" s="208"/>
      <c r="H1318" s="208"/>
      <c r="I1318" s="208"/>
      <c r="J1318" s="208"/>
      <c r="K1318" s="208"/>
    </row>
    <row r="1319" spans="1:11">
      <c r="A1319" s="190"/>
      <c r="B1319" s="190"/>
      <c r="C1319" s="207"/>
      <c r="D1319" s="207"/>
      <c r="E1319" s="208"/>
      <c r="F1319" s="208"/>
      <c r="G1319" s="208"/>
      <c r="H1319" s="208"/>
      <c r="I1319" s="208"/>
      <c r="J1319" s="208"/>
      <c r="K1319" s="208"/>
    </row>
    <row r="1320" spans="1:11">
      <c r="A1320" s="190"/>
      <c r="B1320" s="190"/>
      <c r="C1320" s="207"/>
      <c r="D1320" s="207"/>
      <c r="E1320" s="208"/>
      <c r="F1320" s="208"/>
      <c r="G1320" s="208"/>
      <c r="H1320" s="208"/>
      <c r="I1320" s="208"/>
      <c r="J1320" s="208"/>
      <c r="K1320" s="208"/>
    </row>
    <row r="1321" spans="1:11">
      <c r="A1321" s="190"/>
      <c r="B1321" s="190"/>
      <c r="C1321" s="207"/>
      <c r="D1321" s="207"/>
      <c r="E1321" s="208"/>
      <c r="F1321" s="208"/>
      <c r="G1321" s="208"/>
      <c r="H1321" s="208"/>
      <c r="I1321" s="208"/>
      <c r="J1321" s="208"/>
      <c r="K1321" s="208"/>
    </row>
    <row r="1322" spans="1:11">
      <c r="A1322" s="190"/>
      <c r="B1322" s="190"/>
      <c r="C1322" s="207"/>
      <c r="D1322" s="207"/>
      <c r="E1322" s="208"/>
      <c r="F1322" s="208"/>
      <c r="G1322" s="208"/>
      <c r="H1322" s="208"/>
      <c r="I1322" s="208"/>
      <c r="J1322" s="208"/>
      <c r="K1322" s="208"/>
    </row>
    <row r="1323" spans="1:11">
      <c r="A1323" s="190"/>
      <c r="B1323" s="190"/>
      <c r="C1323" s="207"/>
      <c r="D1323" s="207"/>
      <c r="E1323" s="208"/>
      <c r="F1323" s="208"/>
      <c r="G1323" s="208"/>
      <c r="H1323" s="208"/>
      <c r="I1323" s="208"/>
      <c r="J1323" s="208"/>
      <c r="K1323" s="208"/>
    </row>
    <row r="1324" spans="1:11">
      <c r="A1324" s="190"/>
      <c r="B1324" s="190"/>
      <c r="C1324" s="207"/>
      <c r="D1324" s="207"/>
      <c r="E1324" s="208"/>
      <c r="F1324" s="208"/>
      <c r="G1324" s="208"/>
      <c r="H1324" s="208"/>
      <c r="I1324" s="208"/>
      <c r="J1324" s="208"/>
      <c r="K1324" s="208"/>
    </row>
    <row r="1325" spans="1:11">
      <c r="A1325" s="190"/>
      <c r="B1325" s="190"/>
      <c r="C1325" s="207"/>
      <c r="D1325" s="207"/>
      <c r="E1325" s="208"/>
      <c r="F1325" s="208"/>
      <c r="G1325" s="208"/>
      <c r="H1325" s="208"/>
      <c r="I1325" s="208"/>
      <c r="J1325" s="208"/>
      <c r="K1325" s="208"/>
    </row>
    <row r="1326" spans="1:11">
      <c r="A1326" s="190"/>
      <c r="B1326" s="190"/>
      <c r="C1326" s="207"/>
      <c r="D1326" s="207"/>
      <c r="E1326" s="208"/>
      <c r="F1326" s="208"/>
      <c r="G1326" s="208"/>
      <c r="H1326" s="208"/>
      <c r="I1326" s="208"/>
      <c r="J1326" s="208"/>
      <c r="K1326" s="208"/>
    </row>
    <row r="1327" spans="1:11">
      <c r="A1327" s="190"/>
      <c r="B1327" s="190"/>
      <c r="C1327" s="207"/>
      <c r="D1327" s="207"/>
      <c r="E1327" s="208"/>
      <c r="F1327" s="208"/>
      <c r="G1327" s="208"/>
      <c r="H1327" s="208"/>
      <c r="I1327" s="208"/>
      <c r="J1327" s="208"/>
      <c r="K1327" s="208"/>
    </row>
    <row r="1328" spans="1:11">
      <c r="A1328" s="190"/>
      <c r="B1328" s="190"/>
      <c r="C1328" s="207"/>
      <c r="D1328" s="207"/>
      <c r="E1328" s="208"/>
      <c r="F1328" s="208"/>
      <c r="G1328" s="208"/>
      <c r="H1328" s="208"/>
      <c r="I1328" s="208"/>
      <c r="J1328" s="208"/>
      <c r="K1328" s="208"/>
    </row>
    <row r="1329" spans="1:11">
      <c r="A1329" s="190"/>
      <c r="B1329" s="190"/>
      <c r="C1329" s="207"/>
      <c r="D1329" s="207"/>
      <c r="E1329" s="208"/>
      <c r="F1329" s="208"/>
      <c r="G1329" s="208"/>
      <c r="H1329" s="208"/>
      <c r="I1329" s="208"/>
      <c r="J1329" s="208"/>
      <c r="K1329" s="208"/>
    </row>
    <row r="1330" spans="1:11">
      <c r="A1330" s="190"/>
      <c r="B1330" s="190"/>
      <c r="C1330" s="207"/>
      <c r="D1330" s="207"/>
      <c r="E1330" s="208"/>
      <c r="F1330" s="208"/>
      <c r="G1330" s="208"/>
      <c r="H1330" s="208"/>
      <c r="I1330" s="208"/>
      <c r="J1330" s="208"/>
      <c r="K1330" s="208"/>
    </row>
    <row r="1331" spans="1:11">
      <c r="A1331" s="190"/>
      <c r="B1331" s="190"/>
      <c r="C1331" s="207"/>
      <c r="D1331" s="207"/>
      <c r="E1331" s="208"/>
      <c r="F1331" s="208"/>
      <c r="G1331" s="208"/>
      <c r="H1331" s="208"/>
      <c r="I1331" s="208"/>
      <c r="J1331" s="208"/>
      <c r="K1331" s="208"/>
    </row>
    <row r="1332" spans="1:11">
      <c r="A1332" s="190"/>
      <c r="B1332" s="190"/>
      <c r="C1332" s="207"/>
      <c r="D1332" s="207"/>
      <c r="E1332" s="208"/>
      <c r="F1332" s="208"/>
      <c r="G1332" s="208"/>
      <c r="H1332" s="208"/>
      <c r="I1332" s="208"/>
      <c r="J1332" s="208"/>
      <c r="K1332" s="208"/>
    </row>
    <row r="1333" spans="1:11">
      <c r="A1333" s="190"/>
      <c r="B1333" s="190"/>
      <c r="C1333" s="207"/>
      <c r="D1333" s="207"/>
      <c r="E1333" s="208"/>
      <c r="F1333" s="208"/>
      <c r="G1333" s="208"/>
      <c r="H1333" s="208"/>
      <c r="I1333" s="208"/>
      <c r="J1333" s="208"/>
      <c r="K1333" s="208"/>
    </row>
    <row r="1334" spans="1:11">
      <c r="A1334" s="190"/>
      <c r="B1334" s="190"/>
      <c r="C1334" s="207"/>
      <c r="D1334" s="207"/>
      <c r="E1334" s="208"/>
      <c r="F1334" s="208"/>
      <c r="G1334" s="208"/>
      <c r="H1334" s="208"/>
      <c r="I1334" s="208"/>
      <c r="J1334" s="208"/>
      <c r="K1334" s="208"/>
    </row>
  </sheetData>
  <mergeCells count="44">
    <mergeCell ref="B1077:K1077"/>
    <mergeCell ref="B1079:K1082"/>
    <mergeCell ref="B958:K958"/>
    <mergeCell ref="B1018:K1018"/>
    <mergeCell ref="B1020:K1022"/>
    <mergeCell ref="B960:K963"/>
    <mergeCell ref="B143:K143"/>
    <mergeCell ref="B145:K146"/>
    <mergeCell ref="B191:K191"/>
    <mergeCell ref="B102:K103"/>
    <mergeCell ref="B1:K1"/>
    <mergeCell ref="B3:K4"/>
    <mergeCell ref="B56:K56"/>
    <mergeCell ref="B58:K59"/>
    <mergeCell ref="B100:K100"/>
    <mergeCell ref="B193:K194"/>
    <mergeCell ref="B296:K299"/>
    <mergeCell ref="B534:K536"/>
    <mergeCell ref="B577:K577"/>
    <mergeCell ref="B424:K424"/>
    <mergeCell ref="B426:K427"/>
    <mergeCell ref="B478:K478"/>
    <mergeCell ref="B480:K481"/>
    <mergeCell ref="B236:K237"/>
    <mergeCell ref="B378:K378"/>
    <mergeCell ref="B380:K381"/>
    <mergeCell ref="B532:K532"/>
    <mergeCell ref="B234:K234"/>
    <mergeCell ref="B294:K294"/>
    <mergeCell ref="B579:K582"/>
    <mergeCell ref="B628:K628"/>
    <mergeCell ref="B872:K872"/>
    <mergeCell ref="B874:K875"/>
    <mergeCell ref="B916:K916"/>
    <mergeCell ref="B630:K632"/>
    <mergeCell ref="B918:K918"/>
    <mergeCell ref="B676:K676"/>
    <mergeCell ref="B678:K680"/>
    <mergeCell ref="B734:K734"/>
    <mergeCell ref="B736:K737"/>
    <mergeCell ref="B779:K779"/>
    <mergeCell ref="B781:K782"/>
    <mergeCell ref="B827:K827"/>
    <mergeCell ref="B829:K830"/>
  </mergeCells>
  <printOptions horizontalCentered="1"/>
  <pageMargins left="0.25" right="0" top="0.5" bottom="0.25" header="0" footer="0"/>
  <pageSetup scale="65" orientation="portrait" r:id="rId1"/>
  <rowBreaks count="21" manualBreakCount="21">
    <brk id="54" max="16383" man="1"/>
    <brk id="98" max="16383" man="1"/>
    <brk id="141" max="16383" man="1"/>
    <brk id="189" max="10" man="1"/>
    <brk id="232" max="16383" man="1"/>
    <brk id="292" max="16383" man="1"/>
    <brk id="376" max="16383" man="1"/>
    <brk id="423" max="10" man="1"/>
    <brk id="477" max="10" man="1"/>
    <brk id="530" max="10" man="1"/>
    <brk id="575" max="16383" man="1"/>
    <brk id="626" max="16383" man="1"/>
    <brk id="675" max="10" man="1"/>
    <brk id="731" max="10" man="1"/>
    <brk id="777" max="16383" man="1"/>
    <brk id="825" max="16383" man="1"/>
    <brk id="870" max="16383" man="1"/>
    <brk id="914" max="16383" man="1"/>
    <brk id="957" max="10" man="1"/>
    <brk id="1017" max="10" man="1"/>
    <brk id="1076" max="10" man="1"/>
  </rowBreaks>
  <drawing r:id="rId2"/>
</worksheet>
</file>

<file path=xl/worksheets/sheet7.xml><?xml version="1.0" encoding="utf-8"?>
<worksheet xmlns="http://schemas.openxmlformats.org/spreadsheetml/2006/main" xmlns:r="http://schemas.openxmlformats.org/officeDocument/2006/relationships">
  <sheetPr>
    <outlinePr summaryBelow="0" summaryRight="0"/>
    <pageSetUpPr autoPageBreaks="0"/>
  </sheetPr>
  <dimension ref="A1:BA1328"/>
  <sheetViews>
    <sheetView tabSelected="1" showOutlineSymbols="0" zoomScaleNormal="100" zoomScaleSheetLayoutView="100" workbookViewId="0">
      <pane ySplit="5" topLeftCell="A6" activePane="bottomLeft" state="frozen"/>
      <selection activeCell="I88" sqref="I88"/>
      <selection pane="bottomLeft" activeCell="T1276" sqref="T1276"/>
    </sheetView>
  </sheetViews>
  <sheetFormatPr defaultColWidth="6.85546875" defaultRowHeight="12.75" customHeight="1"/>
  <cols>
    <col min="1" max="1" width="20" style="335" customWidth="1"/>
    <col min="2" max="3" width="1.28515625" style="335" customWidth="1"/>
    <col min="4" max="4" width="6" style="335" customWidth="1"/>
    <col min="5" max="5" width="1.42578125" style="335" customWidth="1"/>
    <col min="6" max="6" width="7.42578125" style="335" customWidth="1"/>
    <col min="7" max="7" width="2.5703125" style="335" customWidth="1"/>
    <col min="8" max="8" width="1.140625" style="335" customWidth="1"/>
    <col min="9" max="9" width="3" style="335" customWidth="1"/>
    <col min="10" max="10" width="4" style="335" customWidth="1"/>
    <col min="11" max="11" width="21" style="335" customWidth="1"/>
    <col min="12" max="12" width="12.85546875" style="222" hidden="1" customWidth="1"/>
    <col min="13" max="13" width="12.28515625" style="222" hidden="1" customWidth="1"/>
    <col min="14" max="15" width="15.85546875" style="335" bestFit="1" customWidth="1"/>
    <col min="16" max="17" width="15.7109375" style="223" bestFit="1" customWidth="1"/>
    <col min="18" max="22" width="15.7109375" style="335" bestFit="1" customWidth="1"/>
    <col min="23" max="23" width="4" style="335" customWidth="1"/>
    <col min="24" max="24" width="12" style="335" customWidth="1"/>
    <col min="25" max="40" width="10.7109375" style="335" customWidth="1"/>
    <col min="41" max="16384" width="6.85546875" style="335"/>
  </cols>
  <sheetData>
    <row r="1" spans="1:25" ht="15" customHeight="1"/>
    <row r="2" spans="1:25" ht="15" customHeight="1"/>
    <row r="3" spans="1:25" ht="15" customHeight="1">
      <c r="L3" s="532" t="s">
        <v>1363</v>
      </c>
      <c r="M3" s="532"/>
      <c r="V3" s="333"/>
    </row>
    <row r="4" spans="1:25" ht="24" customHeight="1">
      <c r="A4" s="337"/>
      <c r="B4" s="337"/>
      <c r="C4" s="337"/>
      <c r="D4" s="337"/>
      <c r="E4" s="337"/>
      <c r="F4" s="337"/>
      <c r="G4" s="337"/>
      <c r="H4" s="337"/>
      <c r="I4" s="337"/>
      <c r="J4" s="337"/>
      <c r="K4" s="337"/>
      <c r="L4" s="338" t="s">
        <v>1331</v>
      </c>
      <c r="M4" s="338" t="s">
        <v>1330</v>
      </c>
      <c r="N4" s="339" t="s">
        <v>23</v>
      </c>
      <c r="O4" s="339" t="s">
        <v>253</v>
      </c>
      <c r="P4" s="340" t="s">
        <v>312</v>
      </c>
      <c r="Q4" s="340" t="s">
        <v>312</v>
      </c>
      <c r="R4" s="339" t="s">
        <v>313</v>
      </c>
      <c r="S4" s="339" t="s">
        <v>329</v>
      </c>
      <c r="T4" s="339" t="s">
        <v>332</v>
      </c>
      <c r="U4" s="339" t="s">
        <v>333</v>
      </c>
      <c r="V4" s="339" t="s">
        <v>1224</v>
      </c>
    </row>
    <row r="5" spans="1:25" ht="24" customHeight="1">
      <c r="A5" s="341" t="s">
        <v>1320</v>
      </c>
      <c r="B5" s="337"/>
      <c r="C5" s="337"/>
      <c r="D5" s="534" t="s">
        <v>0</v>
      </c>
      <c r="E5" s="534"/>
      <c r="F5" s="534"/>
      <c r="G5" s="337"/>
      <c r="H5" s="337"/>
      <c r="I5" s="337"/>
      <c r="J5" s="337"/>
      <c r="K5" s="337"/>
      <c r="L5" s="342" t="s">
        <v>1</v>
      </c>
      <c r="M5" s="342" t="s">
        <v>1</v>
      </c>
      <c r="N5" s="343" t="s">
        <v>1</v>
      </c>
      <c r="O5" s="343" t="s">
        <v>1</v>
      </c>
      <c r="P5" s="344" t="s">
        <v>987</v>
      </c>
      <c r="Q5" s="344" t="s">
        <v>24</v>
      </c>
      <c r="R5" s="518" t="s">
        <v>1045</v>
      </c>
      <c r="S5" s="343" t="s">
        <v>24</v>
      </c>
      <c r="T5" s="343" t="s">
        <v>24</v>
      </c>
      <c r="U5" s="343" t="s">
        <v>24</v>
      </c>
      <c r="V5" s="343" t="s">
        <v>24</v>
      </c>
    </row>
    <row r="6" spans="1:25" ht="15" customHeight="1">
      <c r="A6" s="336"/>
      <c r="D6" s="336"/>
      <c r="E6" s="336"/>
      <c r="F6" s="336"/>
      <c r="M6" s="225"/>
      <c r="N6" s="226"/>
      <c r="O6" s="226"/>
      <c r="P6" s="227"/>
      <c r="Q6" s="227"/>
      <c r="R6" s="226"/>
      <c r="S6" s="226"/>
      <c r="T6" s="226"/>
      <c r="U6" s="226"/>
      <c r="V6" s="226"/>
    </row>
    <row r="7" spans="1:25" ht="24" customHeight="1">
      <c r="A7" s="533" t="s">
        <v>778</v>
      </c>
      <c r="B7" s="533"/>
      <c r="C7" s="533"/>
      <c r="D7" s="533"/>
      <c r="E7" s="533"/>
      <c r="F7" s="533"/>
      <c r="G7" s="533"/>
      <c r="H7" s="533"/>
      <c r="I7" s="533"/>
      <c r="J7" s="533"/>
      <c r="K7" s="533"/>
      <c r="L7" s="228"/>
    </row>
    <row r="8" spans="1:25" ht="15" customHeight="1">
      <c r="A8" s="420"/>
      <c r="B8" s="420"/>
      <c r="C8" s="420"/>
      <c r="D8" s="420"/>
      <c r="E8" s="420"/>
      <c r="F8" s="420"/>
      <c r="G8" s="420"/>
      <c r="H8" s="420"/>
      <c r="I8" s="420"/>
      <c r="J8" s="420"/>
      <c r="K8" s="420"/>
      <c r="L8" s="228"/>
    </row>
    <row r="9" spans="1:25" ht="24" customHeight="1">
      <c r="A9" s="337" t="s">
        <v>25</v>
      </c>
      <c r="B9" s="337"/>
      <c r="C9" s="337"/>
      <c r="D9" s="337" t="s">
        <v>245</v>
      </c>
      <c r="E9" s="337"/>
      <c r="F9" s="337"/>
      <c r="G9" s="337"/>
      <c r="H9" s="337"/>
      <c r="I9" s="337"/>
      <c r="J9" s="337"/>
      <c r="K9" s="337"/>
      <c r="L9" s="229">
        <v>1804657</v>
      </c>
      <c r="M9" s="230">
        <v>2084192</v>
      </c>
      <c r="N9" s="346">
        <v>2185495</v>
      </c>
      <c r="O9" s="346">
        <v>2282246</v>
      </c>
      <c r="P9" s="347">
        <v>2288133</v>
      </c>
      <c r="Q9" s="232">
        <v>2276807</v>
      </c>
      <c r="R9" s="231">
        <v>2288154</v>
      </c>
      <c r="S9" s="231">
        <v>2311036</v>
      </c>
      <c r="T9" s="231">
        <v>2334146</v>
      </c>
      <c r="U9" s="231">
        <v>2357487</v>
      </c>
      <c r="V9" s="231">
        <v>2381062</v>
      </c>
    </row>
    <row r="10" spans="1:25" ht="24" customHeight="1">
      <c r="A10" s="337" t="s">
        <v>247</v>
      </c>
      <c r="B10" s="337"/>
      <c r="C10" s="337"/>
      <c r="D10" s="337" t="s">
        <v>246</v>
      </c>
      <c r="E10" s="337"/>
      <c r="F10" s="337"/>
      <c r="G10" s="337"/>
      <c r="H10" s="337"/>
      <c r="I10" s="337"/>
      <c r="J10" s="337"/>
      <c r="K10" s="337"/>
      <c r="L10" s="229">
        <v>297327</v>
      </c>
      <c r="M10" s="234">
        <v>323291</v>
      </c>
      <c r="N10" s="348">
        <v>336075</v>
      </c>
      <c r="O10" s="348">
        <v>360356</v>
      </c>
      <c r="P10" s="349">
        <v>413354</v>
      </c>
      <c r="Q10" s="236">
        <v>438711</v>
      </c>
      <c r="R10" s="235">
        <v>562000</v>
      </c>
      <c r="S10" s="235">
        <f>R10+25000</f>
        <v>587000</v>
      </c>
      <c r="T10" s="235">
        <f>S10+25000</f>
        <v>612000</v>
      </c>
      <c r="U10" s="235">
        <f>T10+25000</f>
        <v>637000</v>
      </c>
      <c r="V10" s="235">
        <f>U10+25000</f>
        <v>662000</v>
      </c>
    </row>
    <row r="11" spans="1:25" ht="24" customHeight="1">
      <c r="A11" s="337" t="s">
        <v>1512</v>
      </c>
      <c r="B11" s="337"/>
      <c r="C11" s="337"/>
      <c r="D11" s="337" t="s">
        <v>322</v>
      </c>
      <c r="E11" s="337"/>
      <c r="F11" s="337"/>
      <c r="G11" s="337"/>
      <c r="H11" s="337"/>
      <c r="I11" s="337"/>
      <c r="J11" s="337"/>
      <c r="K11" s="337"/>
      <c r="L11" s="229"/>
      <c r="M11" s="234">
        <v>0</v>
      </c>
      <c r="N11" s="348">
        <v>0</v>
      </c>
      <c r="O11" s="348">
        <v>67334</v>
      </c>
      <c r="P11" s="349">
        <v>20000</v>
      </c>
      <c r="Q11" s="236">
        <v>0</v>
      </c>
      <c r="R11" s="235">
        <v>0</v>
      </c>
      <c r="S11" s="235">
        <v>0</v>
      </c>
      <c r="T11" s="235">
        <v>0</v>
      </c>
      <c r="U11" s="235">
        <v>0</v>
      </c>
      <c r="V11" s="235">
        <v>0</v>
      </c>
    </row>
    <row r="12" spans="1:25" ht="24" customHeight="1">
      <c r="A12" s="421" t="s">
        <v>27</v>
      </c>
      <c r="B12" s="337"/>
      <c r="C12" s="337"/>
      <c r="D12" s="337" t="s">
        <v>26</v>
      </c>
      <c r="E12" s="337"/>
      <c r="F12" s="337"/>
      <c r="G12" s="337"/>
      <c r="H12" s="337"/>
      <c r="I12" s="337"/>
      <c r="J12" s="337"/>
      <c r="K12" s="337"/>
      <c r="L12" s="229">
        <v>2500285</v>
      </c>
      <c r="M12" s="234">
        <v>2446099</v>
      </c>
      <c r="N12" s="348">
        <v>2569233</v>
      </c>
      <c r="O12" s="348">
        <v>2552483</v>
      </c>
      <c r="P12" s="349">
        <v>2325000</v>
      </c>
      <c r="Q12" s="236">
        <v>2425000</v>
      </c>
      <c r="R12" s="235">
        <v>2449250</v>
      </c>
      <c r="S12" s="235">
        <v>2473743</v>
      </c>
      <c r="T12" s="235">
        <v>2523217</v>
      </c>
      <c r="U12" s="235">
        <v>2573682</v>
      </c>
      <c r="V12" s="235">
        <v>2650892</v>
      </c>
    </row>
    <row r="13" spans="1:25" ht="24" customHeight="1">
      <c r="A13" s="421" t="s">
        <v>336</v>
      </c>
      <c r="B13" s="337"/>
      <c r="C13" s="337"/>
      <c r="D13" s="337" t="s">
        <v>861</v>
      </c>
      <c r="E13" s="337"/>
      <c r="F13" s="337"/>
      <c r="G13" s="337"/>
      <c r="H13" s="337"/>
      <c r="I13" s="337"/>
      <c r="J13" s="337"/>
      <c r="K13" s="337"/>
      <c r="L13" s="229">
        <v>0</v>
      </c>
      <c r="M13" s="234">
        <v>0</v>
      </c>
      <c r="N13" s="348">
        <v>0</v>
      </c>
      <c r="O13" s="348">
        <v>410327</v>
      </c>
      <c r="P13" s="349">
        <v>1500000</v>
      </c>
      <c r="Q13" s="236">
        <v>1800000</v>
      </c>
      <c r="R13" s="235">
        <v>1800000</v>
      </c>
      <c r="S13" s="235">
        <v>1818000</v>
      </c>
      <c r="T13" s="235">
        <v>1854360</v>
      </c>
      <c r="U13" s="235">
        <v>1891447</v>
      </c>
      <c r="V13" s="235">
        <v>1948191</v>
      </c>
    </row>
    <row r="14" spans="1:25" ht="24" customHeight="1">
      <c r="A14" s="421" t="s">
        <v>28</v>
      </c>
      <c r="B14" s="337"/>
      <c r="C14" s="337"/>
      <c r="D14" s="421" t="s">
        <v>2</v>
      </c>
      <c r="E14" s="422"/>
      <c r="F14" s="422"/>
      <c r="G14" s="422"/>
      <c r="H14" s="422"/>
      <c r="I14" s="422"/>
      <c r="J14" s="422"/>
      <c r="K14" s="422"/>
      <c r="L14" s="237">
        <v>572959</v>
      </c>
      <c r="M14" s="234">
        <v>548774</v>
      </c>
      <c r="N14" s="348">
        <v>605833</v>
      </c>
      <c r="O14" s="348">
        <v>603015</v>
      </c>
      <c r="P14" s="349">
        <v>603432</v>
      </c>
      <c r="Q14" s="236">
        <v>603432</v>
      </c>
      <c r="R14" s="235">
        <v>605000</v>
      </c>
      <c r="S14" s="235">
        <v>611050</v>
      </c>
      <c r="T14" s="235">
        <v>617161</v>
      </c>
      <c r="U14" s="235">
        <v>623332</v>
      </c>
      <c r="V14" s="235">
        <v>629565</v>
      </c>
    </row>
    <row r="15" spans="1:25" ht="24" customHeight="1">
      <c r="A15" s="421" t="s">
        <v>29</v>
      </c>
      <c r="B15" s="337"/>
      <c r="C15" s="337"/>
      <c r="D15" s="421" t="s">
        <v>41</v>
      </c>
      <c r="E15" s="337"/>
      <c r="F15" s="337"/>
      <c r="G15" s="337"/>
      <c r="H15" s="337"/>
      <c r="I15" s="337"/>
      <c r="J15" s="337"/>
      <c r="K15" s="337"/>
      <c r="L15" s="229">
        <v>349136</v>
      </c>
      <c r="M15" s="234">
        <v>284895</v>
      </c>
      <c r="N15" s="348">
        <v>268166</v>
      </c>
      <c r="O15" s="348">
        <v>225411</v>
      </c>
      <c r="P15" s="349">
        <v>296514</v>
      </c>
      <c r="Q15" s="236">
        <v>250000</v>
      </c>
      <c r="R15" s="235">
        <v>275000</v>
      </c>
      <c r="S15" s="235">
        <v>280000</v>
      </c>
      <c r="T15" s="235">
        <v>282800</v>
      </c>
      <c r="U15" s="235">
        <v>285628</v>
      </c>
      <c r="V15" s="235">
        <v>288484</v>
      </c>
      <c r="Y15" s="233"/>
    </row>
    <row r="16" spans="1:25" ht="24" customHeight="1">
      <c r="A16" s="421" t="s">
        <v>36</v>
      </c>
      <c r="B16" s="337"/>
      <c r="C16" s="337"/>
      <c r="D16" s="421" t="s">
        <v>1240</v>
      </c>
      <c r="E16" s="337"/>
      <c r="F16" s="337"/>
      <c r="G16" s="337"/>
      <c r="H16" s="337"/>
      <c r="I16" s="337"/>
      <c r="J16" s="337"/>
      <c r="K16" s="337"/>
      <c r="L16" s="229">
        <v>519669</v>
      </c>
      <c r="M16" s="234">
        <v>494707</v>
      </c>
      <c r="N16" s="348">
        <v>491188</v>
      </c>
      <c r="O16" s="348">
        <v>500415</v>
      </c>
      <c r="P16" s="349">
        <v>490000</v>
      </c>
      <c r="Q16" s="236">
        <v>500000</v>
      </c>
      <c r="R16" s="235">
        <v>500000</v>
      </c>
      <c r="S16" s="235">
        <v>500000</v>
      </c>
      <c r="T16" s="235">
        <v>506000</v>
      </c>
      <c r="U16" s="235">
        <v>506000</v>
      </c>
      <c r="V16" s="235">
        <v>510000</v>
      </c>
    </row>
    <row r="17" spans="1:23" ht="24" customHeight="1">
      <c r="A17" s="421" t="s">
        <v>916</v>
      </c>
      <c r="B17" s="337"/>
      <c r="C17" s="337"/>
      <c r="D17" s="421" t="s">
        <v>40</v>
      </c>
      <c r="E17" s="337"/>
      <c r="F17" s="337"/>
      <c r="G17" s="337"/>
      <c r="H17" s="337"/>
      <c r="I17" s="337"/>
      <c r="J17" s="337"/>
      <c r="K17" s="337"/>
      <c r="L17" s="229"/>
      <c r="M17" s="234">
        <v>23738</v>
      </c>
      <c r="N17" s="348">
        <v>23002</v>
      </c>
      <c r="O17" s="348">
        <v>18393</v>
      </c>
      <c r="P17" s="349">
        <v>23500</v>
      </c>
      <c r="Q17" s="236">
        <v>20000</v>
      </c>
      <c r="R17" s="235">
        <v>20200</v>
      </c>
      <c r="S17" s="235">
        <v>20402</v>
      </c>
      <c r="T17" s="235">
        <v>20606</v>
      </c>
      <c r="U17" s="235">
        <v>20812</v>
      </c>
      <c r="V17" s="235">
        <v>21020</v>
      </c>
    </row>
    <row r="18" spans="1:23" ht="24" customHeight="1">
      <c r="A18" s="421" t="s">
        <v>35</v>
      </c>
      <c r="B18" s="337"/>
      <c r="C18" s="337"/>
      <c r="D18" s="421" t="s">
        <v>4</v>
      </c>
      <c r="E18" s="337"/>
      <c r="F18" s="337"/>
      <c r="G18" s="337"/>
      <c r="H18" s="337"/>
      <c r="I18" s="337"/>
      <c r="J18" s="337"/>
      <c r="K18" s="337"/>
      <c r="L18" s="229">
        <v>189131</v>
      </c>
      <c r="M18" s="234">
        <v>188282</v>
      </c>
      <c r="N18" s="348">
        <v>228452</v>
      </c>
      <c r="O18" s="348">
        <v>221465</v>
      </c>
      <c r="P18" s="349">
        <v>230000</v>
      </c>
      <c r="Q18" s="236">
        <v>230000</v>
      </c>
      <c r="R18" s="235">
        <v>230000</v>
      </c>
      <c r="S18" s="235">
        <v>230000</v>
      </c>
      <c r="T18" s="235">
        <v>235000</v>
      </c>
      <c r="U18" s="235">
        <v>235000</v>
      </c>
      <c r="V18" s="235">
        <v>235000</v>
      </c>
      <c r="W18" s="235"/>
    </row>
    <row r="19" spans="1:23" ht="24" customHeight="1">
      <c r="A19" s="421" t="s">
        <v>34</v>
      </c>
      <c r="B19" s="337"/>
      <c r="C19" s="337"/>
      <c r="D19" s="421" t="s">
        <v>3</v>
      </c>
      <c r="E19" s="337"/>
      <c r="F19" s="337"/>
      <c r="G19" s="337"/>
      <c r="H19" s="337"/>
      <c r="I19" s="337"/>
      <c r="J19" s="337"/>
      <c r="K19" s="337"/>
      <c r="L19" s="229">
        <v>19652</v>
      </c>
      <c r="M19" s="234">
        <v>17262</v>
      </c>
      <c r="N19" s="348">
        <v>38198</v>
      </c>
      <c r="O19" s="348">
        <v>51029</v>
      </c>
      <c r="P19" s="349">
        <v>50000</v>
      </c>
      <c r="Q19" s="236">
        <v>50000</v>
      </c>
      <c r="R19" s="235">
        <v>50000</v>
      </c>
      <c r="S19" s="235">
        <v>50000</v>
      </c>
      <c r="T19" s="235">
        <v>50000</v>
      </c>
      <c r="U19" s="235">
        <v>50000</v>
      </c>
      <c r="V19" s="235">
        <v>50000</v>
      </c>
    </row>
    <row r="20" spans="1:23" ht="24" customHeight="1">
      <c r="A20" s="421" t="s">
        <v>33</v>
      </c>
      <c r="B20" s="337"/>
      <c r="C20" s="337"/>
      <c r="D20" s="199" t="s">
        <v>39</v>
      </c>
      <c r="E20" s="337"/>
      <c r="F20" s="337"/>
      <c r="G20" s="337"/>
      <c r="H20" s="337"/>
      <c r="I20" s="337"/>
      <c r="J20" s="337"/>
      <c r="K20" s="337"/>
      <c r="L20" s="229">
        <v>111083</v>
      </c>
      <c r="M20" s="234">
        <v>112964</v>
      </c>
      <c r="N20" s="348">
        <v>319</v>
      </c>
      <c r="O20" s="348">
        <v>127737</v>
      </c>
      <c r="P20" s="349">
        <v>134000</v>
      </c>
      <c r="Q20" s="236">
        <v>148000</v>
      </c>
      <c r="R20" s="235">
        <f>140000+25000</f>
        <v>165000</v>
      </c>
      <c r="S20" s="235">
        <f>145000+50000</f>
        <v>195000</v>
      </c>
      <c r="T20" s="235">
        <f>145000+50000</f>
        <v>195000</v>
      </c>
      <c r="U20" s="235">
        <f>150000+50000</f>
        <v>200000</v>
      </c>
      <c r="V20" s="235">
        <f>150000+50000</f>
        <v>200000</v>
      </c>
    </row>
    <row r="21" spans="1:23" ht="24" customHeight="1">
      <c r="A21" s="421" t="s">
        <v>32</v>
      </c>
      <c r="B21" s="337"/>
      <c r="C21" s="337"/>
      <c r="D21" s="199" t="s">
        <v>38</v>
      </c>
      <c r="E21" s="337"/>
      <c r="F21" s="337"/>
      <c r="G21" s="337"/>
      <c r="H21" s="337"/>
      <c r="I21" s="337"/>
      <c r="J21" s="337"/>
      <c r="K21" s="337"/>
      <c r="L21" s="229">
        <v>0</v>
      </c>
      <c r="M21" s="234">
        <v>0</v>
      </c>
      <c r="N21" s="348">
        <v>181744</v>
      </c>
      <c r="O21" s="348">
        <v>190627</v>
      </c>
      <c r="P21" s="349">
        <v>104500</v>
      </c>
      <c r="Q21" s="236">
        <v>119199</v>
      </c>
      <c r="R21" s="235">
        <v>104500</v>
      </c>
      <c r="S21" s="235">
        <v>104500</v>
      </c>
      <c r="T21" s="235">
        <v>104500</v>
      </c>
      <c r="U21" s="235">
        <v>104500</v>
      </c>
      <c r="V21" s="235">
        <v>104500</v>
      </c>
    </row>
    <row r="22" spans="1:23" ht="24" customHeight="1">
      <c r="A22" s="421" t="s">
        <v>31</v>
      </c>
      <c r="B22" s="337"/>
      <c r="C22" s="337"/>
      <c r="D22" s="423" t="s">
        <v>1443</v>
      </c>
      <c r="E22" s="337"/>
      <c r="F22" s="337"/>
      <c r="G22" s="337"/>
      <c r="H22" s="337"/>
      <c r="I22" s="337"/>
      <c r="J22" s="337"/>
      <c r="K22" s="337"/>
      <c r="L22" s="229">
        <v>226122</v>
      </c>
      <c r="M22" s="234">
        <v>263363</v>
      </c>
      <c r="N22" s="348">
        <v>289015</v>
      </c>
      <c r="O22" s="348">
        <v>305908</v>
      </c>
      <c r="P22" s="349">
        <v>300000</v>
      </c>
      <c r="Q22" s="236">
        <v>300000</v>
      </c>
      <c r="R22" s="235">
        <v>300000</v>
      </c>
      <c r="S22" s="235">
        <v>300000</v>
      </c>
      <c r="T22" s="235">
        <v>300000</v>
      </c>
      <c r="U22" s="235">
        <v>300000</v>
      </c>
      <c r="V22" s="235">
        <v>300000</v>
      </c>
    </row>
    <row r="23" spans="1:23" ht="24" customHeight="1">
      <c r="A23" s="421" t="s">
        <v>1434</v>
      </c>
      <c r="B23" s="337"/>
      <c r="C23" s="337"/>
      <c r="D23" s="423" t="s">
        <v>1433</v>
      </c>
      <c r="E23" s="337"/>
      <c r="F23" s="337"/>
      <c r="G23" s="337"/>
      <c r="H23" s="337"/>
      <c r="I23" s="337"/>
      <c r="J23" s="337"/>
      <c r="K23" s="337"/>
      <c r="L23" s="229"/>
      <c r="M23" s="234"/>
      <c r="N23" s="348">
        <v>0</v>
      </c>
      <c r="O23" s="348">
        <v>0</v>
      </c>
      <c r="P23" s="349">
        <v>0</v>
      </c>
      <c r="Q23" s="236">
        <v>0</v>
      </c>
      <c r="R23" s="235">
        <v>0</v>
      </c>
      <c r="S23" s="235">
        <v>0</v>
      </c>
      <c r="T23" s="235">
        <v>0</v>
      </c>
      <c r="U23" s="235">
        <v>0</v>
      </c>
      <c r="V23" s="235">
        <v>0</v>
      </c>
    </row>
    <row r="24" spans="1:23" ht="24" customHeight="1">
      <c r="A24" s="421" t="s">
        <v>30</v>
      </c>
      <c r="B24" s="337"/>
      <c r="C24" s="337"/>
      <c r="D24" s="421" t="s">
        <v>37</v>
      </c>
      <c r="E24" s="337"/>
      <c r="F24" s="337"/>
      <c r="G24" s="337"/>
      <c r="H24" s="337"/>
      <c r="I24" s="337"/>
      <c r="J24" s="337"/>
      <c r="K24" s="337"/>
      <c r="L24" s="229">
        <v>4137</v>
      </c>
      <c r="M24" s="234">
        <v>6973</v>
      </c>
      <c r="N24" s="348">
        <v>8298</v>
      </c>
      <c r="O24" s="348">
        <v>9549</v>
      </c>
      <c r="P24" s="349">
        <v>10000</v>
      </c>
      <c r="Q24" s="236">
        <v>10000</v>
      </c>
      <c r="R24" s="235">
        <v>10000</v>
      </c>
      <c r="S24" s="235">
        <v>10000</v>
      </c>
      <c r="T24" s="235">
        <v>10000</v>
      </c>
      <c r="U24" s="235">
        <v>10000</v>
      </c>
      <c r="V24" s="235">
        <v>10000</v>
      </c>
    </row>
    <row r="25" spans="1:23" ht="24" customHeight="1">
      <c r="A25" s="421" t="s">
        <v>305</v>
      </c>
      <c r="B25" s="337"/>
      <c r="C25" s="337"/>
      <c r="D25" s="421" t="s">
        <v>306</v>
      </c>
      <c r="E25" s="337"/>
      <c r="F25" s="337"/>
      <c r="G25" s="337"/>
      <c r="H25" s="337"/>
      <c r="I25" s="337"/>
      <c r="J25" s="337"/>
      <c r="K25" s="337"/>
      <c r="L25" s="229">
        <v>0</v>
      </c>
      <c r="M25" s="238">
        <v>0</v>
      </c>
      <c r="N25" s="350">
        <v>5131</v>
      </c>
      <c r="O25" s="348">
        <v>16680</v>
      </c>
      <c r="P25" s="349">
        <v>0</v>
      </c>
      <c r="Q25" s="236">
        <v>314</v>
      </c>
      <c r="R25" s="235">
        <v>0</v>
      </c>
      <c r="S25" s="235">
        <v>0</v>
      </c>
      <c r="T25" s="235">
        <v>0</v>
      </c>
      <c r="U25" s="235">
        <v>0</v>
      </c>
      <c r="V25" s="235">
        <v>0</v>
      </c>
    </row>
    <row r="26" spans="1:23" ht="24" customHeight="1">
      <c r="A26" s="421" t="s">
        <v>47</v>
      </c>
      <c r="B26" s="337"/>
      <c r="C26" s="337"/>
      <c r="D26" s="199" t="s">
        <v>50</v>
      </c>
      <c r="E26" s="337"/>
      <c r="F26" s="337"/>
      <c r="G26" s="337"/>
      <c r="H26" s="337"/>
      <c r="I26" s="337"/>
      <c r="J26" s="337"/>
      <c r="K26" s="337"/>
      <c r="L26" s="229">
        <v>1004980</v>
      </c>
      <c r="M26" s="234">
        <v>1277889</v>
      </c>
      <c r="N26" s="348">
        <v>1315321</v>
      </c>
      <c r="O26" s="348">
        <v>1444426</v>
      </c>
      <c r="P26" s="349">
        <v>1320000</v>
      </c>
      <c r="Q26" s="236">
        <v>1550000</v>
      </c>
      <c r="R26" s="235">
        <v>1550000</v>
      </c>
      <c r="S26" s="235">
        <v>1550000</v>
      </c>
      <c r="T26" s="235">
        <v>1550000</v>
      </c>
      <c r="U26" s="235">
        <v>1550000</v>
      </c>
      <c r="V26" s="235">
        <v>1550000</v>
      </c>
    </row>
    <row r="27" spans="1:23" ht="24" customHeight="1">
      <c r="A27" s="421" t="s">
        <v>46</v>
      </c>
      <c r="B27" s="337"/>
      <c r="C27" s="337"/>
      <c r="D27" s="199" t="s">
        <v>282</v>
      </c>
      <c r="E27" s="337"/>
      <c r="F27" s="337"/>
      <c r="G27" s="337"/>
      <c r="H27" s="337"/>
      <c r="I27" s="337"/>
      <c r="J27" s="337"/>
      <c r="K27" s="337"/>
      <c r="L27" s="229">
        <v>165054</v>
      </c>
      <c r="M27" s="234">
        <v>201681</v>
      </c>
      <c r="N27" s="348">
        <v>240047</v>
      </c>
      <c r="O27" s="348">
        <v>246963</v>
      </c>
      <c r="P27" s="349">
        <v>242400</v>
      </c>
      <c r="Q27" s="236">
        <v>250000</v>
      </c>
      <c r="R27" s="235">
        <v>250000</v>
      </c>
      <c r="S27" s="235">
        <v>250000</v>
      </c>
      <c r="T27" s="235">
        <v>250000</v>
      </c>
      <c r="U27" s="235">
        <v>255000</v>
      </c>
      <c r="V27" s="235">
        <v>255000</v>
      </c>
    </row>
    <row r="28" spans="1:23" ht="24" customHeight="1">
      <c r="A28" s="421" t="s">
        <v>45</v>
      </c>
      <c r="B28" s="337"/>
      <c r="C28" s="337"/>
      <c r="D28" s="199" t="s">
        <v>244</v>
      </c>
      <c r="E28" s="337"/>
      <c r="F28" s="337"/>
      <c r="G28" s="337"/>
      <c r="H28" s="337"/>
      <c r="I28" s="337"/>
      <c r="J28" s="337"/>
      <c r="K28" s="337"/>
      <c r="L28" s="229">
        <v>143506</v>
      </c>
      <c r="M28" s="234">
        <v>151196</v>
      </c>
      <c r="N28" s="348">
        <v>164296</v>
      </c>
      <c r="O28" s="348">
        <v>166896</v>
      </c>
      <c r="P28" s="349">
        <v>170000</v>
      </c>
      <c r="Q28" s="236">
        <v>168477</v>
      </c>
      <c r="R28" s="235">
        <v>170000</v>
      </c>
      <c r="S28" s="235">
        <v>175000</v>
      </c>
      <c r="T28" s="235">
        <v>175000</v>
      </c>
      <c r="U28" s="235">
        <v>180000</v>
      </c>
      <c r="V28" s="235">
        <v>180000</v>
      </c>
    </row>
    <row r="29" spans="1:23" ht="24" customHeight="1">
      <c r="A29" s="421" t="s">
        <v>44</v>
      </c>
      <c r="B29" s="337"/>
      <c r="C29" s="337"/>
      <c r="D29" s="421" t="s">
        <v>49</v>
      </c>
      <c r="E29" s="337"/>
      <c r="F29" s="337"/>
      <c r="G29" s="337"/>
      <c r="H29" s="337"/>
      <c r="I29" s="337"/>
      <c r="J29" s="337"/>
      <c r="K29" s="337"/>
      <c r="L29" s="229">
        <v>17960</v>
      </c>
      <c r="M29" s="234">
        <v>13409</v>
      </c>
      <c r="N29" s="348">
        <v>16394</v>
      </c>
      <c r="O29" s="348">
        <v>15030</v>
      </c>
      <c r="P29" s="349">
        <v>16000</v>
      </c>
      <c r="Q29" s="236">
        <v>15000</v>
      </c>
      <c r="R29" s="235">
        <v>15000</v>
      </c>
      <c r="S29" s="235">
        <v>15000</v>
      </c>
      <c r="T29" s="235">
        <v>15000</v>
      </c>
      <c r="U29" s="235">
        <v>15000</v>
      </c>
      <c r="V29" s="235">
        <v>15000</v>
      </c>
    </row>
    <row r="30" spans="1:23" ht="24" customHeight="1">
      <c r="A30" s="421" t="s">
        <v>43</v>
      </c>
      <c r="B30" s="337"/>
      <c r="C30" s="337"/>
      <c r="D30" s="199" t="s">
        <v>5</v>
      </c>
      <c r="E30" s="337"/>
      <c r="F30" s="337"/>
      <c r="G30" s="337"/>
      <c r="H30" s="337"/>
      <c r="I30" s="337"/>
      <c r="J30" s="337"/>
      <c r="K30" s="337"/>
      <c r="L30" s="229">
        <v>0</v>
      </c>
      <c r="M30" s="234">
        <v>1502</v>
      </c>
      <c r="N30" s="348">
        <v>13288</v>
      </c>
      <c r="O30" s="348">
        <v>12521</v>
      </c>
      <c r="P30" s="349">
        <v>9200</v>
      </c>
      <c r="Q30" s="236">
        <v>12500</v>
      </c>
      <c r="R30" s="235">
        <v>12000</v>
      </c>
      <c r="S30" s="235">
        <v>12000</v>
      </c>
      <c r="T30" s="235">
        <v>12000</v>
      </c>
      <c r="U30" s="235">
        <v>12000</v>
      </c>
      <c r="V30" s="235">
        <v>12000</v>
      </c>
    </row>
    <row r="31" spans="1:23" ht="24" customHeight="1">
      <c r="A31" s="421" t="s">
        <v>42</v>
      </c>
      <c r="B31" s="337"/>
      <c r="C31" s="337"/>
      <c r="D31" s="199" t="s">
        <v>48</v>
      </c>
      <c r="E31" s="337"/>
      <c r="F31" s="337"/>
      <c r="G31" s="337"/>
      <c r="H31" s="337"/>
      <c r="I31" s="337"/>
      <c r="J31" s="337"/>
      <c r="K31" s="337"/>
      <c r="L31" s="229">
        <v>-1758</v>
      </c>
      <c r="M31" s="234">
        <v>1870</v>
      </c>
      <c r="N31" s="348">
        <v>40250</v>
      </c>
      <c r="O31" s="348">
        <v>2123</v>
      </c>
      <c r="P31" s="349">
        <v>0</v>
      </c>
      <c r="Q31" s="236">
        <v>0</v>
      </c>
      <c r="R31" s="235">
        <v>0</v>
      </c>
      <c r="S31" s="235">
        <v>0</v>
      </c>
      <c r="T31" s="235">
        <v>0</v>
      </c>
      <c r="U31" s="235">
        <v>0</v>
      </c>
      <c r="V31" s="235">
        <v>0</v>
      </c>
    </row>
    <row r="32" spans="1:23" ht="24" customHeight="1">
      <c r="A32" s="421" t="s">
        <v>285</v>
      </c>
      <c r="B32" s="337"/>
      <c r="C32" s="337"/>
      <c r="D32" s="199" t="s">
        <v>286</v>
      </c>
      <c r="E32" s="337"/>
      <c r="F32" s="337"/>
      <c r="G32" s="337"/>
      <c r="H32" s="337"/>
      <c r="I32" s="337"/>
      <c r="J32" s="337"/>
      <c r="K32" s="337"/>
      <c r="L32" s="229"/>
      <c r="M32" s="240">
        <v>4838</v>
      </c>
      <c r="N32" s="351">
        <v>2196</v>
      </c>
      <c r="O32" s="351">
        <v>1077</v>
      </c>
      <c r="P32" s="352">
        <v>2000</v>
      </c>
      <c r="Q32" s="242">
        <v>1100</v>
      </c>
      <c r="R32" s="241">
        <v>1200</v>
      </c>
      <c r="S32" s="241">
        <v>1500</v>
      </c>
      <c r="T32" s="241">
        <v>1500</v>
      </c>
      <c r="U32" s="241">
        <v>1500</v>
      </c>
      <c r="V32" s="241">
        <v>1500</v>
      </c>
    </row>
    <row r="33" spans="1:22" ht="24" customHeight="1">
      <c r="A33" s="421" t="s">
        <v>53</v>
      </c>
      <c r="B33" s="337"/>
      <c r="C33" s="337"/>
      <c r="D33" s="421" t="s">
        <v>56</v>
      </c>
      <c r="E33" s="337"/>
      <c r="F33" s="337"/>
      <c r="G33" s="337"/>
      <c r="H33" s="337"/>
      <c r="I33" s="337"/>
      <c r="J33" s="337"/>
      <c r="K33" s="337"/>
      <c r="L33" s="229">
        <v>50008</v>
      </c>
      <c r="M33" s="234">
        <v>43545</v>
      </c>
      <c r="N33" s="348">
        <v>38903</v>
      </c>
      <c r="O33" s="348">
        <v>43265</v>
      </c>
      <c r="P33" s="349">
        <v>40000</v>
      </c>
      <c r="Q33" s="236">
        <v>40000</v>
      </c>
      <c r="R33" s="235">
        <v>40000</v>
      </c>
      <c r="S33" s="235">
        <v>40000</v>
      </c>
      <c r="T33" s="235">
        <v>40000</v>
      </c>
      <c r="U33" s="235">
        <v>40000</v>
      </c>
      <c r="V33" s="235">
        <v>40000</v>
      </c>
    </row>
    <row r="34" spans="1:22" ht="24" customHeight="1">
      <c r="A34" s="421" t="s">
        <v>52</v>
      </c>
      <c r="B34" s="337"/>
      <c r="C34" s="337"/>
      <c r="D34" s="421" t="s">
        <v>907</v>
      </c>
      <c r="E34" s="337"/>
      <c r="F34" s="337"/>
      <c r="G34" s="337"/>
      <c r="H34" s="337"/>
      <c r="I34" s="337"/>
      <c r="J34" s="337"/>
      <c r="K34" s="337"/>
      <c r="L34" s="229">
        <v>4964</v>
      </c>
      <c r="M34" s="234">
        <v>3786</v>
      </c>
      <c r="N34" s="348">
        <v>2670</v>
      </c>
      <c r="O34" s="348">
        <v>6256</v>
      </c>
      <c r="P34" s="349">
        <v>2700</v>
      </c>
      <c r="Q34" s="236">
        <v>2700</v>
      </c>
      <c r="R34" s="235">
        <v>3000</v>
      </c>
      <c r="S34" s="235">
        <v>3000</v>
      </c>
      <c r="T34" s="235">
        <v>3000</v>
      </c>
      <c r="U34" s="235">
        <v>3000</v>
      </c>
      <c r="V34" s="235">
        <v>3000</v>
      </c>
    </row>
    <row r="35" spans="1:22" ht="24" customHeight="1">
      <c r="A35" s="421" t="s">
        <v>51</v>
      </c>
      <c r="B35" s="337"/>
      <c r="C35" s="337"/>
      <c r="D35" s="421" t="s">
        <v>55</v>
      </c>
      <c r="E35" s="337"/>
      <c r="F35" s="337"/>
      <c r="G35" s="337"/>
      <c r="H35" s="337"/>
      <c r="I35" s="337"/>
      <c r="J35" s="337"/>
      <c r="K35" s="337"/>
      <c r="L35" s="229">
        <v>322160</v>
      </c>
      <c r="M35" s="234">
        <v>190579</v>
      </c>
      <c r="N35" s="348">
        <v>126829</v>
      </c>
      <c r="O35" s="348">
        <v>122400</v>
      </c>
      <c r="P35" s="349">
        <v>126600</v>
      </c>
      <c r="Q35" s="236">
        <v>126600</v>
      </c>
      <c r="R35" s="235">
        <v>150000</v>
      </c>
      <c r="S35" s="235">
        <v>150000</v>
      </c>
      <c r="T35" s="235">
        <v>175000</v>
      </c>
      <c r="U35" s="235">
        <v>175000</v>
      </c>
      <c r="V35" s="235">
        <v>200000</v>
      </c>
    </row>
    <row r="36" spans="1:22" ht="24" customHeight="1">
      <c r="A36" s="421" t="s">
        <v>252</v>
      </c>
      <c r="B36" s="422"/>
      <c r="C36" s="422"/>
      <c r="D36" s="421" t="s">
        <v>64</v>
      </c>
      <c r="E36" s="422"/>
      <c r="F36" s="422"/>
      <c r="G36" s="422"/>
      <c r="H36" s="422"/>
      <c r="I36" s="422"/>
      <c r="J36" s="422"/>
      <c r="K36" s="422"/>
      <c r="L36" s="237">
        <v>199722</v>
      </c>
      <c r="M36" s="234">
        <v>21690</v>
      </c>
      <c r="N36" s="348">
        <v>73350</v>
      </c>
      <c r="O36" s="350">
        <v>0</v>
      </c>
      <c r="P36" s="353">
        <v>0</v>
      </c>
      <c r="Q36" s="243">
        <v>0</v>
      </c>
      <c r="R36" s="239">
        <v>0</v>
      </c>
      <c r="S36" s="239">
        <v>0</v>
      </c>
      <c r="T36" s="239">
        <v>0</v>
      </c>
      <c r="U36" s="239">
        <v>0</v>
      </c>
      <c r="V36" s="239">
        <v>0</v>
      </c>
    </row>
    <row r="37" spans="1:22" ht="24" customHeight="1">
      <c r="A37" s="421" t="s">
        <v>59</v>
      </c>
      <c r="B37" s="422"/>
      <c r="C37" s="422"/>
      <c r="D37" s="421" t="s">
        <v>1225</v>
      </c>
      <c r="E37" s="422"/>
      <c r="F37" s="422"/>
      <c r="G37" s="422"/>
      <c r="H37" s="422"/>
      <c r="I37" s="422"/>
      <c r="J37" s="422"/>
      <c r="K37" s="422"/>
      <c r="L37" s="237">
        <v>130344</v>
      </c>
      <c r="M37" s="234">
        <v>129075</v>
      </c>
      <c r="N37" s="348">
        <v>95289</v>
      </c>
      <c r="O37" s="348">
        <v>66028</v>
      </c>
      <c r="P37" s="349">
        <v>95000</v>
      </c>
      <c r="Q37" s="236">
        <v>60000</v>
      </c>
      <c r="R37" s="235">
        <v>70000</v>
      </c>
      <c r="S37" s="235">
        <v>70000</v>
      </c>
      <c r="T37" s="235">
        <v>70000</v>
      </c>
      <c r="U37" s="235">
        <v>70000</v>
      </c>
      <c r="V37" s="235">
        <v>70000</v>
      </c>
    </row>
    <row r="38" spans="1:22" ht="24" customHeight="1">
      <c r="A38" s="421" t="s">
        <v>58</v>
      </c>
      <c r="B38" s="337"/>
      <c r="C38" s="337"/>
      <c r="D38" s="421" t="s">
        <v>290</v>
      </c>
      <c r="E38" s="337"/>
      <c r="F38" s="337"/>
      <c r="G38" s="337"/>
      <c r="H38" s="337"/>
      <c r="I38" s="337"/>
      <c r="J38" s="337"/>
      <c r="K38" s="337"/>
      <c r="L38" s="229">
        <v>22390</v>
      </c>
      <c r="M38" s="234">
        <v>44565</v>
      </c>
      <c r="N38" s="348">
        <v>25457</v>
      </c>
      <c r="O38" s="348">
        <v>24206</v>
      </c>
      <c r="P38" s="349">
        <v>26000</v>
      </c>
      <c r="Q38" s="236">
        <v>32000</v>
      </c>
      <c r="R38" s="235">
        <v>30000</v>
      </c>
      <c r="S38" s="235">
        <v>30000</v>
      </c>
      <c r="T38" s="235">
        <v>30000</v>
      </c>
      <c r="U38" s="235">
        <v>30000</v>
      </c>
      <c r="V38" s="235">
        <v>30000</v>
      </c>
    </row>
    <row r="39" spans="1:22" ht="24" customHeight="1">
      <c r="A39" s="421" t="s">
        <v>1413</v>
      </c>
      <c r="B39" s="337"/>
      <c r="C39" s="337"/>
      <c r="D39" s="421" t="s">
        <v>1014</v>
      </c>
      <c r="E39" s="337"/>
      <c r="F39" s="337"/>
      <c r="G39" s="337"/>
      <c r="H39" s="337"/>
      <c r="I39" s="337"/>
      <c r="J39" s="337"/>
      <c r="K39" s="337"/>
      <c r="L39" s="229">
        <v>0</v>
      </c>
      <c r="M39" s="244">
        <v>0</v>
      </c>
      <c r="N39" s="354">
        <v>0</v>
      </c>
      <c r="O39" s="354">
        <v>175</v>
      </c>
      <c r="P39" s="355">
        <v>500</v>
      </c>
      <c r="Q39" s="246">
        <v>200</v>
      </c>
      <c r="R39" s="245">
        <v>200</v>
      </c>
      <c r="S39" s="245">
        <v>200</v>
      </c>
      <c r="T39" s="245">
        <v>200</v>
      </c>
      <c r="U39" s="245">
        <v>200</v>
      </c>
      <c r="V39" s="245">
        <v>200</v>
      </c>
    </row>
    <row r="40" spans="1:22" ht="24" customHeight="1">
      <c r="A40" s="421" t="s">
        <v>57</v>
      </c>
      <c r="B40" s="422"/>
      <c r="C40" s="422"/>
      <c r="D40" s="421" t="s">
        <v>60</v>
      </c>
      <c r="E40" s="422"/>
      <c r="F40" s="422"/>
      <c r="G40" s="422"/>
      <c r="H40" s="422"/>
      <c r="I40" s="422"/>
      <c r="J40" s="422"/>
      <c r="K40" s="422"/>
      <c r="L40" s="237">
        <v>0</v>
      </c>
      <c r="M40" s="234">
        <v>25500</v>
      </c>
      <c r="N40" s="348">
        <v>80490</v>
      </c>
      <c r="O40" s="348">
        <v>84750</v>
      </c>
      <c r="P40" s="349">
        <v>80000</v>
      </c>
      <c r="Q40" s="236">
        <v>70000</v>
      </c>
      <c r="R40" s="235">
        <v>80000</v>
      </c>
      <c r="S40" s="235">
        <v>80000</v>
      </c>
      <c r="T40" s="235">
        <v>80000</v>
      </c>
      <c r="U40" s="235">
        <v>80000</v>
      </c>
      <c r="V40" s="235">
        <v>80000</v>
      </c>
    </row>
    <row r="41" spans="1:22" ht="24" customHeight="1">
      <c r="A41" s="421" t="s">
        <v>63</v>
      </c>
      <c r="B41" s="422"/>
      <c r="C41" s="422"/>
      <c r="D41" s="421" t="s">
        <v>66</v>
      </c>
      <c r="E41" s="422"/>
      <c r="F41" s="422"/>
      <c r="G41" s="422"/>
      <c r="H41" s="422"/>
      <c r="I41" s="422"/>
      <c r="J41" s="422"/>
      <c r="K41" s="422"/>
      <c r="L41" s="237">
        <v>1081313</v>
      </c>
      <c r="M41" s="234">
        <v>1132478</v>
      </c>
      <c r="N41" s="348">
        <v>1177995</v>
      </c>
      <c r="O41" s="348">
        <v>1231681</v>
      </c>
      <c r="P41" s="349">
        <v>1021784</v>
      </c>
      <c r="Q41" s="236">
        <v>1023581</v>
      </c>
      <c r="R41" s="235">
        <v>1023500</v>
      </c>
      <c r="S41" s="235">
        <v>1023500</v>
      </c>
      <c r="T41" s="235">
        <v>1023500</v>
      </c>
      <c r="U41" s="235">
        <v>1023500</v>
      </c>
      <c r="V41" s="235">
        <v>1030000</v>
      </c>
    </row>
    <row r="42" spans="1:22" ht="24" customHeight="1">
      <c r="A42" s="421" t="s">
        <v>62</v>
      </c>
      <c r="B42" s="337"/>
      <c r="C42" s="337"/>
      <c r="D42" s="421" t="s">
        <v>65</v>
      </c>
      <c r="E42" s="337"/>
      <c r="F42" s="337"/>
      <c r="G42" s="337"/>
      <c r="H42" s="337"/>
      <c r="I42" s="337"/>
      <c r="J42" s="337"/>
      <c r="K42" s="337"/>
      <c r="L42" s="229">
        <v>66075</v>
      </c>
      <c r="M42" s="234">
        <v>119121</v>
      </c>
      <c r="N42" s="348">
        <v>116087</v>
      </c>
      <c r="O42" s="348">
        <v>134531</v>
      </c>
      <c r="P42" s="349">
        <v>151500</v>
      </c>
      <c r="Q42" s="236">
        <v>135876</v>
      </c>
      <c r="R42" s="235">
        <v>137235</v>
      </c>
      <c r="S42" s="235">
        <v>138607</v>
      </c>
      <c r="T42" s="235">
        <v>139993</v>
      </c>
      <c r="U42" s="235">
        <v>141393</v>
      </c>
      <c r="V42" s="235">
        <v>142807</v>
      </c>
    </row>
    <row r="43" spans="1:22" ht="24" customHeight="1">
      <c r="A43" s="421" t="s">
        <v>1407</v>
      </c>
      <c r="B43" s="422"/>
      <c r="C43" s="422"/>
      <c r="D43" s="421" t="s">
        <v>1358</v>
      </c>
      <c r="E43" s="422"/>
      <c r="F43" s="422"/>
      <c r="G43" s="422"/>
      <c r="H43" s="422"/>
      <c r="I43" s="422"/>
      <c r="J43" s="422"/>
      <c r="K43" s="422"/>
      <c r="L43" s="237">
        <v>0</v>
      </c>
      <c r="M43" s="234">
        <v>0</v>
      </c>
      <c r="N43" s="348">
        <v>0</v>
      </c>
      <c r="O43" s="348">
        <v>0</v>
      </c>
      <c r="P43" s="349">
        <v>0</v>
      </c>
      <c r="Q43" s="236">
        <v>20000</v>
      </c>
      <c r="R43" s="235">
        <v>20000</v>
      </c>
      <c r="S43" s="235">
        <v>20000</v>
      </c>
      <c r="T43" s="235">
        <v>20000</v>
      </c>
      <c r="U43" s="235">
        <v>20000</v>
      </c>
      <c r="V43" s="235">
        <v>20000</v>
      </c>
    </row>
    <row r="44" spans="1:22" ht="24" customHeight="1">
      <c r="A44" s="421" t="s">
        <v>61</v>
      </c>
      <c r="B44" s="337"/>
      <c r="C44" s="337"/>
      <c r="D44" s="421" t="s">
        <v>12</v>
      </c>
      <c r="E44" s="337"/>
      <c r="F44" s="337"/>
      <c r="G44" s="337"/>
      <c r="H44" s="337"/>
      <c r="I44" s="337"/>
      <c r="J44" s="337"/>
      <c r="K44" s="337"/>
      <c r="L44" s="229">
        <v>0</v>
      </c>
      <c r="M44" s="244">
        <v>1305</v>
      </c>
      <c r="N44" s="354">
        <v>3960</v>
      </c>
      <c r="O44" s="354">
        <v>0</v>
      </c>
      <c r="P44" s="349">
        <v>0</v>
      </c>
      <c r="Q44" s="236">
        <v>0</v>
      </c>
      <c r="R44" s="235">
        <v>0</v>
      </c>
      <c r="S44" s="235">
        <v>0</v>
      </c>
      <c r="T44" s="235">
        <v>0</v>
      </c>
      <c r="U44" s="235">
        <v>0</v>
      </c>
      <c r="V44" s="235">
        <v>0</v>
      </c>
    </row>
    <row r="45" spans="1:22" ht="24" customHeight="1">
      <c r="A45" s="421" t="s">
        <v>1254</v>
      </c>
      <c r="B45" s="337"/>
      <c r="C45" s="337"/>
      <c r="D45" s="421" t="s">
        <v>1261</v>
      </c>
      <c r="E45" s="337"/>
      <c r="F45" s="337"/>
      <c r="G45" s="337"/>
      <c r="H45" s="337"/>
      <c r="I45" s="337"/>
      <c r="J45" s="337"/>
      <c r="K45" s="337"/>
      <c r="L45" s="229">
        <v>450000</v>
      </c>
      <c r="M45" s="247">
        <v>75569</v>
      </c>
      <c r="N45" s="346">
        <v>91863</v>
      </c>
      <c r="O45" s="348">
        <v>91863</v>
      </c>
      <c r="P45" s="349">
        <v>0</v>
      </c>
      <c r="Q45" s="236">
        <v>0</v>
      </c>
      <c r="R45" s="235">
        <v>0</v>
      </c>
      <c r="S45" s="235">
        <v>0</v>
      </c>
      <c r="T45" s="235">
        <v>0</v>
      </c>
      <c r="U45" s="235">
        <v>0</v>
      </c>
      <c r="V45" s="235">
        <v>0</v>
      </c>
    </row>
    <row r="46" spans="1:22" ht="24" customHeight="1">
      <c r="A46" s="421" t="s">
        <v>1255</v>
      </c>
      <c r="B46" s="422"/>
      <c r="C46" s="422"/>
      <c r="D46" s="421" t="s">
        <v>1262</v>
      </c>
      <c r="E46" s="422"/>
      <c r="F46" s="422"/>
      <c r="G46" s="422"/>
      <c r="H46" s="422"/>
      <c r="I46" s="422"/>
      <c r="J46" s="422"/>
      <c r="K46" s="422"/>
      <c r="L46" s="237">
        <v>220000</v>
      </c>
      <c r="M46" s="247">
        <v>58640</v>
      </c>
      <c r="N46" s="346">
        <v>83045</v>
      </c>
      <c r="O46" s="351">
        <v>83045</v>
      </c>
      <c r="P46" s="352">
        <v>0</v>
      </c>
      <c r="Q46" s="242">
        <v>0</v>
      </c>
      <c r="R46" s="241">
        <v>0</v>
      </c>
      <c r="S46" s="241">
        <v>0</v>
      </c>
      <c r="T46" s="241">
        <v>0</v>
      </c>
      <c r="U46" s="241">
        <v>0</v>
      </c>
      <c r="V46" s="241">
        <v>0</v>
      </c>
    </row>
    <row r="47" spans="1:22" ht="24" customHeight="1">
      <c r="A47" s="421" t="s">
        <v>1260</v>
      </c>
      <c r="B47" s="422"/>
      <c r="C47" s="422"/>
      <c r="D47" s="421" t="s">
        <v>1263</v>
      </c>
      <c r="E47" s="422"/>
      <c r="F47" s="422"/>
      <c r="G47" s="422"/>
      <c r="H47" s="422"/>
      <c r="I47" s="422"/>
      <c r="J47" s="422"/>
      <c r="K47" s="422"/>
      <c r="L47" s="237">
        <v>181000</v>
      </c>
      <c r="M47" s="247">
        <v>60449</v>
      </c>
      <c r="N47" s="346">
        <v>60449</v>
      </c>
      <c r="O47" s="350">
        <v>20084</v>
      </c>
      <c r="P47" s="353">
        <v>0</v>
      </c>
      <c r="Q47" s="243">
        <v>0</v>
      </c>
      <c r="R47" s="239">
        <v>0</v>
      </c>
      <c r="S47" s="239">
        <v>0</v>
      </c>
      <c r="T47" s="239">
        <v>0</v>
      </c>
      <c r="U47" s="239">
        <v>0</v>
      </c>
      <c r="V47" s="239">
        <v>0</v>
      </c>
    </row>
    <row r="48" spans="1:22" ht="24" customHeight="1">
      <c r="A48" s="421" t="s">
        <v>307</v>
      </c>
      <c r="B48" s="337"/>
      <c r="C48" s="337"/>
      <c r="D48" s="421" t="s">
        <v>308</v>
      </c>
      <c r="E48" s="337"/>
      <c r="F48" s="337"/>
      <c r="G48" s="337"/>
      <c r="H48" s="337"/>
      <c r="I48" s="337"/>
      <c r="J48" s="337"/>
      <c r="K48" s="337"/>
      <c r="L48" s="229"/>
      <c r="M48" s="244">
        <v>0</v>
      </c>
      <c r="N48" s="354">
        <v>4432</v>
      </c>
      <c r="O48" s="354">
        <v>350</v>
      </c>
      <c r="P48" s="355">
        <v>5000</v>
      </c>
      <c r="Q48" s="246">
        <v>100</v>
      </c>
      <c r="R48" s="245">
        <v>500</v>
      </c>
      <c r="S48" s="245">
        <v>500</v>
      </c>
      <c r="T48" s="245">
        <v>500</v>
      </c>
      <c r="U48" s="245">
        <v>500</v>
      </c>
      <c r="V48" s="245">
        <v>500</v>
      </c>
    </row>
    <row r="49" spans="1:23" ht="24" customHeight="1">
      <c r="A49" s="421" t="s">
        <v>67</v>
      </c>
      <c r="B49" s="422"/>
      <c r="C49" s="422"/>
      <c r="D49" s="535" t="s">
        <v>6</v>
      </c>
      <c r="E49" s="535"/>
      <c r="F49" s="535"/>
      <c r="G49" s="535"/>
      <c r="H49" s="535"/>
      <c r="I49" s="535"/>
      <c r="J49" s="535"/>
      <c r="K49" s="535"/>
      <c r="L49" s="237">
        <v>18629</v>
      </c>
      <c r="M49" s="234">
        <v>62043</v>
      </c>
      <c r="N49" s="348">
        <v>1747</v>
      </c>
      <c r="O49" s="348">
        <v>5102</v>
      </c>
      <c r="P49" s="349">
        <v>3100</v>
      </c>
      <c r="Q49" s="236">
        <v>6500</v>
      </c>
      <c r="R49" s="235">
        <v>6500</v>
      </c>
      <c r="S49" s="235">
        <v>6500</v>
      </c>
      <c r="T49" s="235">
        <v>6500</v>
      </c>
      <c r="U49" s="235">
        <v>6500</v>
      </c>
      <c r="V49" s="235">
        <v>6500</v>
      </c>
    </row>
    <row r="50" spans="1:23" ht="24" customHeight="1">
      <c r="A50" s="421" t="s">
        <v>72</v>
      </c>
      <c r="B50" s="422"/>
      <c r="C50" s="422"/>
      <c r="D50" s="421" t="s">
        <v>75</v>
      </c>
      <c r="E50" s="422"/>
      <c r="F50" s="422"/>
      <c r="G50" s="422"/>
      <c r="H50" s="422"/>
      <c r="I50" s="422"/>
      <c r="J50" s="422"/>
      <c r="K50" s="422"/>
      <c r="L50" s="237"/>
      <c r="M50" s="244">
        <v>27848</v>
      </c>
      <c r="N50" s="354">
        <v>46951</v>
      </c>
      <c r="O50" s="354">
        <v>28738</v>
      </c>
      <c r="P50" s="355">
        <v>0</v>
      </c>
      <c r="Q50" s="246">
        <v>0</v>
      </c>
      <c r="R50" s="245">
        <v>0</v>
      </c>
      <c r="S50" s="245">
        <v>0</v>
      </c>
      <c r="T50" s="245">
        <v>0</v>
      </c>
      <c r="U50" s="245">
        <v>0</v>
      </c>
      <c r="V50" s="245">
        <v>0</v>
      </c>
    </row>
    <row r="51" spans="1:23" ht="24" customHeight="1">
      <c r="A51" s="421" t="s">
        <v>973</v>
      </c>
      <c r="B51" s="422"/>
      <c r="C51" s="422"/>
      <c r="D51" s="421" t="s">
        <v>974</v>
      </c>
      <c r="E51" s="422"/>
      <c r="F51" s="422"/>
      <c r="G51" s="422"/>
      <c r="H51" s="422"/>
      <c r="I51" s="422"/>
      <c r="J51" s="422"/>
      <c r="K51" s="422"/>
      <c r="L51" s="237"/>
      <c r="M51" s="244">
        <v>0</v>
      </c>
      <c r="N51" s="354">
        <v>0</v>
      </c>
      <c r="O51" s="354">
        <v>25697</v>
      </c>
      <c r="P51" s="355">
        <v>0</v>
      </c>
      <c r="Q51" s="246">
        <v>0</v>
      </c>
      <c r="R51" s="245">
        <v>0</v>
      </c>
      <c r="S51" s="245">
        <v>0</v>
      </c>
      <c r="T51" s="245">
        <v>0</v>
      </c>
      <c r="U51" s="245">
        <v>0</v>
      </c>
      <c r="V51" s="245">
        <v>0</v>
      </c>
    </row>
    <row r="52" spans="1:23" ht="24" customHeight="1">
      <c r="A52" s="421" t="s">
        <v>71</v>
      </c>
      <c r="B52" s="337"/>
      <c r="C52" s="337"/>
      <c r="D52" s="421" t="s">
        <v>74</v>
      </c>
      <c r="E52" s="337"/>
      <c r="F52" s="337"/>
      <c r="G52" s="337"/>
      <c r="H52" s="337"/>
      <c r="I52" s="337"/>
      <c r="J52" s="337"/>
      <c r="K52" s="337"/>
      <c r="L52" s="229">
        <v>18289</v>
      </c>
      <c r="M52" s="234">
        <v>14925</v>
      </c>
      <c r="N52" s="348">
        <v>33067</v>
      </c>
      <c r="O52" s="348">
        <v>28582</v>
      </c>
      <c r="P52" s="349">
        <v>15000</v>
      </c>
      <c r="Q52" s="236">
        <v>20019</v>
      </c>
      <c r="R52" s="235">
        <v>20000</v>
      </c>
      <c r="S52" s="235">
        <v>20000</v>
      </c>
      <c r="T52" s="235">
        <v>20000</v>
      </c>
      <c r="U52" s="235">
        <v>20000</v>
      </c>
      <c r="V52" s="235">
        <v>20000</v>
      </c>
    </row>
    <row r="53" spans="1:23" ht="24" customHeight="1">
      <c r="A53" s="421" t="s">
        <v>319</v>
      </c>
      <c r="B53" s="337"/>
      <c r="C53" s="337"/>
      <c r="D53" s="421" t="s">
        <v>326</v>
      </c>
      <c r="E53" s="337"/>
      <c r="F53" s="337"/>
      <c r="G53" s="337"/>
      <c r="H53" s="337"/>
      <c r="I53" s="337"/>
      <c r="J53" s="337"/>
      <c r="K53" s="337"/>
      <c r="L53" s="229"/>
      <c r="M53" s="234">
        <v>0</v>
      </c>
      <c r="N53" s="348">
        <v>21675</v>
      </c>
      <c r="O53" s="350">
        <v>23220</v>
      </c>
      <c r="P53" s="353">
        <v>12500</v>
      </c>
      <c r="Q53" s="243">
        <v>817</v>
      </c>
      <c r="R53" s="239">
        <v>0</v>
      </c>
      <c r="S53" s="239">
        <v>0</v>
      </c>
      <c r="T53" s="239">
        <v>0</v>
      </c>
      <c r="U53" s="239">
        <v>0</v>
      </c>
      <c r="V53" s="239">
        <v>0</v>
      </c>
    </row>
    <row r="54" spans="1:23" ht="24" customHeight="1">
      <c r="A54" s="421" t="s">
        <v>320</v>
      </c>
      <c r="B54" s="337"/>
      <c r="C54" s="337"/>
      <c r="D54" s="421" t="s">
        <v>327</v>
      </c>
      <c r="E54" s="337"/>
      <c r="F54" s="337"/>
      <c r="G54" s="337"/>
      <c r="H54" s="337"/>
      <c r="I54" s="337"/>
      <c r="J54" s="337"/>
      <c r="K54" s="337"/>
      <c r="L54" s="229"/>
      <c r="M54" s="234">
        <v>0</v>
      </c>
      <c r="N54" s="348">
        <v>39671</v>
      </c>
      <c r="O54" s="350">
        <v>48447</v>
      </c>
      <c r="P54" s="353">
        <v>60398</v>
      </c>
      <c r="Q54" s="243">
        <v>50994</v>
      </c>
      <c r="R54" s="239">
        <v>0</v>
      </c>
      <c r="S54" s="239">
        <v>0</v>
      </c>
      <c r="T54" s="239">
        <v>0</v>
      </c>
      <c r="U54" s="239">
        <v>0</v>
      </c>
      <c r="V54" s="239">
        <v>0</v>
      </c>
    </row>
    <row r="55" spans="1:23" ht="24" customHeight="1">
      <c r="A55" s="421" t="s">
        <v>70</v>
      </c>
      <c r="B55" s="422"/>
      <c r="C55" s="422"/>
      <c r="D55" s="421" t="s">
        <v>323</v>
      </c>
      <c r="E55" s="422"/>
      <c r="F55" s="422"/>
      <c r="G55" s="422"/>
      <c r="H55" s="422"/>
      <c r="I55" s="422"/>
      <c r="J55" s="422"/>
      <c r="K55" s="422"/>
      <c r="L55" s="237">
        <v>100223</v>
      </c>
      <c r="M55" s="234">
        <v>227600</v>
      </c>
      <c r="N55" s="348">
        <v>193147</v>
      </c>
      <c r="O55" s="350">
        <v>91536</v>
      </c>
      <c r="P55" s="355">
        <v>61295</v>
      </c>
      <c r="Q55" s="246">
        <v>66571</v>
      </c>
      <c r="R55" s="245">
        <v>0</v>
      </c>
      <c r="S55" s="245">
        <v>0</v>
      </c>
      <c r="T55" s="245">
        <v>0</v>
      </c>
      <c r="U55" s="245">
        <v>0</v>
      </c>
      <c r="V55" s="245">
        <v>0</v>
      </c>
      <c r="W55" s="245"/>
    </row>
    <row r="56" spans="1:23" ht="24" customHeight="1">
      <c r="A56" s="421" t="s">
        <v>316</v>
      </c>
      <c r="B56" s="422"/>
      <c r="C56" s="422"/>
      <c r="D56" s="421" t="s">
        <v>317</v>
      </c>
      <c r="E56" s="422"/>
      <c r="F56" s="422"/>
      <c r="G56" s="422"/>
      <c r="H56" s="422"/>
      <c r="I56" s="422"/>
      <c r="J56" s="422"/>
      <c r="K56" s="422"/>
      <c r="L56" s="237"/>
      <c r="M56" s="234">
        <v>0</v>
      </c>
      <c r="N56" s="348">
        <v>4789</v>
      </c>
      <c r="O56" s="350">
        <v>3363</v>
      </c>
      <c r="P56" s="355">
        <v>1699</v>
      </c>
      <c r="Q56" s="246">
        <v>2229</v>
      </c>
      <c r="R56" s="245">
        <v>0</v>
      </c>
      <c r="S56" s="245">
        <v>0</v>
      </c>
      <c r="T56" s="245">
        <v>0</v>
      </c>
      <c r="U56" s="245">
        <v>0</v>
      </c>
      <c r="V56" s="245">
        <v>0</v>
      </c>
    </row>
    <row r="57" spans="1:23" ht="24" customHeight="1">
      <c r="A57" s="421" t="s">
        <v>834</v>
      </c>
      <c r="B57" s="422"/>
      <c r="C57" s="422"/>
      <c r="D57" s="421" t="s">
        <v>835</v>
      </c>
      <c r="E57" s="422"/>
      <c r="F57" s="422"/>
      <c r="G57" s="422"/>
      <c r="H57" s="422"/>
      <c r="I57" s="422"/>
      <c r="J57" s="422"/>
      <c r="K57" s="422"/>
      <c r="L57" s="237">
        <v>4646</v>
      </c>
      <c r="M57" s="234">
        <v>0</v>
      </c>
      <c r="N57" s="348">
        <v>0</v>
      </c>
      <c r="O57" s="350">
        <v>93842</v>
      </c>
      <c r="P57" s="355">
        <v>0</v>
      </c>
      <c r="Q57" s="246">
        <v>0</v>
      </c>
      <c r="R57" s="245">
        <v>0</v>
      </c>
      <c r="S57" s="245">
        <v>0</v>
      </c>
      <c r="T57" s="245">
        <v>0</v>
      </c>
      <c r="U57" s="245">
        <v>0</v>
      </c>
      <c r="V57" s="245">
        <v>0</v>
      </c>
    </row>
    <row r="58" spans="1:23" ht="24" customHeight="1">
      <c r="A58" s="421" t="s">
        <v>69</v>
      </c>
      <c r="B58" s="337"/>
      <c r="C58" s="337"/>
      <c r="D58" s="421" t="s">
        <v>291</v>
      </c>
      <c r="E58" s="337"/>
      <c r="F58" s="337"/>
      <c r="G58" s="337"/>
      <c r="H58" s="337"/>
      <c r="I58" s="337"/>
      <c r="J58" s="337"/>
      <c r="K58" s="337"/>
      <c r="L58" s="229"/>
      <c r="M58" s="244">
        <v>29776</v>
      </c>
      <c r="N58" s="354">
        <v>35711</v>
      </c>
      <c r="O58" s="354">
        <v>3417</v>
      </c>
      <c r="P58" s="355">
        <v>5000</v>
      </c>
      <c r="Q58" s="246">
        <v>29610</v>
      </c>
      <c r="R58" s="245">
        <v>5000</v>
      </c>
      <c r="S58" s="245">
        <v>5000</v>
      </c>
      <c r="T58" s="245">
        <v>5000</v>
      </c>
      <c r="U58" s="245">
        <v>5000</v>
      </c>
      <c r="V58" s="245">
        <v>5000</v>
      </c>
    </row>
    <row r="59" spans="1:23" ht="24" customHeight="1">
      <c r="A59" s="421" t="s">
        <v>314</v>
      </c>
      <c r="B59" s="337"/>
      <c r="C59" s="337"/>
      <c r="D59" s="421" t="s">
        <v>315</v>
      </c>
      <c r="E59" s="337"/>
      <c r="F59" s="337"/>
      <c r="G59" s="337"/>
      <c r="H59" s="337"/>
      <c r="I59" s="337"/>
      <c r="J59" s="337"/>
      <c r="K59" s="337"/>
      <c r="L59" s="229"/>
      <c r="M59" s="244">
        <v>0</v>
      </c>
      <c r="N59" s="354">
        <v>22207</v>
      </c>
      <c r="O59" s="354">
        <v>25557</v>
      </c>
      <c r="P59" s="355">
        <v>0</v>
      </c>
      <c r="Q59" s="246">
        <v>0</v>
      </c>
      <c r="R59" s="245">
        <v>0</v>
      </c>
      <c r="S59" s="245">
        <v>0</v>
      </c>
      <c r="T59" s="245">
        <v>0</v>
      </c>
      <c r="U59" s="245">
        <v>0</v>
      </c>
      <c r="V59" s="245">
        <v>0</v>
      </c>
    </row>
    <row r="60" spans="1:23" ht="24" customHeight="1">
      <c r="A60" s="421" t="s">
        <v>277</v>
      </c>
      <c r="B60" s="337"/>
      <c r="C60" s="337"/>
      <c r="D60" s="421" t="s">
        <v>278</v>
      </c>
      <c r="E60" s="337"/>
      <c r="F60" s="337"/>
      <c r="G60" s="337"/>
      <c r="H60" s="337"/>
      <c r="I60" s="337"/>
      <c r="J60" s="337"/>
      <c r="K60" s="337"/>
      <c r="L60" s="229">
        <v>98499</v>
      </c>
      <c r="M60" s="244">
        <v>36185</v>
      </c>
      <c r="N60" s="354">
        <v>19505</v>
      </c>
      <c r="O60" s="354">
        <v>37167</v>
      </c>
      <c r="P60" s="355">
        <v>40000</v>
      </c>
      <c r="Q60" s="246">
        <v>37000</v>
      </c>
      <c r="R60" s="245">
        <v>40000</v>
      </c>
      <c r="S60" s="245">
        <v>40000</v>
      </c>
      <c r="T60" s="245">
        <v>40000</v>
      </c>
      <c r="U60" s="245">
        <v>40000</v>
      </c>
      <c r="V60" s="245">
        <v>40000</v>
      </c>
    </row>
    <row r="61" spans="1:23" ht="24" customHeight="1">
      <c r="A61" s="421" t="s">
        <v>68</v>
      </c>
      <c r="B61" s="422"/>
      <c r="C61" s="422"/>
      <c r="D61" s="421" t="s">
        <v>73</v>
      </c>
      <c r="E61" s="422"/>
      <c r="F61" s="422"/>
      <c r="G61" s="422"/>
      <c r="H61" s="422"/>
      <c r="I61" s="422"/>
      <c r="J61" s="422"/>
      <c r="K61" s="422"/>
      <c r="L61" s="237">
        <v>173728</v>
      </c>
      <c r="M61" s="244">
        <v>88370</v>
      </c>
      <c r="N61" s="354">
        <v>67870</v>
      </c>
      <c r="O61" s="354">
        <v>10337</v>
      </c>
      <c r="P61" s="355">
        <v>4000</v>
      </c>
      <c r="Q61" s="246">
        <v>11000</v>
      </c>
      <c r="R61" s="245">
        <v>10000</v>
      </c>
      <c r="S61" s="245">
        <v>10000</v>
      </c>
      <c r="T61" s="245">
        <v>10000</v>
      </c>
      <c r="U61" s="245">
        <v>10000</v>
      </c>
      <c r="V61" s="245">
        <v>10000</v>
      </c>
    </row>
    <row r="62" spans="1:23" ht="24" customHeight="1">
      <c r="A62" s="421" t="s">
        <v>292</v>
      </c>
      <c r="B62" s="424"/>
      <c r="C62" s="424"/>
      <c r="D62" s="422" t="s">
        <v>293</v>
      </c>
      <c r="E62" s="424"/>
      <c r="F62" s="424"/>
      <c r="G62" s="424"/>
      <c r="H62" s="424"/>
      <c r="I62" s="424"/>
      <c r="J62" s="424"/>
      <c r="K62" s="424"/>
      <c r="L62" s="237">
        <v>13730</v>
      </c>
      <c r="M62" s="244">
        <v>13155</v>
      </c>
      <c r="N62" s="354">
        <v>5600</v>
      </c>
      <c r="O62" s="354">
        <v>8460</v>
      </c>
      <c r="P62" s="355">
        <v>8000</v>
      </c>
      <c r="Q62" s="246">
        <v>8000</v>
      </c>
      <c r="R62" s="245">
        <v>8000</v>
      </c>
      <c r="S62" s="245">
        <v>8000</v>
      </c>
      <c r="T62" s="245">
        <v>8000</v>
      </c>
      <c r="U62" s="245">
        <v>8000</v>
      </c>
      <c r="V62" s="245">
        <v>8000</v>
      </c>
    </row>
    <row r="63" spans="1:23" ht="24" customHeight="1">
      <c r="A63" s="421" t="s">
        <v>331</v>
      </c>
      <c r="B63" s="424"/>
      <c r="C63" s="424"/>
      <c r="D63" s="422" t="s">
        <v>330</v>
      </c>
      <c r="E63" s="424"/>
      <c r="F63" s="424"/>
      <c r="G63" s="337"/>
      <c r="H63" s="337"/>
      <c r="I63" s="337"/>
      <c r="J63" s="337"/>
      <c r="K63" s="337"/>
      <c r="L63" s="229"/>
      <c r="M63" s="244">
        <v>0</v>
      </c>
      <c r="N63" s="354">
        <v>10849</v>
      </c>
      <c r="O63" s="354">
        <v>0</v>
      </c>
      <c r="P63" s="355">
        <v>0</v>
      </c>
      <c r="Q63" s="246">
        <v>0</v>
      </c>
      <c r="R63" s="245">
        <v>0</v>
      </c>
      <c r="S63" s="245">
        <v>0</v>
      </c>
      <c r="T63" s="245">
        <v>0</v>
      </c>
      <c r="U63" s="245">
        <v>0</v>
      </c>
      <c r="V63" s="245">
        <v>0</v>
      </c>
    </row>
    <row r="64" spans="1:23" ht="24" customHeight="1">
      <c r="A64" s="421" t="s">
        <v>283</v>
      </c>
      <c r="B64" s="337"/>
      <c r="C64" s="337"/>
      <c r="D64" s="421" t="s">
        <v>284</v>
      </c>
      <c r="E64" s="337"/>
      <c r="F64" s="337"/>
      <c r="G64" s="337"/>
      <c r="H64" s="337"/>
      <c r="I64" s="337"/>
      <c r="J64" s="337"/>
      <c r="K64" s="337"/>
      <c r="L64" s="229">
        <v>2820</v>
      </c>
      <c r="M64" s="244"/>
      <c r="N64" s="354">
        <v>2784</v>
      </c>
      <c r="O64" s="354">
        <v>50</v>
      </c>
      <c r="P64" s="355">
        <v>0</v>
      </c>
      <c r="Q64" s="246">
        <v>0</v>
      </c>
      <c r="R64" s="245">
        <v>0</v>
      </c>
      <c r="S64" s="245">
        <v>2000</v>
      </c>
      <c r="T64" s="245">
        <v>2000</v>
      </c>
      <c r="U64" s="245">
        <v>2000</v>
      </c>
      <c r="V64" s="245">
        <v>2000</v>
      </c>
    </row>
    <row r="65" spans="1:53" ht="24" customHeight="1">
      <c r="A65" s="421" t="s">
        <v>76</v>
      </c>
      <c r="B65" s="337"/>
      <c r="C65" s="337"/>
      <c r="D65" s="421" t="s">
        <v>7</v>
      </c>
      <c r="E65" s="337"/>
      <c r="F65" s="337"/>
      <c r="G65" s="337"/>
      <c r="H65" s="337"/>
      <c r="I65" s="337"/>
      <c r="J65" s="337"/>
      <c r="K65" s="337"/>
      <c r="L65" s="229">
        <v>25409</v>
      </c>
      <c r="M65" s="234">
        <f>1589+250</f>
        <v>1839</v>
      </c>
      <c r="N65" s="348">
        <v>9628</v>
      </c>
      <c r="O65" s="348">
        <v>5192</v>
      </c>
      <c r="P65" s="349">
        <v>3000</v>
      </c>
      <c r="Q65" s="236">
        <v>116000</v>
      </c>
      <c r="R65" s="235">
        <v>3000</v>
      </c>
      <c r="S65" s="235">
        <v>3000</v>
      </c>
      <c r="T65" s="235">
        <v>3000</v>
      </c>
      <c r="U65" s="235">
        <v>3000</v>
      </c>
      <c r="V65" s="235">
        <v>3000</v>
      </c>
    </row>
    <row r="66" spans="1:53" ht="24" customHeight="1">
      <c r="A66" s="421" t="s">
        <v>1409</v>
      </c>
      <c r="B66" s="337"/>
      <c r="C66" s="337"/>
      <c r="D66" s="422" t="s">
        <v>1410</v>
      </c>
      <c r="E66" s="337"/>
      <c r="F66" s="337"/>
      <c r="G66" s="337"/>
      <c r="H66" s="337"/>
      <c r="I66" s="337"/>
      <c r="J66" s="337"/>
      <c r="K66" s="337"/>
      <c r="L66" s="229"/>
      <c r="M66" s="238"/>
      <c r="N66" s="350">
        <f>N451</f>
        <v>0</v>
      </c>
      <c r="O66" s="350">
        <f t="shared" ref="O66:V66" si="0">O451</f>
        <v>0</v>
      </c>
      <c r="P66" s="353">
        <f t="shared" si="0"/>
        <v>0</v>
      </c>
      <c r="Q66" s="243">
        <f t="shared" si="0"/>
        <v>0</v>
      </c>
      <c r="R66" s="239">
        <f t="shared" si="0"/>
        <v>5250</v>
      </c>
      <c r="S66" s="239">
        <f t="shared" si="0"/>
        <v>5250</v>
      </c>
      <c r="T66" s="239">
        <f t="shared" si="0"/>
        <v>5250</v>
      </c>
      <c r="U66" s="239">
        <f t="shared" si="0"/>
        <v>5250</v>
      </c>
      <c r="V66" s="239">
        <f t="shared" si="0"/>
        <v>5250</v>
      </c>
    </row>
    <row r="67" spans="1:53" ht="24" customHeight="1">
      <c r="A67" s="421" t="s">
        <v>845</v>
      </c>
      <c r="B67" s="422"/>
      <c r="C67" s="422"/>
      <c r="D67" s="422" t="s">
        <v>1247</v>
      </c>
      <c r="E67" s="422"/>
      <c r="F67" s="337"/>
      <c r="G67" s="422"/>
      <c r="H67" s="422"/>
      <c r="I67" s="422"/>
      <c r="J67" s="422"/>
      <c r="K67" s="422"/>
      <c r="L67" s="237"/>
      <c r="M67" s="249"/>
      <c r="N67" s="356">
        <v>0</v>
      </c>
      <c r="O67" s="357">
        <v>332500</v>
      </c>
      <c r="P67" s="358">
        <v>0</v>
      </c>
      <c r="Q67" s="252">
        <v>0</v>
      </c>
      <c r="R67" s="251">
        <v>0</v>
      </c>
      <c r="S67" s="251">
        <v>0</v>
      </c>
      <c r="T67" s="251">
        <v>0</v>
      </c>
      <c r="U67" s="251">
        <v>0</v>
      </c>
      <c r="V67" s="251">
        <v>0</v>
      </c>
    </row>
    <row r="68" spans="1:53" ht="15" customHeight="1">
      <c r="A68" s="337"/>
      <c r="B68" s="337"/>
      <c r="C68" s="337"/>
      <c r="D68" s="424"/>
      <c r="E68" s="424"/>
      <c r="F68" s="424"/>
      <c r="G68" s="424"/>
      <c r="H68" s="424"/>
      <c r="I68" s="424"/>
      <c r="J68" s="424"/>
      <c r="K68" s="424"/>
      <c r="L68" s="253"/>
      <c r="N68" s="359"/>
      <c r="O68" s="359"/>
      <c r="P68" s="360"/>
      <c r="Q68" s="255"/>
      <c r="R68" s="254"/>
      <c r="S68" s="254"/>
      <c r="T68" s="254"/>
      <c r="U68" s="254"/>
      <c r="V68" s="254"/>
    </row>
    <row r="69" spans="1:53" s="337" customFormat="1" ht="24" customHeight="1">
      <c r="K69" s="425" t="s">
        <v>758</v>
      </c>
      <c r="L69" s="449"/>
      <c r="M69" s="450"/>
      <c r="N69" s="361">
        <f t="shared" ref="N69:V69" si="1">SUM(N9:N68)</f>
        <v>11517961</v>
      </c>
      <c r="O69" s="361">
        <f t="shared" si="1"/>
        <v>12511852</v>
      </c>
      <c r="P69" s="362">
        <f>SUM(P9:P68)</f>
        <v>12311109</v>
      </c>
      <c r="Q69" s="362">
        <f t="shared" si="1"/>
        <v>13028337</v>
      </c>
      <c r="R69" s="361">
        <f>SUM(R9:R68)</f>
        <v>13009489</v>
      </c>
      <c r="S69" s="361">
        <f t="shared" si="1"/>
        <v>13149788</v>
      </c>
      <c r="T69" s="361">
        <f t="shared" si="1"/>
        <v>13330233</v>
      </c>
      <c r="U69" s="361">
        <f t="shared" si="1"/>
        <v>13491731</v>
      </c>
      <c r="V69" s="361">
        <f t="shared" si="1"/>
        <v>13720471</v>
      </c>
    </row>
    <row r="70" spans="1:53" ht="15" customHeight="1">
      <c r="A70" s="337"/>
      <c r="B70" s="337"/>
      <c r="C70" s="337"/>
      <c r="D70" s="337"/>
      <c r="E70" s="337"/>
      <c r="F70" s="337"/>
      <c r="G70" s="337"/>
      <c r="H70" s="337"/>
      <c r="I70" s="337"/>
      <c r="J70" s="337"/>
      <c r="K70" s="337"/>
      <c r="L70" s="229"/>
      <c r="N70" s="359"/>
      <c r="O70" s="359"/>
      <c r="P70" s="360"/>
      <c r="Q70" s="255"/>
      <c r="R70" s="254"/>
      <c r="S70" s="254"/>
      <c r="T70" s="254"/>
      <c r="U70" s="254"/>
      <c r="V70" s="254"/>
    </row>
    <row r="71" spans="1:53" ht="24" customHeight="1">
      <c r="A71" s="425" t="s">
        <v>772</v>
      </c>
      <c r="B71" s="337"/>
      <c r="C71" s="337"/>
      <c r="D71" s="337"/>
      <c r="E71" s="337"/>
      <c r="F71" s="337"/>
      <c r="G71" s="337"/>
      <c r="H71" s="337"/>
      <c r="I71" s="337"/>
      <c r="J71" s="337"/>
      <c r="K71" s="337"/>
      <c r="L71" s="229"/>
      <c r="N71" s="359"/>
      <c r="O71" s="359"/>
      <c r="P71" s="360"/>
      <c r="Q71" s="255"/>
      <c r="R71" s="254"/>
      <c r="S71" s="254"/>
      <c r="T71" s="254"/>
      <c r="U71" s="254"/>
      <c r="V71" s="254"/>
    </row>
    <row r="72" spans="1:53" ht="24" customHeight="1">
      <c r="A72" s="421" t="s">
        <v>82</v>
      </c>
      <c r="B72" s="337"/>
      <c r="C72" s="337"/>
      <c r="D72" s="421" t="s">
        <v>89</v>
      </c>
      <c r="E72" s="337"/>
      <c r="F72" s="337"/>
      <c r="G72" s="337"/>
      <c r="H72" s="337"/>
      <c r="I72" s="337"/>
      <c r="J72" s="337"/>
      <c r="K72" s="337"/>
      <c r="L72" s="229"/>
      <c r="M72" s="244"/>
      <c r="N72" s="354">
        <v>10700</v>
      </c>
      <c r="O72" s="354">
        <v>10105</v>
      </c>
      <c r="P72" s="355">
        <v>11000</v>
      </c>
      <c r="Q72" s="246">
        <v>11000</v>
      </c>
      <c r="R72" s="245">
        <v>11000</v>
      </c>
      <c r="S72" s="245">
        <v>11000</v>
      </c>
      <c r="T72" s="245">
        <v>11000</v>
      </c>
      <c r="U72" s="245">
        <v>11000</v>
      </c>
      <c r="V72" s="245">
        <v>11000</v>
      </c>
    </row>
    <row r="73" spans="1:53" ht="24" customHeight="1">
      <c r="A73" s="421" t="s">
        <v>81</v>
      </c>
      <c r="B73" s="337"/>
      <c r="C73" s="337"/>
      <c r="D73" s="421" t="s">
        <v>88</v>
      </c>
      <c r="E73" s="337"/>
      <c r="F73" s="337"/>
      <c r="G73" s="337"/>
      <c r="H73" s="337"/>
      <c r="I73" s="337"/>
      <c r="J73" s="337"/>
      <c r="K73" s="337"/>
      <c r="L73" s="229"/>
      <c r="M73" s="244"/>
      <c r="N73" s="354">
        <v>1167</v>
      </c>
      <c r="O73" s="354">
        <v>1000</v>
      </c>
      <c r="P73" s="355">
        <v>1000</v>
      </c>
      <c r="Q73" s="246">
        <v>1000</v>
      </c>
      <c r="R73" s="245">
        <v>1000</v>
      </c>
      <c r="S73" s="245">
        <v>1000</v>
      </c>
      <c r="T73" s="245">
        <v>1000</v>
      </c>
      <c r="U73" s="245">
        <v>1000</v>
      </c>
      <c r="V73" s="245">
        <v>1000</v>
      </c>
    </row>
    <row r="74" spans="1:53" ht="24" customHeight="1">
      <c r="A74" s="421" t="s">
        <v>80</v>
      </c>
      <c r="B74" s="337"/>
      <c r="C74" s="337"/>
      <c r="D74" s="421" t="s">
        <v>87</v>
      </c>
      <c r="E74" s="337"/>
      <c r="F74" s="337"/>
      <c r="G74" s="337"/>
      <c r="H74" s="337"/>
      <c r="I74" s="337"/>
      <c r="J74" s="337"/>
      <c r="K74" s="337"/>
      <c r="L74" s="229"/>
      <c r="M74" s="244"/>
      <c r="N74" s="354">
        <v>9305</v>
      </c>
      <c r="O74" s="354">
        <v>8535</v>
      </c>
      <c r="P74" s="355">
        <v>9000</v>
      </c>
      <c r="Q74" s="246">
        <v>9000</v>
      </c>
      <c r="R74" s="245">
        <v>11000</v>
      </c>
      <c r="S74" s="245">
        <v>11000</v>
      </c>
      <c r="T74" s="245">
        <v>11000</v>
      </c>
      <c r="U74" s="245">
        <v>11000</v>
      </c>
      <c r="V74" s="245">
        <v>11000</v>
      </c>
    </row>
    <row r="75" spans="1:53" ht="24" customHeight="1">
      <c r="A75" s="421" t="s">
        <v>79</v>
      </c>
      <c r="B75" s="337"/>
      <c r="C75" s="337"/>
      <c r="D75" s="421" t="s">
        <v>86</v>
      </c>
      <c r="E75" s="337"/>
      <c r="F75" s="337"/>
      <c r="G75" s="337"/>
      <c r="H75" s="337"/>
      <c r="I75" s="337"/>
      <c r="J75" s="337"/>
      <c r="K75" s="337"/>
      <c r="L75" s="229"/>
      <c r="M75" s="244"/>
      <c r="N75" s="354">
        <v>6105</v>
      </c>
      <c r="O75" s="354">
        <v>5800</v>
      </c>
      <c r="P75" s="355">
        <v>6500</v>
      </c>
      <c r="Q75" s="246">
        <v>6500</v>
      </c>
      <c r="R75" s="245">
        <v>6500</v>
      </c>
      <c r="S75" s="245">
        <v>6500</v>
      </c>
      <c r="T75" s="245">
        <v>6500</v>
      </c>
      <c r="U75" s="245">
        <v>6500</v>
      </c>
      <c r="V75" s="245">
        <v>6500</v>
      </c>
    </row>
    <row r="76" spans="1:53" ht="24" customHeight="1">
      <c r="A76" s="421" t="s">
        <v>78</v>
      </c>
      <c r="B76" s="337"/>
      <c r="C76" s="337"/>
      <c r="D76" s="421" t="s">
        <v>85</v>
      </c>
      <c r="E76" s="337"/>
      <c r="F76" s="337"/>
      <c r="G76" s="337"/>
      <c r="H76" s="337"/>
      <c r="I76" s="337"/>
      <c r="J76" s="337"/>
      <c r="K76" s="337"/>
      <c r="L76" s="229"/>
      <c r="M76" s="244"/>
      <c r="N76" s="354">
        <v>52455</v>
      </c>
      <c r="O76" s="354">
        <v>48270</v>
      </c>
      <c r="P76" s="355">
        <v>50320</v>
      </c>
      <c r="Q76" s="246">
        <v>50320</v>
      </c>
      <c r="R76" s="245">
        <v>52000</v>
      </c>
      <c r="S76" s="245">
        <v>52000</v>
      </c>
      <c r="T76" s="245">
        <v>52000</v>
      </c>
      <c r="U76" s="245">
        <v>52000</v>
      </c>
      <c r="V76" s="245">
        <v>52000</v>
      </c>
    </row>
    <row r="77" spans="1:53" ht="24" customHeight="1">
      <c r="A77" s="421" t="s">
        <v>1472</v>
      </c>
      <c r="B77" s="337"/>
      <c r="C77" s="337"/>
      <c r="D77" s="421" t="s">
        <v>84</v>
      </c>
      <c r="E77" s="337"/>
      <c r="F77" s="337"/>
      <c r="G77" s="337"/>
      <c r="H77" s="337"/>
      <c r="I77" s="337"/>
      <c r="J77" s="337"/>
      <c r="K77" s="337"/>
      <c r="L77" s="229"/>
      <c r="M77" s="244"/>
      <c r="N77" s="354">
        <v>239314</v>
      </c>
      <c r="O77" s="354">
        <v>232228</v>
      </c>
      <c r="P77" s="355">
        <v>255000</v>
      </c>
      <c r="Q77" s="246">
        <v>260000</v>
      </c>
      <c r="R77" s="245">
        <v>264599</v>
      </c>
      <c r="S77" s="245">
        <v>264599</v>
      </c>
      <c r="T77" s="245">
        <v>264599</v>
      </c>
      <c r="U77" s="245">
        <v>264599</v>
      </c>
      <c r="V77" s="245">
        <v>264599</v>
      </c>
    </row>
    <row r="78" spans="1:53" s="224" customFormat="1" ht="24" customHeight="1">
      <c r="A78" s="421" t="s">
        <v>1239</v>
      </c>
      <c r="B78" s="337"/>
      <c r="C78" s="337"/>
      <c r="D78" s="421" t="s">
        <v>83</v>
      </c>
      <c r="E78" s="337"/>
      <c r="F78" s="337"/>
      <c r="G78" s="337"/>
      <c r="H78" s="337"/>
      <c r="I78" s="337"/>
      <c r="J78" s="337"/>
      <c r="K78" s="337"/>
      <c r="L78" s="229"/>
      <c r="M78" s="244"/>
      <c r="N78" s="354">
        <v>0</v>
      </c>
      <c r="O78" s="354">
        <v>0</v>
      </c>
      <c r="P78" s="355">
        <v>0</v>
      </c>
      <c r="Q78" s="246">
        <v>0</v>
      </c>
      <c r="R78" s="245">
        <v>22000</v>
      </c>
      <c r="S78" s="245">
        <v>22000</v>
      </c>
      <c r="T78" s="245">
        <v>22000</v>
      </c>
      <c r="U78" s="245">
        <v>22000</v>
      </c>
      <c r="V78" s="245">
        <v>22000</v>
      </c>
      <c r="W78" s="335"/>
      <c r="X78" s="335"/>
      <c r="Y78" s="335"/>
      <c r="Z78" s="335"/>
      <c r="AA78" s="335"/>
      <c r="AB78" s="335"/>
      <c r="AC78" s="335"/>
      <c r="AD78" s="335"/>
      <c r="AE78" s="335"/>
      <c r="AF78" s="335"/>
      <c r="AG78" s="335"/>
      <c r="AH78" s="335"/>
      <c r="AI78" s="335"/>
      <c r="AJ78" s="335"/>
      <c r="AK78" s="335"/>
      <c r="AL78" s="335"/>
      <c r="AM78" s="335"/>
      <c r="AN78" s="335"/>
      <c r="AO78" s="335"/>
      <c r="AP78" s="335"/>
      <c r="AQ78" s="335"/>
      <c r="AR78" s="335"/>
      <c r="AS78" s="335"/>
      <c r="AT78" s="335"/>
      <c r="AU78" s="335"/>
      <c r="AV78" s="335"/>
      <c r="AW78" s="335"/>
      <c r="AX78" s="335"/>
      <c r="AY78" s="335"/>
      <c r="AZ78" s="335"/>
      <c r="BA78" s="335"/>
    </row>
    <row r="79" spans="1:53" ht="24" customHeight="1">
      <c r="A79" s="421" t="s">
        <v>77</v>
      </c>
      <c r="B79" s="337"/>
      <c r="C79" s="337"/>
      <c r="D79" s="421" t="s">
        <v>18</v>
      </c>
      <c r="E79" s="337"/>
      <c r="F79" s="337"/>
      <c r="G79" s="337"/>
      <c r="H79" s="337"/>
      <c r="I79" s="337"/>
      <c r="J79" s="337"/>
      <c r="K79" s="337"/>
      <c r="L79" s="229"/>
      <c r="M79" s="234"/>
      <c r="N79" s="348">
        <v>223</v>
      </c>
      <c r="O79" s="348">
        <v>1140</v>
      </c>
      <c r="P79" s="349">
        <v>575</v>
      </c>
      <c r="Q79" s="236">
        <v>500</v>
      </c>
      <c r="R79" s="235">
        <v>500</v>
      </c>
      <c r="S79" s="235">
        <v>500</v>
      </c>
      <c r="T79" s="235">
        <v>500</v>
      </c>
      <c r="U79" s="235">
        <v>500</v>
      </c>
      <c r="V79" s="235">
        <v>500</v>
      </c>
    </row>
    <row r="80" spans="1:53" ht="24" customHeight="1">
      <c r="A80" s="421" t="s">
        <v>91</v>
      </c>
      <c r="B80" s="337"/>
      <c r="C80" s="337"/>
      <c r="D80" s="421" t="s">
        <v>8</v>
      </c>
      <c r="E80" s="337"/>
      <c r="F80" s="337"/>
      <c r="G80" s="337"/>
      <c r="H80" s="337"/>
      <c r="I80" s="337"/>
      <c r="J80" s="337"/>
      <c r="K80" s="337"/>
      <c r="L80" s="229"/>
      <c r="M80" s="230"/>
      <c r="N80" s="346">
        <v>26574</v>
      </c>
      <c r="O80" s="348">
        <v>27723</v>
      </c>
      <c r="P80" s="349">
        <v>28383</v>
      </c>
      <c r="Q80" s="236">
        <v>30000</v>
      </c>
      <c r="R80" s="235">
        <v>38125</v>
      </c>
      <c r="S80" s="235">
        <v>38125</v>
      </c>
      <c r="T80" s="235">
        <v>38125</v>
      </c>
      <c r="U80" s="235">
        <v>38125</v>
      </c>
      <c r="V80" s="235">
        <v>38125</v>
      </c>
    </row>
    <row r="81" spans="1:22" ht="24" customHeight="1">
      <c r="A81" s="421" t="s">
        <v>90</v>
      </c>
      <c r="B81" s="337"/>
      <c r="C81" s="337"/>
      <c r="D81" s="421" t="s">
        <v>9</v>
      </c>
      <c r="E81" s="337"/>
      <c r="F81" s="337"/>
      <c r="G81" s="337"/>
      <c r="H81" s="337"/>
      <c r="I81" s="337"/>
      <c r="J81" s="337"/>
      <c r="K81" s="337"/>
      <c r="L81" s="229"/>
      <c r="M81" s="234"/>
      <c r="N81" s="348">
        <v>22375</v>
      </c>
      <c r="O81" s="348">
        <v>21347</v>
      </c>
      <c r="P81" s="349">
        <v>22500</v>
      </c>
      <c r="Q81" s="236">
        <v>22500</v>
      </c>
      <c r="R81" s="235">
        <v>27087</v>
      </c>
      <c r="S81" s="235">
        <v>27087</v>
      </c>
      <c r="T81" s="235">
        <v>27087</v>
      </c>
      <c r="U81" s="235">
        <v>27087</v>
      </c>
      <c r="V81" s="235">
        <v>27087</v>
      </c>
    </row>
    <row r="82" spans="1:22" ht="24" customHeight="1">
      <c r="A82" s="421" t="s">
        <v>792</v>
      </c>
      <c r="B82" s="337"/>
      <c r="C82" s="337"/>
      <c r="D82" s="421" t="s">
        <v>14</v>
      </c>
      <c r="E82" s="337"/>
      <c r="F82" s="337"/>
      <c r="G82" s="337"/>
      <c r="H82" s="337"/>
      <c r="I82" s="337"/>
      <c r="J82" s="337"/>
      <c r="K82" s="337"/>
      <c r="L82" s="229"/>
      <c r="M82" s="247"/>
      <c r="N82" s="346">
        <v>0</v>
      </c>
      <c r="O82" s="351">
        <v>0</v>
      </c>
      <c r="P82" s="352">
        <v>72456</v>
      </c>
      <c r="Q82" s="242">
        <v>72456</v>
      </c>
      <c r="R82" s="241">
        <v>78075</v>
      </c>
      <c r="S82" s="241">
        <v>85883</v>
      </c>
      <c r="T82" s="241">
        <v>94471</v>
      </c>
      <c r="U82" s="241">
        <v>100139</v>
      </c>
      <c r="V82" s="241">
        <v>106147</v>
      </c>
    </row>
    <row r="83" spans="1:22" ht="24" customHeight="1">
      <c r="A83" s="421" t="s">
        <v>793</v>
      </c>
      <c r="B83" s="337"/>
      <c r="C83" s="337"/>
      <c r="D83" s="421" t="s">
        <v>229</v>
      </c>
      <c r="E83" s="337"/>
      <c r="F83" s="337"/>
      <c r="G83" s="337"/>
      <c r="H83" s="337"/>
      <c r="I83" s="337"/>
      <c r="J83" s="337"/>
      <c r="K83" s="337"/>
      <c r="L83" s="229"/>
      <c r="M83" s="247"/>
      <c r="N83" s="346">
        <v>0</v>
      </c>
      <c r="O83" s="351">
        <v>0</v>
      </c>
      <c r="P83" s="352">
        <v>614</v>
      </c>
      <c r="Q83" s="242">
        <v>614</v>
      </c>
      <c r="R83" s="241">
        <v>476</v>
      </c>
      <c r="S83" s="241">
        <v>481</v>
      </c>
      <c r="T83" s="241">
        <v>486</v>
      </c>
      <c r="U83" s="241">
        <v>490</v>
      </c>
      <c r="V83" s="241">
        <v>495</v>
      </c>
    </row>
    <row r="84" spans="1:22" ht="24" customHeight="1">
      <c r="A84" s="421" t="s">
        <v>794</v>
      </c>
      <c r="B84" s="337"/>
      <c r="C84" s="337"/>
      <c r="D84" s="421" t="s">
        <v>819</v>
      </c>
      <c r="E84" s="337"/>
      <c r="F84" s="337"/>
      <c r="G84" s="337"/>
      <c r="H84" s="337"/>
      <c r="I84" s="337"/>
      <c r="J84" s="337"/>
      <c r="K84" s="337"/>
      <c r="L84" s="229"/>
      <c r="M84" s="247"/>
      <c r="N84" s="346">
        <v>0</v>
      </c>
      <c r="O84" s="351">
        <v>0</v>
      </c>
      <c r="P84" s="352">
        <v>5096</v>
      </c>
      <c r="Q84" s="242">
        <v>5096</v>
      </c>
      <c r="R84" s="241">
        <v>5628</v>
      </c>
      <c r="S84" s="241">
        <v>6191</v>
      </c>
      <c r="T84" s="241">
        <v>6810</v>
      </c>
      <c r="U84" s="241">
        <v>7218</v>
      </c>
      <c r="V84" s="241">
        <v>7652</v>
      </c>
    </row>
    <row r="85" spans="1:22" ht="24" customHeight="1">
      <c r="A85" s="421" t="s">
        <v>820</v>
      </c>
      <c r="B85" s="337"/>
      <c r="C85" s="337"/>
      <c r="D85" s="421" t="s">
        <v>821</v>
      </c>
      <c r="E85" s="337"/>
      <c r="F85" s="337"/>
      <c r="G85" s="337"/>
      <c r="H85" s="337"/>
      <c r="I85" s="337"/>
      <c r="J85" s="337"/>
      <c r="K85" s="337"/>
      <c r="L85" s="229"/>
      <c r="M85" s="247"/>
      <c r="N85" s="346">
        <v>0</v>
      </c>
      <c r="O85" s="351">
        <v>0</v>
      </c>
      <c r="P85" s="352">
        <v>586</v>
      </c>
      <c r="Q85" s="242">
        <v>586</v>
      </c>
      <c r="R85" s="241">
        <v>590</v>
      </c>
      <c r="S85" s="241">
        <v>649</v>
      </c>
      <c r="T85" s="241">
        <v>714</v>
      </c>
      <c r="U85" s="241">
        <v>757</v>
      </c>
      <c r="V85" s="241">
        <v>802</v>
      </c>
    </row>
    <row r="86" spans="1:22" ht="24" customHeight="1">
      <c r="A86" s="421" t="s">
        <v>999</v>
      </c>
      <c r="B86" s="337"/>
      <c r="C86" s="337"/>
      <c r="D86" s="540" t="s">
        <v>1015</v>
      </c>
      <c r="E86" s="540"/>
      <c r="F86" s="540"/>
      <c r="G86" s="540"/>
      <c r="H86" s="540"/>
      <c r="I86" s="540"/>
      <c r="J86" s="540"/>
      <c r="K86" s="540"/>
      <c r="L86" s="261"/>
      <c r="M86" s="247"/>
      <c r="N86" s="346">
        <v>0</v>
      </c>
      <c r="O86" s="350">
        <v>0</v>
      </c>
      <c r="P86" s="353">
        <v>133917</v>
      </c>
      <c r="Q86" s="243">
        <v>120000</v>
      </c>
      <c r="R86" s="241">
        <v>94874</v>
      </c>
      <c r="S86" s="241">
        <v>104361</v>
      </c>
      <c r="T86" s="241">
        <v>114798</v>
      </c>
      <c r="U86" s="241">
        <v>121685</v>
      </c>
      <c r="V86" s="241">
        <v>128987</v>
      </c>
    </row>
    <row r="87" spans="1:22" ht="24" customHeight="1">
      <c r="A87" s="421" t="s">
        <v>1000</v>
      </c>
      <c r="B87" s="337"/>
      <c r="C87" s="337"/>
      <c r="D87" s="540" t="s">
        <v>1016</v>
      </c>
      <c r="E87" s="540"/>
      <c r="F87" s="540"/>
      <c r="G87" s="540"/>
      <c r="H87" s="540"/>
      <c r="I87" s="540"/>
      <c r="J87" s="540"/>
      <c r="K87" s="540"/>
      <c r="L87" s="261"/>
      <c r="M87" s="247"/>
      <c r="N87" s="346">
        <v>0</v>
      </c>
      <c r="O87" s="350">
        <v>0</v>
      </c>
      <c r="P87" s="353">
        <v>1043</v>
      </c>
      <c r="Q87" s="243">
        <v>750</v>
      </c>
      <c r="R87" s="241">
        <v>682</v>
      </c>
      <c r="S87" s="241">
        <v>689</v>
      </c>
      <c r="T87" s="241">
        <v>696</v>
      </c>
      <c r="U87" s="241">
        <v>703</v>
      </c>
      <c r="V87" s="241">
        <v>710</v>
      </c>
    </row>
    <row r="88" spans="1:22" ht="24" customHeight="1">
      <c r="A88" s="421" t="s">
        <v>1001</v>
      </c>
      <c r="B88" s="337"/>
      <c r="C88" s="337"/>
      <c r="D88" s="540" t="s">
        <v>1017</v>
      </c>
      <c r="E88" s="540"/>
      <c r="F88" s="540"/>
      <c r="G88" s="540"/>
      <c r="H88" s="540"/>
      <c r="I88" s="540"/>
      <c r="J88" s="540"/>
      <c r="K88" s="540"/>
      <c r="L88" s="261"/>
      <c r="M88" s="247"/>
      <c r="N88" s="346">
        <v>0</v>
      </c>
      <c r="O88" s="350">
        <v>0</v>
      </c>
      <c r="P88" s="353">
        <v>10008</v>
      </c>
      <c r="Q88" s="243">
        <v>8000</v>
      </c>
      <c r="R88" s="241">
        <v>6765</v>
      </c>
      <c r="S88" s="241">
        <v>7442</v>
      </c>
      <c r="T88" s="241">
        <v>8186</v>
      </c>
      <c r="U88" s="241">
        <v>8677</v>
      </c>
      <c r="V88" s="241">
        <v>9197</v>
      </c>
    </row>
    <row r="89" spans="1:22" ht="24" customHeight="1">
      <c r="A89" s="421" t="s">
        <v>1002</v>
      </c>
      <c r="B89" s="337"/>
      <c r="C89" s="337"/>
      <c r="D89" s="540" t="s">
        <v>1018</v>
      </c>
      <c r="E89" s="540"/>
      <c r="F89" s="540"/>
      <c r="G89" s="540"/>
      <c r="H89" s="540"/>
      <c r="I89" s="540"/>
      <c r="J89" s="540"/>
      <c r="K89" s="540"/>
      <c r="L89" s="261"/>
      <c r="M89" s="247"/>
      <c r="N89" s="346">
        <v>0</v>
      </c>
      <c r="O89" s="350">
        <v>0</v>
      </c>
      <c r="P89" s="353">
        <v>1129</v>
      </c>
      <c r="Q89" s="243">
        <v>900</v>
      </c>
      <c r="R89" s="241">
        <v>703</v>
      </c>
      <c r="S89" s="241">
        <v>773</v>
      </c>
      <c r="T89" s="241">
        <v>851</v>
      </c>
      <c r="U89" s="241">
        <v>902</v>
      </c>
      <c r="V89" s="241">
        <v>956</v>
      </c>
    </row>
    <row r="90" spans="1:22" ht="24" customHeight="1">
      <c r="A90" s="421" t="s">
        <v>101</v>
      </c>
      <c r="B90" s="337"/>
      <c r="C90" s="337"/>
      <c r="D90" s="421" t="s">
        <v>108</v>
      </c>
      <c r="E90" s="337"/>
      <c r="F90" s="337"/>
      <c r="G90" s="337"/>
      <c r="H90" s="337"/>
      <c r="I90" s="337"/>
      <c r="J90" s="337"/>
      <c r="K90" s="337"/>
      <c r="L90" s="229"/>
      <c r="M90" s="247"/>
      <c r="N90" s="346">
        <v>0</v>
      </c>
      <c r="O90" s="354">
        <v>1925</v>
      </c>
      <c r="P90" s="355">
        <v>3000</v>
      </c>
      <c r="Q90" s="246">
        <v>3000</v>
      </c>
      <c r="R90" s="245">
        <v>3000</v>
      </c>
      <c r="S90" s="245">
        <v>3000</v>
      </c>
      <c r="T90" s="245">
        <v>3000</v>
      </c>
      <c r="U90" s="245">
        <v>3000</v>
      </c>
      <c r="V90" s="245">
        <v>3000</v>
      </c>
    </row>
    <row r="91" spans="1:22" ht="24" customHeight="1">
      <c r="A91" s="421" t="s">
        <v>100</v>
      </c>
      <c r="B91" s="337"/>
      <c r="C91" s="337"/>
      <c r="D91" s="421" t="s">
        <v>1487</v>
      </c>
      <c r="E91" s="337"/>
      <c r="F91" s="337"/>
      <c r="G91" s="337"/>
      <c r="H91" s="337"/>
      <c r="I91" s="337"/>
      <c r="J91" s="337"/>
      <c r="K91" s="337"/>
      <c r="L91" s="229"/>
      <c r="M91" s="244"/>
      <c r="N91" s="354">
        <v>790</v>
      </c>
      <c r="O91" s="354">
        <v>1565</v>
      </c>
      <c r="P91" s="355">
        <v>6000</v>
      </c>
      <c r="Q91" s="246">
        <v>6000</v>
      </c>
      <c r="R91" s="245">
        <v>8000</v>
      </c>
      <c r="S91" s="245">
        <v>8000</v>
      </c>
      <c r="T91" s="245">
        <v>8000</v>
      </c>
      <c r="U91" s="245">
        <v>8000</v>
      </c>
      <c r="V91" s="245">
        <v>8000</v>
      </c>
    </row>
    <row r="92" spans="1:22" ht="24" customHeight="1">
      <c r="A92" s="421" t="s">
        <v>99</v>
      </c>
      <c r="B92" s="337"/>
      <c r="C92" s="337"/>
      <c r="D92" s="421" t="s">
        <v>16</v>
      </c>
      <c r="E92" s="337"/>
      <c r="F92" s="337"/>
      <c r="G92" s="337"/>
      <c r="H92" s="337"/>
      <c r="I92" s="337"/>
      <c r="J92" s="337"/>
      <c r="K92" s="337"/>
      <c r="L92" s="229"/>
      <c r="M92" s="244"/>
      <c r="N92" s="354">
        <v>55</v>
      </c>
      <c r="O92" s="354">
        <v>0</v>
      </c>
      <c r="P92" s="355">
        <v>0</v>
      </c>
      <c r="Q92" s="246">
        <v>0</v>
      </c>
      <c r="R92" s="245">
        <v>0</v>
      </c>
      <c r="S92" s="245">
        <v>0</v>
      </c>
      <c r="T92" s="245">
        <v>0</v>
      </c>
      <c r="U92" s="245">
        <v>0</v>
      </c>
      <c r="V92" s="245">
        <v>0</v>
      </c>
    </row>
    <row r="93" spans="1:22" ht="24" customHeight="1">
      <c r="A93" s="421" t="s">
        <v>98</v>
      </c>
      <c r="B93" s="337"/>
      <c r="C93" s="337"/>
      <c r="D93" s="421" t="s">
        <v>107</v>
      </c>
      <c r="E93" s="337"/>
      <c r="F93" s="337"/>
      <c r="G93" s="337"/>
      <c r="H93" s="337"/>
      <c r="I93" s="337"/>
      <c r="J93" s="337"/>
      <c r="K93" s="337"/>
      <c r="L93" s="229"/>
      <c r="M93" s="244"/>
      <c r="N93" s="354">
        <v>655</v>
      </c>
      <c r="O93" s="354">
        <v>774</v>
      </c>
      <c r="P93" s="355">
        <v>1000</v>
      </c>
      <c r="Q93" s="246">
        <v>1000</v>
      </c>
      <c r="R93" s="245">
        <v>1000</v>
      </c>
      <c r="S93" s="245">
        <v>1000</v>
      </c>
      <c r="T93" s="245">
        <v>1000</v>
      </c>
      <c r="U93" s="245">
        <v>1000</v>
      </c>
      <c r="V93" s="245">
        <v>1000</v>
      </c>
    </row>
    <row r="94" spans="1:22" ht="24" customHeight="1">
      <c r="A94" s="421" t="s">
        <v>97</v>
      </c>
      <c r="B94" s="337"/>
      <c r="C94" s="337"/>
      <c r="D94" s="421" t="s">
        <v>1488</v>
      </c>
      <c r="E94" s="337"/>
      <c r="F94" s="337"/>
      <c r="G94" s="337"/>
      <c r="H94" s="337"/>
      <c r="I94" s="337"/>
      <c r="J94" s="337"/>
      <c r="K94" s="337"/>
      <c r="L94" s="229"/>
      <c r="M94" s="244"/>
      <c r="N94" s="354">
        <v>8081</v>
      </c>
      <c r="O94" s="354">
        <v>5972</v>
      </c>
      <c r="P94" s="355">
        <v>6750</v>
      </c>
      <c r="Q94" s="246">
        <v>6750</v>
      </c>
      <c r="R94" s="245">
        <v>5250</v>
      </c>
      <c r="S94" s="245">
        <v>5250</v>
      </c>
      <c r="T94" s="245">
        <v>5250</v>
      </c>
      <c r="U94" s="245">
        <v>5250</v>
      </c>
      <c r="V94" s="245">
        <v>5250</v>
      </c>
    </row>
    <row r="95" spans="1:22" ht="24" customHeight="1">
      <c r="A95" s="421" t="s">
        <v>96</v>
      </c>
      <c r="B95" s="337"/>
      <c r="C95" s="337"/>
      <c r="D95" s="421" t="s">
        <v>294</v>
      </c>
      <c r="E95" s="337"/>
      <c r="F95" s="337"/>
      <c r="G95" s="337"/>
      <c r="H95" s="337"/>
      <c r="I95" s="337"/>
      <c r="J95" s="337"/>
      <c r="K95" s="337"/>
      <c r="L95" s="229"/>
      <c r="M95" s="244"/>
      <c r="N95" s="354">
        <v>12520</v>
      </c>
      <c r="O95" s="354">
        <v>14085</v>
      </c>
      <c r="P95" s="355">
        <v>15000</v>
      </c>
      <c r="Q95" s="246">
        <v>18750</v>
      </c>
      <c r="R95" s="245">
        <v>20000</v>
      </c>
      <c r="S95" s="245">
        <v>20000</v>
      </c>
      <c r="T95" s="245">
        <v>20000</v>
      </c>
      <c r="U95" s="245">
        <v>20000</v>
      </c>
      <c r="V95" s="245">
        <v>20000</v>
      </c>
    </row>
    <row r="96" spans="1:22" ht="24" customHeight="1">
      <c r="A96" s="421" t="s">
        <v>975</v>
      </c>
      <c r="B96" s="337"/>
      <c r="C96" s="337"/>
      <c r="D96" s="421" t="s">
        <v>54</v>
      </c>
      <c r="E96" s="337"/>
      <c r="F96" s="337"/>
      <c r="G96" s="337"/>
      <c r="H96" s="337"/>
      <c r="I96" s="337"/>
      <c r="J96" s="337"/>
      <c r="K96" s="337"/>
      <c r="L96" s="229"/>
      <c r="M96" s="244"/>
      <c r="N96" s="354">
        <v>0</v>
      </c>
      <c r="O96" s="354">
        <v>0</v>
      </c>
      <c r="P96" s="355">
        <v>500</v>
      </c>
      <c r="Q96" s="246">
        <v>500</v>
      </c>
      <c r="R96" s="245">
        <v>500</v>
      </c>
      <c r="S96" s="245">
        <v>500</v>
      </c>
      <c r="T96" s="245">
        <v>500</v>
      </c>
      <c r="U96" s="245">
        <v>500</v>
      </c>
      <c r="V96" s="245">
        <v>500</v>
      </c>
    </row>
    <row r="97" spans="1:22" ht="24" customHeight="1">
      <c r="A97" s="421" t="s">
        <v>254</v>
      </c>
      <c r="B97" s="337"/>
      <c r="C97" s="337"/>
      <c r="D97" s="421" t="s">
        <v>105</v>
      </c>
      <c r="E97" s="337"/>
      <c r="F97" s="337"/>
      <c r="G97" s="337"/>
      <c r="H97" s="337"/>
      <c r="I97" s="337"/>
      <c r="J97" s="337"/>
      <c r="K97" s="337"/>
      <c r="L97" s="229"/>
      <c r="M97" s="244"/>
      <c r="N97" s="354">
        <v>4159</v>
      </c>
      <c r="O97" s="354">
        <v>3902</v>
      </c>
      <c r="P97" s="355">
        <v>8000</v>
      </c>
      <c r="Q97" s="246">
        <v>8000</v>
      </c>
      <c r="R97" s="245">
        <v>8000</v>
      </c>
      <c r="S97" s="245">
        <v>8000</v>
      </c>
      <c r="T97" s="245">
        <v>8000</v>
      </c>
      <c r="U97" s="245">
        <v>8000</v>
      </c>
      <c r="V97" s="245">
        <v>8000</v>
      </c>
    </row>
    <row r="98" spans="1:22" ht="24" customHeight="1">
      <c r="A98" s="421" t="s">
        <v>95</v>
      </c>
      <c r="B98" s="337"/>
      <c r="C98" s="337"/>
      <c r="D98" s="421" t="s">
        <v>106</v>
      </c>
      <c r="E98" s="337"/>
      <c r="F98" s="337"/>
      <c r="G98" s="337"/>
      <c r="H98" s="337"/>
      <c r="I98" s="337"/>
      <c r="J98" s="337"/>
      <c r="K98" s="337"/>
      <c r="L98" s="229"/>
      <c r="M98" s="244"/>
      <c r="N98" s="354">
        <v>8055</v>
      </c>
      <c r="O98" s="354">
        <v>4449</v>
      </c>
      <c r="P98" s="355">
        <v>14000</v>
      </c>
      <c r="Q98" s="246">
        <v>14000</v>
      </c>
      <c r="R98" s="245">
        <v>14000</v>
      </c>
      <c r="S98" s="245">
        <v>14000</v>
      </c>
      <c r="T98" s="245">
        <v>14000</v>
      </c>
      <c r="U98" s="245">
        <v>14000</v>
      </c>
      <c r="V98" s="245">
        <v>14000</v>
      </c>
    </row>
    <row r="99" spans="1:22" ht="24" customHeight="1">
      <c r="A99" s="421" t="s">
        <v>1334</v>
      </c>
      <c r="B99" s="422"/>
      <c r="C99" s="422"/>
      <c r="D99" s="421" t="s">
        <v>1489</v>
      </c>
      <c r="E99" s="422"/>
      <c r="F99" s="422"/>
      <c r="G99" s="422"/>
      <c r="H99" s="422"/>
      <c r="I99" s="422"/>
      <c r="J99" s="422"/>
      <c r="K99" s="422"/>
      <c r="L99" s="237"/>
      <c r="M99" s="234"/>
      <c r="N99" s="348">
        <v>12872</v>
      </c>
      <c r="O99" s="348">
        <v>12368</v>
      </c>
      <c r="P99" s="349">
        <v>16600</v>
      </c>
      <c r="Q99" s="236">
        <f t="shared" ref="Q99:V99" si="2">15000+1500+100</f>
        <v>16600</v>
      </c>
      <c r="R99" s="235">
        <f t="shared" si="2"/>
        <v>16600</v>
      </c>
      <c r="S99" s="235">
        <f t="shared" si="2"/>
        <v>16600</v>
      </c>
      <c r="T99" s="235">
        <f t="shared" si="2"/>
        <v>16600</v>
      </c>
      <c r="U99" s="235">
        <f t="shared" si="2"/>
        <v>16600</v>
      </c>
      <c r="V99" s="235">
        <f t="shared" si="2"/>
        <v>16600</v>
      </c>
    </row>
    <row r="100" spans="1:22" ht="24" customHeight="1">
      <c r="A100" s="421" t="s">
        <v>94</v>
      </c>
      <c r="B100" s="337"/>
      <c r="C100" s="337"/>
      <c r="D100" s="421" t="s">
        <v>10</v>
      </c>
      <c r="E100" s="337"/>
      <c r="F100" s="337"/>
      <c r="G100" s="337"/>
      <c r="H100" s="337"/>
      <c r="I100" s="337"/>
      <c r="J100" s="337"/>
      <c r="K100" s="337"/>
      <c r="L100" s="229"/>
      <c r="M100" s="244"/>
      <c r="N100" s="354">
        <v>9539</v>
      </c>
      <c r="O100" s="354">
        <v>13581</v>
      </c>
      <c r="P100" s="355">
        <v>20000</v>
      </c>
      <c r="Q100" s="246">
        <v>20000</v>
      </c>
      <c r="R100" s="245">
        <v>20000</v>
      </c>
      <c r="S100" s="245">
        <v>20000</v>
      </c>
      <c r="T100" s="245">
        <v>20000</v>
      </c>
      <c r="U100" s="245">
        <v>20000</v>
      </c>
      <c r="V100" s="245">
        <v>20000</v>
      </c>
    </row>
    <row r="101" spans="1:22" ht="24" customHeight="1">
      <c r="A101" s="421" t="s">
        <v>93</v>
      </c>
      <c r="B101" s="337"/>
      <c r="C101" s="337"/>
      <c r="D101" s="421" t="s">
        <v>103</v>
      </c>
      <c r="E101" s="337"/>
      <c r="F101" s="337"/>
      <c r="G101" s="337"/>
      <c r="H101" s="337"/>
      <c r="I101" s="337"/>
      <c r="J101" s="337"/>
      <c r="K101" s="337"/>
      <c r="L101" s="229"/>
      <c r="M101" s="244"/>
      <c r="N101" s="354">
        <v>27553</v>
      </c>
      <c r="O101" s="354">
        <v>23550</v>
      </c>
      <c r="P101" s="355">
        <v>30000</v>
      </c>
      <c r="Q101" s="246">
        <v>30000</v>
      </c>
      <c r="R101" s="245">
        <v>30000</v>
      </c>
      <c r="S101" s="245">
        <v>30000</v>
      </c>
      <c r="T101" s="245">
        <v>30000</v>
      </c>
      <c r="U101" s="245">
        <v>30000</v>
      </c>
      <c r="V101" s="245">
        <v>30000</v>
      </c>
    </row>
    <row r="102" spans="1:22" ht="24" customHeight="1">
      <c r="A102" s="421" t="s">
        <v>1332</v>
      </c>
      <c r="B102" s="337"/>
      <c r="C102" s="337"/>
      <c r="D102" s="421" t="s">
        <v>1333</v>
      </c>
      <c r="E102" s="337"/>
      <c r="F102" s="337"/>
      <c r="G102" s="337"/>
      <c r="H102" s="337"/>
      <c r="I102" s="337"/>
      <c r="J102" s="337"/>
      <c r="K102" s="337"/>
      <c r="L102" s="229"/>
      <c r="M102" s="244"/>
      <c r="N102" s="354">
        <v>0</v>
      </c>
      <c r="O102" s="354">
        <v>0</v>
      </c>
      <c r="P102" s="355">
        <v>0</v>
      </c>
      <c r="Q102" s="246">
        <v>0</v>
      </c>
      <c r="R102" s="245">
        <v>0</v>
      </c>
      <c r="S102" s="245">
        <v>0</v>
      </c>
      <c r="T102" s="245">
        <v>0</v>
      </c>
      <c r="U102" s="245">
        <v>0</v>
      </c>
      <c r="V102" s="245">
        <v>0</v>
      </c>
    </row>
    <row r="103" spans="1:22" ht="24" customHeight="1">
      <c r="A103" s="421" t="s">
        <v>92</v>
      </c>
      <c r="B103" s="337"/>
      <c r="C103" s="337"/>
      <c r="D103" s="421" t="s">
        <v>21</v>
      </c>
      <c r="E103" s="337"/>
      <c r="F103" s="337"/>
      <c r="G103" s="337"/>
      <c r="H103" s="337"/>
      <c r="I103" s="337"/>
      <c r="J103" s="337"/>
      <c r="K103" s="337"/>
      <c r="L103" s="229"/>
      <c r="M103" s="244"/>
      <c r="N103" s="354">
        <v>21735</v>
      </c>
      <c r="O103" s="354">
        <v>13887</v>
      </c>
      <c r="P103" s="355">
        <v>23100</v>
      </c>
      <c r="Q103" s="246">
        <v>18000</v>
      </c>
      <c r="R103" s="245">
        <v>18900</v>
      </c>
      <c r="S103" s="245">
        <v>19845</v>
      </c>
      <c r="T103" s="245">
        <v>20837</v>
      </c>
      <c r="U103" s="245">
        <v>21879</v>
      </c>
      <c r="V103" s="245">
        <v>22973</v>
      </c>
    </row>
    <row r="104" spans="1:22" ht="24" customHeight="1">
      <c r="A104" s="421" t="s">
        <v>908</v>
      </c>
      <c r="B104" s="337"/>
      <c r="C104" s="337"/>
      <c r="D104" s="421" t="s">
        <v>102</v>
      </c>
      <c r="E104" s="337"/>
      <c r="F104" s="337"/>
      <c r="G104" s="337"/>
      <c r="H104" s="337"/>
      <c r="I104" s="337"/>
      <c r="J104" s="337"/>
      <c r="K104" s="337"/>
      <c r="L104" s="229"/>
      <c r="M104" s="244"/>
      <c r="N104" s="354">
        <v>0</v>
      </c>
      <c r="O104" s="354">
        <v>1716</v>
      </c>
      <c r="P104" s="355">
        <v>1900</v>
      </c>
      <c r="Q104" s="246">
        <v>1900</v>
      </c>
      <c r="R104" s="245">
        <v>2150</v>
      </c>
      <c r="S104" s="245">
        <v>2150</v>
      </c>
      <c r="T104" s="245">
        <v>2300</v>
      </c>
      <c r="U104" s="245">
        <v>2300</v>
      </c>
      <c r="V104" s="245">
        <v>2300</v>
      </c>
    </row>
    <row r="105" spans="1:22" ht="24" customHeight="1">
      <c r="A105" s="421" t="s">
        <v>255</v>
      </c>
      <c r="B105" s="337"/>
      <c r="C105" s="337"/>
      <c r="D105" s="421" t="s">
        <v>104</v>
      </c>
      <c r="E105" s="337"/>
      <c r="F105" s="337"/>
      <c r="G105" s="337"/>
      <c r="H105" s="337"/>
      <c r="I105" s="337"/>
      <c r="J105" s="337"/>
      <c r="K105" s="337"/>
      <c r="L105" s="229"/>
      <c r="M105" s="244"/>
      <c r="N105" s="354">
        <v>13124</v>
      </c>
      <c r="O105" s="354">
        <v>14202</v>
      </c>
      <c r="P105" s="355">
        <v>14400</v>
      </c>
      <c r="Q105" s="246">
        <v>14400</v>
      </c>
      <c r="R105" s="245">
        <v>14400</v>
      </c>
      <c r="S105" s="245">
        <v>14400</v>
      </c>
      <c r="T105" s="245">
        <v>14400</v>
      </c>
      <c r="U105" s="245">
        <v>14400</v>
      </c>
      <c r="V105" s="245">
        <v>14400</v>
      </c>
    </row>
    <row r="106" spans="1:22" ht="24" customHeight="1">
      <c r="A106" s="421" t="s">
        <v>112</v>
      </c>
      <c r="B106" s="337"/>
      <c r="C106" s="337"/>
      <c r="D106" s="421" t="s">
        <v>11</v>
      </c>
      <c r="E106" s="337"/>
      <c r="F106" s="337"/>
      <c r="G106" s="337"/>
      <c r="H106" s="337"/>
      <c r="I106" s="337"/>
      <c r="J106" s="337"/>
      <c r="K106" s="337"/>
      <c r="L106" s="229"/>
      <c r="M106" s="230"/>
      <c r="N106" s="346">
        <v>9320</v>
      </c>
      <c r="O106" s="354">
        <v>8015</v>
      </c>
      <c r="P106" s="355">
        <v>12000</v>
      </c>
      <c r="Q106" s="246">
        <v>12000</v>
      </c>
      <c r="R106" s="245">
        <v>12000</v>
      </c>
      <c r="S106" s="245">
        <v>12000</v>
      </c>
      <c r="T106" s="245">
        <v>12000</v>
      </c>
      <c r="U106" s="245">
        <v>12000</v>
      </c>
      <c r="V106" s="245">
        <v>12000</v>
      </c>
    </row>
    <row r="107" spans="1:22" ht="24" customHeight="1">
      <c r="A107" s="421" t="s">
        <v>111</v>
      </c>
      <c r="B107" s="337"/>
      <c r="C107" s="337"/>
      <c r="D107" s="421" t="s">
        <v>304</v>
      </c>
      <c r="E107" s="337"/>
      <c r="F107" s="337"/>
      <c r="G107" s="337"/>
      <c r="H107" s="337"/>
      <c r="I107" s="337"/>
      <c r="J107" s="337"/>
      <c r="K107" s="337"/>
      <c r="L107" s="229"/>
      <c r="M107" s="244"/>
      <c r="N107" s="354">
        <v>1944</v>
      </c>
      <c r="O107" s="354">
        <v>0</v>
      </c>
      <c r="P107" s="355">
        <v>850</v>
      </c>
      <c r="Q107" s="246">
        <v>850</v>
      </c>
      <c r="R107" s="245">
        <v>850</v>
      </c>
      <c r="S107" s="245">
        <v>850</v>
      </c>
      <c r="T107" s="245">
        <v>850</v>
      </c>
      <c r="U107" s="245">
        <v>850</v>
      </c>
      <c r="V107" s="245">
        <v>850</v>
      </c>
    </row>
    <row r="108" spans="1:22" ht="24" customHeight="1">
      <c r="A108" s="421" t="s">
        <v>110</v>
      </c>
      <c r="B108" s="337"/>
      <c r="C108" s="337"/>
      <c r="D108" s="421" t="s">
        <v>1490</v>
      </c>
      <c r="E108" s="337"/>
      <c r="F108" s="337"/>
      <c r="G108" s="337"/>
      <c r="H108" s="337"/>
      <c r="I108" s="337"/>
      <c r="J108" s="337"/>
      <c r="K108" s="337"/>
      <c r="L108" s="229"/>
      <c r="M108" s="262"/>
      <c r="N108" s="357">
        <v>0</v>
      </c>
      <c r="O108" s="357">
        <v>69</v>
      </c>
      <c r="P108" s="358">
        <v>100</v>
      </c>
      <c r="Q108" s="252">
        <v>100</v>
      </c>
      <c r="R108" s="251">
        <v>100</v>
      </c>
      <c r="S108" s="251">
        <v>100</v>
      </c>
      <c r="T108" s="251">
        <v>100</v>
      </c>
      <c r="U108" s="251">
        <v>100</v>
      </c>
      <c r="V108" s="251">
        <v>100</v>
      </c>
    </row>
    <row r="109" spans="1:22" s="337" customFormat="1" ht="24" customHeight="1">
      <c r="A109" s="421"/>
      <c r="D109" s="421"/>
      <c r="L109" s="451"/>
      <c r="M109" s="452"/>
      <c r="N109" s="363">
        <f t="shared" ref="N109:V109" si="3">SUM(N72:N108)</f>
        <v>498620</v>
      </c>
      <c r="O109" s="363">
        <f t="shared" si="3"/>
        <v>476208</v>
      </c>
      <c r="P109" s="364">
        <f t="shared" si="3"/>
        <v>782327</v>
      </c>
      <c r="Q109" s="364">
        <f t="shared" si="3"/>
        <v>771072</v>
      </c>
      <c r="R109" s="453">
        <f t="shared" si="3"/>
        <v>796354</v>
      </c>
      <c r="S109" s="453">
        <f t="shared" si="3"/>
        <v>815975</v>
      </c>
      <c r="T109" s="453">
        <f t="shared" si="3"/>
        <v>837660</v>
      </c>
      <c r="U109" s="453">
        <f t="shared" si="3"/>
        <v>852261</v>
      </c>
      <c r="V109" s="453">
        <f t="shared" si="3"/>
        <v>867730</v>
      </c>
    </row>
    <row r="110" spans="1:22" ht="15" customHeight="1">
      <c r="A110" s="421"/>
      <c r="B110" s="337"/>
      <c r="C110" s="337"/>
      <c r="D110" s="421"/>
      <c r="E110" s="337"/>
      <c r="F110" s="337"/>
      <c r="G110" s="337"/>
      <c r="H110" s="337"/>
      <c r="I110" s="337"/>
      <c r="J110" s="337"/>
      <c r="K110" s="337"/>
      <c r="L110" s="229"/>
      <c r="M110" s="244"/>
      <c r="N110" s="354"/>
      <c r="O110" s="354"/>
      <c r="P110" s="355"/>
      <c r="Q110" s="246"/>
      <c r="R110" s="245"/>
      <c r="S110" s="245"/>
      <c r="T110" s="245"/>
      <c r="U110" s="245"/>
      <c r="V110" s="245"/>
    </row>
    <row r="111" spans="1:22" ht="24" customHeight="1">
      <c r="A111" s="425" t="s">
        <v>759</v>
      </c>
      <c r="B111" s="337"/>
      <c r="C111" s="337"/>
      <c r="D111" s="337"/>
      <c r="E111" s="337"/>
      <c r="F111" s="337"/>
      <c r="G111" s="337"/>
      <c r="H111" s="337"/>
      <c r="I111" s="337"/>
      <c r="J111" s="337"/>
      <c r="K111" s="337"/>
      <c r="L111" s="229"/>
      <c r="N111" s="359"/>
      <c r="O111" s="359"/>
      <c r="P111" s="360"/>
      <c r="Q111" s="255"/>
      <c r="R111" s="254"/>
      <c r="S111" s="254"/>
      <c r="T111" s="254"/>
      <c r="U111" s="254"/>
      <c r="V111" s="254"/>
    </row>
    <row r="112" spans="1:22" ht="24" customHeight="1">
      <c r="A112" s="421" t="s">
        <v>115</v>
      </c>
      <c r="B112" s="424"/>
      <c r="C112" s="424"/>
      <c r="D112" s="421" t="s">
        <v>1238</v>
      </c>
      <c r="E112" s="424"/>
      <c r="F112" s="424"/>
      <c r="G112" s="424"/>
      <c r="H112" s="424"/>
      <c r="I112" s="424"/>
      <c r="J112" s="424"/>
      <c r="K112" s="424"/>
      <c r="L112" s="253"/>
      <c r="M112" s="263"/>
      <c r="N112" s="348">
        <v>201586</v>
      </c>
      <c r="O112" s="348">
        <v>170294</v>
      </c>
      <c r="P112" s="349">
        <v>185000</v>
      </c>
      <c r="Q112" s="236">
        <v>180000</v>
      </c>
      <c r="R112" s="235">
        <v>189024</v>
      </c>
      <c r="S112" s="235">
        <v>189024</v>
      </c>
      <c r="T112" s="235">
        <v>189024</v>
      </c>
      <c r="U112" s="235">
        <v>189024</v>
      </c>
      <c r="V112" s="235">
        <v>189024</v>
      </c>
    </row>
    <row r="113" spans="1:22" ht="24" customHeight="1">
      <c r="A113" s="421" t="s">
        <v>117</v>
      </c>
      <c r="B113" s="422"/>
      <c r="C113" s="422"/>
      <c r="D113" s="421" t="s">
        <v>8</v>
      </c>
      <c r="E113" s="422"/>
      <c r="F113" s="422"/>
      <c r="G113" s="422"/>
      <c r="H113" s="422"/>
      <c r="I113" s="422"/>
      <c r="J113" s="422"/>
      <c r="K113" s="422"/>
      <c r="L113" s="237"/>
      <c r="M113" s="263"/>
      <c r="N113" s="348">
        <v>18759</v>
      </c>
      <c r="O113" s="348">
        <v>16586</v>
      </c>
      <c r="P113" s="349">
        <v>18659</v>
      </c>
      <c r="Q113" s="236">
        <v>18659</v>
      </c>
      <c r="R113" s="235">
        <v>20742</v>
      </c>
      <c r="S113" s="235">
        <v>20742</v>
      </c>
      <c r="T113" s="235">
        <v>20742</v>
      </c>
      <c r="U113" s="235">
        <v>20742</v>
      </c>
      <c r="V113" s="235">
        <v>20742</v>
      </c>
    </row>
    <row r="114" spans="1:22" ht="24" customHeight="1">
      <c r="A114" s="421" t="s">
        <v>116</v>
      </c>
      <c r="B114" s="337"/>
      <c r="C114" s="337"/>
      <c r="D114" s="421" t="s">
        <v>9</v>
      </c>
      <c r="E114" s="337"/>
      <c r="F114" s="337"/>
      <c r="G114" s="337"/>
      <c r="H114" s="337"/>
      <c r="I114" s="337"/>
      <c r="J114" s="337"/>
      <c r="K114" s="337"/>
      <c r="L114" s="229"/>
      <c r="M114" s="263"/>
      <c r="N114" s="348">
        <v>15326</v>
      </c>
      <c r="O114" s="348">
        <v>13042</v>
      </c>
      <c r="P114" s="349">
        <v>13005</v>
      </c>
      <c r="Q114" s="236">
        <v>13500</v>
      </c>
      <c r="R114" s="235">
        <v>14166</v>
      </c>
      <c r="S114" s="235">
        <v>14166</v>
      </c>
      <c r="T114" s="235">
        <v>14166</v>
      </c>
      <c r="U114" s="235">
        <v>14166</v>
      </c>
      <c r="V114" s="235">
        <v>14166</v>
      </c>
    </row>
    <row r="115" spans="1:22" ht="24" customHeight="1">
      <c r="A115" s="421" t="s">
        <v>795</v>
      </c>
      <c r="B115" s="337"/>
      <c r="C115" s="337"/>
      <c r="D115" s="421" t="s">
        <v>14</v>
      </c>
      <c r="E115" s="337"/>
      <c r="F115" s="337"/>
      <c r="G115" s="337"/>
      <c r="H115" s="337"/>
      <c r="I115" s="337"/>
      <c r="J115" s="337"/>
      <c r="K115" s="337"/>
      <c r="L115" s="229"/>
      <c r="M115" s="247"/>
      <c r="N115" s="346">
        <v>0</v>
      </c>
      <c r="O115" s="348">
        <v>0</v>
      </c>
      <c r="P115" s="349">
        <v>26472</v>
      </c>
      <c r="Q115" s="236">
        <v>26472</v>
      </c>
      <c r="R115" s="235">
        <v>25822</v>
      </c>
      <c r="S115" s="241">
        <v>28404</v>
      </c>
      <c r="T115" s="241">
        <v>31245</v>
      </c>
      <c r="U115" s="241">
        <v>33119</v>
      </c>
      <c r="V115" s="241">
        <v>35106</v>
      </c>
    </row>
    <row r="116" spans="1:22" ht="24" customHeight="1">
      <c r="A116" s="421" t="s">
        <v>796</v>
      </c>
      <c r="B116" s="337"/>
      <c r="C116" s="337"/>
      <c r="D116" s="421" t="s">
        <v>229</v>
      </c>
      <c r="E116" s="337"/>
      <c r="F116" s="337"/>
      <c r="G116" s="337"/>
      <c r="H116" s="337"/>
      <c r="I116" s="337"/>
      <c r="J116" s="337"/>
      <c r="K116" s="337"/>
      <c r="L116" s="229"/>
      <c r="M116" s="247"/>
      <c r="N116" s="346">
        <v>0</v>
      </c>
      <c r="O116" s="348">
        <v>0</v>
      </c>
      <c r="P116" s="349">
        <v>461</v>
      </c>
      <c r="Q116" s="236">
        <v>360</v>
      </c>
      <c r="R116" s="235">
        <v>357</v>
      </c>
      <c r="S116" s="241">
        <v>361</v>
      </c>
      <c r="T116" s="241">
        <v>364</v>
      </c>
      <c r="U116" s="241">
        <v>368</v>
      </c>
      <c r="V116" s="241">
        <v>371</v>
      </c>
    </row>
    <row r="117" spans="1:22" ht="24" customHeight="1">
      <c r="A117" s="421" t="s">
        <v>797</v>
      </c>
      <c r="B117" s="337"/>
      <c r="C117" s="337"/>
      <c r="D117" s="421" t="s">
        <v>819</v>
      </c>
      <c r="E117" s="337"/>
      <c r="F117" s="337"/>
      <c r="G117" s="337"/>
      <c r="H117" s="337"/>
      <c r="I117" s="337"/>
      <c r="J117" s="337"/>
      <c r="K117" s="337"/>
      <c r="L117" s="229"/>
      <c r="M117" s="247"/>
      <c r="N117" s="346">
        <v>0</v>
      </c>
      <c r="O117" s="348">
        <v>0</v>
      </c>
      <c r="P117" s="349">
        <v>3182</v>
      </c>
      <c r="Q117" s="236">
        <v>3062</v>
      </c>
      <c r="R117" s="235">
        <v>3160</v>
      </c>
      <c r="S117" s="241">
        <v>3476</v>
      </c>
      <c r="T117" s="241">
        <v>3824</v>
      </c>
      <c r="U117" s="241">
        <v>4053</v>
      </c>
      <c r="V117" s="241">
        <v>4296</v>
      </c>
    </row>
    <row r="118" spans="1:22" ht="24" customHeight="1">
      <c r="A118" s="421" t="s">
        <v>823</v>
      </c>
      <c r="B118" s="337"/>
      <c r="C118" s="337"/>
      <c r="D118" s="421" t="s">
        <v>821</v>
      </c>
      <c r="E118" s="337"/>
      <c r="F118" s="337"/>
      <c r="G118" s="337"/>
      <c r="H118" s="337"/>
      <c r="I118" s="337"/>
      <c r="J118" s="337"/>
      <c r="K118" s="337"/>
      <c r="L118" s="229"/>
      <c r="M118" s="247"/>
      <c r="N118" s="346">
        <v>0</v>
      </c>
      <c r="O118" s="348">
        <v>0</v>
      </c>
      <c r="P118" s="349">
        <v>356</v>
      </c>
      <c r="Q118" s="236">
        <v>324</v>
      </c>
      <c r="R118" s="235">
        <v>324</v>
      </c>
      <c r="S118" s="241">
        <v>356</v>
      </c>
      <c r="T118" s="241">
        <v>392</v>
      </c>
      <c r="U118" s="241">
        <v>416</v>
      </c>
      <c r="V118" s="241">
        <v>440</v>
      </c>
    </row>
    <row r="119" spans="1:22" ht="24" customHeight="1">
      <c r="A119" s="421" t="s">
        <v>126</v>
      </c>
      <c r="B119" s="422"/>
      <c r="C119" s="422"/>
      <c r="D119" s="421" t="s">
        <v>108</v>
      </c>
      <c r="E119" s="422"/>
      <c r="F119" s="422"/>
      <c r="G119" s="422"/>
      <c r="H119" s="422"/>
      <c r="I119" s="422"/>
      <c r="J119" s="422"/>
      <c r="K119" s="422"/>
      <c r="L119" s="237"/>
      <c r="M119" s="263"/>
      <c r="N119" s="348">
        <v>0</v>
      </c>
      <c r="O119" s="348">
        <v>670</v>
      </c>
      <c r="P119" s="349">
        <v>2000</v>
      </c>
      <c r="Q119" s="236">
        <v>2000</v>
      </c>
      <c r="R119" s="235">
        <v>2000</v>
      </c>
      <c r="S119" s="235">
        <v>2000</v>
      </c>
      <c r="T119" s="235">
        <v>2000</v>
      </c>
      <c r="U119" s="235">
        <v>2000</v>
      </c>
      <c r="V119" s="235">
        <v>2000</v>
      </c>
    </row>
    <row r="120" spans="1:22" ht="24" customHeight="1">
      <c r="A120" s="421" t="s">
        <v>256</v>
      </c>
      <c r="B120" s="337"/>
      <c r="C120" s="337"/>
      <c r="D120" s="421" t="s">
        <v>127</v>
      </c>
      <c r="E120" s="337"/>
      <c r="F120" s="337"/>
      <c r="G120" s="337"/>
      <c r="H120" s="337"/>
      <c r="I120" s="337"/>
      <c r="J120" s="337"/>
      <c r="K120" s="337"/>
      <c r="L120" s="229"/>
      <c r="M120" s="247"/>
      <c r="N120" s="346">
        <v>43500</v>
      </c>
      <c r="O120" s="348">
        <v>44800</v>
      </c>
      <c r="P120" s="349">
        <v>36000</v>
      </c>
      <c r="Q120" s="236">
        <v>31000</v>
      </c>
      <c r="R120" s="235">
        <f>31000</f>
        <v>31000</v>
      </c>
      <c r="S120" s="235">
        <f>32000+3200</f>
        <v>35200</v>
      </c>
      <c r="T120" s="235">
        <f>33000+3300</f>
        <v>36300</v>
      </c>
      <c r="U120" s="235">
        <f>34000+3400</f>
        <v>37400</v>
      </c>
      <c r="V120" s="235">
        <v>40000</v>
      </c>
    </row>
    <row r="121" spans="1:22" ht="24" customHeight="1">
      <c r="A121" s="421" t="s">
        <v>125</v>
      </c>
      <c r="B121" s="337"/>
      <c r="C121" s="337"/>
      <c r="D121" s="421" t="s">
        <v>1487</v>
      </c>
      <c r="E121" s="337"/>
      <c r="F121" s="337"/>
      <c r="G121" s="337"/>
      <c r="H121" s="337"/>
      <c r="I121" s="337"/>
      <c r="J121" s="337"/>
      <c r="K121" s="337"/>
      <c r="L121" s="229"/>
      <c r="M121" s="247"/>
      <c r="N121" s="346">
        <v>0</v>
      </c>
      <c r="O121" s="346">
        <v>237</v>
      </c>
      <c r="P121" s="347">
        <v>1000</v>
      </c>
      <c r="Q121" s="232">
        <v>500</v>
      </c>
      <c r="R121" s="231">
        <v>2000</v>
      </c>
      <c r="S121" s="231">
        <v>2000</v>
      </c>
      <c r="T121" s="231">
        <v>2000</v>
      </c>
      <c r="U121" s="231">
        <v>2000</v>
      </c>
      <c r="V121" s="231">
        <v>2000</v>
      </c>
    </row>
    <row r="122" spans="1:22" ht="24" customHeight="1">
      <c r="A122" s="421" t="s">
        <v>123</v>
      </c>
      <c r="B122" s="422"/>
      <c r="C122" s="422"/>
      <c r="D122" s="421" t="s">
        <v>1488</v>
      </c>
      <c r="E122" s="422"/>
      <c r="F122" s="422"/>
      <c r="G122" s="337"/>
      <c r="H122" s="337"/>
      <c r="I122" s="337"/>
      <c r="J122" s="337"/>
      <c r="K122" s="337"/>
      <c r="L122" s="229"/>
      <c r="M122" s="247"/>
      <c r="N122" s="346">
        <v>0</v>
      </c>
      <c r="O122" s="346">
        <v>0</v>
      </c>
      <c r="P122" s="347">
        <v>500</v>
      </c>
      <c r="Q122" s="232">
        <v>1500</v>
      </c>
      <c r="R122" s="231">
        <v>1750</v>
      </c>
      <c r="S122" s="231">
        <v>1750</v>
      </c>
      <c r="T122" s="231">
        <v>1750</v>
      </c>
      <c r="U122" s="231">
        <v>1750</v>
      </c>
      <c r="V122" s="231">
        <v>1750</v>
      </c>
    </row>
    <row r="123" spans="1:22" ht="24" customHeight="1">
      <c r="A123" s="421" t="s">
        <v>122</v>
      </c>
      <c r="B123" s="337"/>
      <c r="C123" s="337"/>
      <c r="D123" s="421" t="s">
        <v>294</v>
      </c>
      <c r="E123" s="337"/>
      <c r="F123" s="337"/>
      <c r="G123" s="337"/>
      <c r="H123" s="337"/>
      <c r="I123" s="337"/>
      <c r="J123" s="337"/>
      <c r="K123" s="337"/>
      <c r="L123" s="229"/>
      <c r="M123" s="247"/>
      <c r="N123" s="346">
        <v>633</v>
      </c>
      <c r="O123" s="346">
        <v>540</v>
      </c>
      <c r="P123" s="347">
        <v>600</v>
      </c>
      <c r="Q123" s="232">
        <v>1000</v>
      </c>
      <c r="R123" s="231">
        <v>1200</v>
      </c>
      <c r="S123" s="231">
        <v>1200</v>
      </c>
      <c r="T123" s="231">
        <v>1200</v>
      </c>
      <c r="U123" s="231">
        <v>1200</v>
      </c>
      <c r="V123" s="231">
        <v>1200</v>
      </c>
    </row>
    <row r="124" spans="1:22" ht="24" customHeight="1">
      <c r="A124" s="421" t="s">
        <v>121</v>
      </c>
      <c r="B124" s="337"/>
      <c r="C124" s="337"/>
      <c r="D124" s="421" t="s">
        <v>106</v>
      </c>
      <c r="E124" s="337"/>
      <c r="F124" s="337"/>
      <c r="G124" s="422"/>
      <c r="H124" s="422"/>
      <c r="I124" s="422"/>
      <c r="J124" s="422"/>
      <c r="K124" s="422"/>
      <c r="L124" s="237"/>
      <c r="M124" s="247"/>
      <c r="N124" s="346">
        <v>474</v>
      </c>
      <c r="O124" s="346">
        <v>648</v>
      </c>
      <c r="P124" s="347">
        <v>500</v>
      </c>
      <c r="Q124" s="232">
        <v>750</v>
      </c>
      <c r="R124" s="231">
        <v>750</v>
      </c>
      <c r="S124" s="231">
        <v>750</v>
      </c>
      <c r="T124" s="231">
        <v>750</v>
      </c>
      <c r="U124" s="231">
        <v>750</v>
      </c>
      <c r="V124" s="231">
        <v>750</v>
      </c>
    </row>
    <row r="125" spans="1:22" ht="24" customHeight="1">
      <c r="A125" s="421" t="s">
        <v>257</v>
      </c>
      <c r="B125" s="422"/>
      <c r="C125" s="422"/>
      <c r="D125" s="421" t="s">
        <v>1489</v>
      </c>
      <c r="E125" s="422"/>
      <c r="F125" s="422"/>
      <c r="G125" s="422"/>
      <c r="H125" s="422"/>
      <c r="I125" s="422"/>
      <c r="J125" s="337"/>
      <c r="K125" s="337"/>
      <c r="L125" s="229"/>
      <c r="M125" s="263"/>
      <c r="N125" s="348">
        <v>902</v>
      </c>
      <c r="O125" s="348">
        <v>480</v>
      </c>
      <c r="P125" s="349">
        <v>850</v>
      </c>
      <c r="Q125" s="236">
        <v>600</v>
      </c>
      <c r="R125" s="235">
        <v>800</v>
      </c>
      <c r="S125" s="235">
        <v>800</v>
      </c>
      <c r="T125" s="235">
        <v>800</v>
      </c>
      <c r="U125" s="235">
        <v>800</v>
      </c>
      <c r="V125" s="235">
        <v>800</v>
      </c>
    </row>
    <row r="126" spans="1:22" ht="24" customHeight="1">
      <c r="A126" s="421" t="s">
        <v>120</v>
      </c>
      <c r="B126" s="422"/>
      <c r="C126" s="422"/>
      <c r="D126" s="421" t="s">
        <v>10</v>
      </c>
      <c r="E126" s="422"/>
      <c r="F126" s="422"/>
      <c r="G126" s="337"/>
      <c r="H126" s="337"/>
      <c r="I126" s="337"/>
      <c r="J126" s="337"/>
      <c r="K126" s="337"/>
      <c r="L126" s="229"/>
      <c r="M126" s="264"/>
      <c r="N126" s="365">
        <v>29531</v>
      </c>
      <c r="O126" s="365">
        <v>27255</v>
      </c>
      <c r="P126" s="366">
        <v>40000</v>
      </c>
      <c r="Q126" s="266">
        <v>35000</v>
      </c>
      <c r="R126" s="265">
        <v>40000</v>
      </c>
      <c r="S126" s="265">
        <v>40000</v>
      </c>
      <c r="T126" s="265">
        <v>40000</v>
      </c>
      <c r="U126" s="265">
        <v>40000</v>
      </c>
      <c r="V126" s="265">
        <v>40000</v>
      </c>
    </row>
    <row r="127" spans="1:22" ht="24" customHeight="1">
      <c r="A127" s="421" t="s">
        <v>119</v>
      </c>
      <c r="B127" s="337"/>
      <c r="C127" s="337"/>
      <c r="D127" s="421" t="s">
        <v>102</v>
      </c>
      <c r="E127" s="337"/>
      <c r="F127" s="337"/>
      <c r="G127" s="337"/>
      <c r="H127" s="337"/>
      <c r="I127" s="337"/>
      <c r="J127" s="422"/>
      <c r="K127" s="422"/>
      <c r="L127" s="237"/>
      <c r="M127" s="247"/>
      <c r="N127" s="346">
        <f>18028</f>
        <v>18028</v>
      </c>
      <c r="O127" s="365">
        <v>5324</v>
      </c>
      <c r="P127" s="347">
        <v>4900</v>
      </c>
      <c r="Q127" s="232">
        <v>2250</v>
      </c>
      <c r="R127" s="231">
        <f>2300</f>
        <v>2300</v>
      </c>
      <c r="S127" s="231">
        <f>2300</f>
        <v>2300</v>
      </c>
      <c r="T127" s="231">
        <f>2300</f>
        <v>2300</v>
      </c>
      <c r="U127" s="231">
        <f>2300</f>
        <v>2300</v>
      </c>
      <c r="V127" s="231">
        <f>2300</f>
        <v>2300</v>
      </c>
    </row>
    <row r="128" spans="1:22" ht="24" customHeight="1">
      <c r="A128" s="421" t="s">
        <v>118</v>
      </c>
      <c r="B128" s="337"/>
      <c r="C128" s="337"/>
      <c r="D128" s="421" t="s">
        <v>1491</v>
      </c>
      <c r="E128" s="337"/>
      <c r="F128" s="337"/>
      <c r="G128" s="337"/>
      <c r="H128" s="337"/>
      <c r="I128" s="337"/>
      <c r="J128" s="337"/>
      <c r="K128" s="337"/>
      <c r="L128" s="229"/>
      <c r="M128" s="264"/>
      <c r="N128" s="365">
        <f>838</f>
        <v>838</v>
      </c>
      <c r="O128" s="365">
        <v>250</v>
      </c>
      <c r="P128" s="366">
        <v>1800</v>
      </c>
      <c r="Q128" s="266">
        <v>500</v>
      </c>
      <c r="R128" s="265">
        <v>750</v>
      </c>
      <c r="S128" s="265">
        <v>750</v>
      </c>
      <c r="T128" s="265">
        <v>750</v>
      </c>
      <c r="U128" s="265">
        <v>750</v>
      </c>
      <c r="V128" s="265">
        <v>750</v>
      </c>
    </row>
    <row r="129" spans="1:23" ht="24" customHeight="1">
      <c r="A129" s="421" t="s">
        <v>130</v>
      </c>
      <c r="B129" s="337"/>
      <c r="C129" s="337"/>
      <c r="D129" s="421" t="s">
        <v>11</v>
      </c>
      <c r="E129" s="337"/>
      <c r="F129" s="337"/>
      <c r="G129" s="337"/>
      <c r="H129" s="337"/>
      <c r="I129" s="337"/>
      <c r="J129" s="337"/>
      <c r="K129" s="337"/>
      <c r="L129" s="229"/>
      <c r="M129" s="247"/>
      <c r="N129" s="346">
        <v>1520</v>
      </c>
      <c r="O129" s="346">
        <v>1955</v>
      </c>
      <c r="P129" s="347">
        <v>2500</v>
      </c>
      <c r="Q129" s="232">
        <f t="shared" ref="Q129:V129" si="4">1000+1500</f>
        <v>2500</v>
      </c>
      <c r="R129" s="231">
        <f t="shared" si="4"/>
        <v>2500</v>
      </c>
      <c r="S129" s="231">
        <f t="shared" si="4"/>
        <v>2500</v>
      </c>
      <c r="T129" s="231">
        <f t="shared" si="4"/>
        <v>2500</v>
      </c>
      <c r="U129" s="231">
        <f t="shared" si="4"/>
        <v>2500</v>
      </c>
      <c r="V129" s="231">
        <f t="shared" si="4"/>
        <v>2500</v>
      </c>
    </row>
    <row r="130" spans="1:23" ht="24" customHeight="1">
      <c r="A130" s="421" t="s">
        <v>129</v>
      </c>
      <c r="B130" s="337"/>
      <c r="C130" s="337"/>
      <c r="D130" s="421" t="s">
        <v>20</v>
      </c>
      <c r="E130" s="337"/>
      <c r="F130" s="337"/>
      <c r="G130" s="337"/>
      <c r="H130" s="337"/>
      <c r="I130" s="337"/>
      <c r="J130" s="337"/>
      <c r="K130" s="337"/>
      <c r="L130" s="229"/>
      <c r="M130" s="247"/>
      <c r="N130" s="346">
        <v>0</v>
      </c>
      <c r="O130" s="346">
        <v>0</v>
      </c>
      <c r="P130" s="347">
        <v>250</v>
      </c>
      <c r="Q130" s="232">
        <v>250</v>
      </c>
      <c r="R130" s="231">
        <v>250</v>
      </c>
      <c r="S130" s="231">
        <v>250</v>
      </c>
      <c r="T130" s="231">
        <v>250</v>
      </c>
      <c r="U130" s="231">
        <v>250</v>
      </c>
      <c r="V130" s="231">
        <v>250</v>
      </c>
      <c r="W130" s="267"/>
    </row>
    <row r="131" spans="1:23" ht="24" customHeight="1">
      <c r="A131" s="421" t="s">
        <v>128</v>
      </c>
      <c r="B131" s="337"/>
      <c r="C131" s="337"/>
      <c r="D131" s="421" t="s">
        <v>304</v>
      </c>
      <c r="E131" s="337"/>
      <c r="F131" s="337"/>
      <c r="G131" s="337"/>
      <c r="H131" s="337"/>
      <c r="I131" s="337"/>
      <c r="J131" s="337"/>
      <c r="K131" s="337"/>
      <c r="L131" s="229"/>
      <c r="M131" s="249"/>
      <c r="N131" s="356">
        <v>1761</v>
      </c>
      <c r="O131" s="356">
        <v>2087</v>
      </c>
      <c r="P131" s="367">
        <v>2500</v>
      </c>
      <c r="Q131" s="268">
        <v>2500</v>
      </c>
      <c r="R131" s="250">
        <v>2500</v>
      </c>
      <c r="S131" s="250">
        <v>2500</v>
      </c>
      <c r="T131" s="250">
        <v>2500</v>
      </c>
      <c r="U131" s="250">
        <v>2500</v>
      </c>
      <c r="V131" s="250">
        <v>2500</v>
      </c>
    </row>
    <row r="132" spans="1:23" s="337" customFormat="1" ht="24" customHeight="1">
      <c r="A132" s="421"/>
      <c r="D132" s="421"/>
      <c r="L132" s="451"/>
      <c r="M132" s="452"/>
      <c r="N132" s="363">
        <f t="shared" ref="N132:V132" si="5">SUM(N112:N131)</f>
        <v>332858</v>
      </c>
      <c r="O132" s="363">
        <f t="shared" si="5"/>
        <v>284168</v>
      </c>
      <c r="P132" s="368">
        <f t="shared" si="5"/>
        <v>340535</v>
      </c>
      <c r="Q132" s="368">
        <f t="shared" si="5"/>
        <v>322727</v>
      </c>
      <c r="R132" s="380">
        <f t="shared" si="5"/>
        <v>341395</v>
      </c>
      <c r="S132" s="380">
        <f t="shared" si="5"/>
        <v>348529</v>
      </c>
      <c r="T132" s="380">
        <f t="shared" si="5"/>
        <v>352857</v>
      </c>
      <c r="U132" s="380">
        <f t="shared" si="5"/>
        <v>356088</v>
      </c>
      <c r="V132" s="380">
        <f t="shared" si="5"/>
        <v>360945</v>
      </c>
    </row>
    <row r="133" spans="1:23" ht="15" customHeight="1">
      <c r="A133" s="421"/>
      <c r="B133" s="337"/>
      <c r="C133" s="337"/>
      <c r="D133" s="421"/>
      <c r="E133" s="337"/>
      <c r="F133" s="337"/>
      <c r="G133" s="337"/>
      <c r="H133" s="337"/>
      <c r="I133" s="337"/>
      <c r="J133" s="337"/>
      <c r="K133" s="337"/>
      <c r="L133" s="229"/>
      <c r="M133" s="247"/>
      <c r="N133" s="346"/>
      <c r="O133" s="346"/>
      <c r="P133" s="347"/>
      <c r="Q133" s="232"/>
      <c r="R133" s="231"/>
      <c r="S133" s="231"/>
      <c r="T133" s="231"/>
      <c r="U133" s="231"/>
      <c r="V133" s="231"/>
    </row>
    <row r="134" spans="1:23" ht="24" customHeight="1">
      <c r="A134" s="425" t="s">
        <v>773</v>
      </c>
      <c r="B134" s="337"/>
      <c r="C134" s="337"/>
      <c r="D134" s="337"/>
      <c r="E134" s="337"/>
      <c r="F134" s="337"/>
      <c r="G134" s="337"/>
      <c r="H134" s="337"/>
      <c r="I134" s="337"/>
      <c r="J134" s="337"/>
      <c r="K134" s="337"/>
      <c r="L134" s="229"/>
      <c r="N134" s="359"/>
      <c r="O134" s="359"/>
      <c r="P134" s="360"/>
      <c r="Q134" s="255"/>
      <c r="R134" s="254"/>
      <c r="S134" s="254"/>
      <c r="T134" s="254"/>
      <c r="U134" s="254"/>
      <c r="V134" s="254"/>
    </row>
    <row r="135" spans="1:23" ht="24" customHeight="1">
      <c r="A135" s="421" t="s">
        <v>131</v>
      </c>
      <c r="B135" s="422"/>
      <c r="C135" s="422"/>
      <c r="D135" s="421" t="s">
        <v>1238</v>
      </c>
      <c r="E135" s="422"/>
      <c r="F135" s="422"/>
      <c r="G135" s="422"/>
      <c r="H135" s="422"/>
      <c r="I135" s="422"/>
      <c r="J135" s="422"/>
      <c r="K135" s="422"/>
      <c r="L135" s="237"/>
      <c r="M135" s="263"/>
      <c r="N135" s="348">
        <v>63359</v>
      </c>
      <c r="O135" s="350">
        <v>0</v>
      </c>
      <c r="P135" s="353">
        <v>0</v>
      </c>
      <c r="Q135" s="243">
        <v>0</v>
      </c>
      <c r="R135" s="239">
        <v>0</v>
      </c>
      <c r="S135" s="239">
        <v>0</v>
      </c>
      <c r="T135" s="239">
        <v>0</v>
      </c>
      <c r="U135" s="239">
        <v>0</v>
      </c>
      <c r="V135" s="239">
        <v>0</v>
      </c>
    </row>
    <row r="136" spans="1:23" ht="24" customHeight="1">
      <c r="A136" s="421" t="s">
        <v>132</v>
      </c>
      <c r="B136" s="421"/>
      <c r="C136" s="421"/>
      <c r="D136" s="421" t="s">
        <v>8</v>
      </c>
      <c r="E136" s="422"/>
      <c r="F136" s="422"/>
      <c r="G136" s="422"/>
      <c r="H136" s="422"/>
      <c r="I136" s="422"/>
      <c r="J136" s="422"/>
      <c r="K136" s="422"/>
      <c r="L136" s="237"/>
      <c r="M136" s="263"/>
      <c r="N136" s="348">
        <v>4004</v>
      </c>
      <c r="O136" s="348">
        <v>0</v>
      </c>
      <c r="P136" s="349">
        <v>0</v>
      </c>
      <c r="Q136" s="236">
        <v>0</v>
      </c>
      <c r="R136" s="235">
        <v>0</v>
      </c>
      <c r="S136" s="235">
        <v>0</v>
      </c>
      <c r="T136" s="235">
        <v>0</v>
      </c>
      <c r="U136" s="235">
        <v>0</v>
      </c>
      <c r="V136" s="235">
        <v>0</v>
      </c>
    </row>
    <row r="137" spans="1:23" ht="24" customHeight="1">
      <c r="A137" s="421" t="s">
        <v>1230</v>
      </c>
      <c r="B137" s="337"/>
      <c r="C137" s="337"/>
      <c r="D137" s="421" t="s">
        <v>9</v>
      </c>
      <c r="E137" s="337"/>
      <c r="F137" s="337"/>
      <c r="G137" s="422"/>
      <c r="H137" s="422"/>
      <c r="I137" s="422"/>
      <c r="J137" s="422"/>
      <c r="K137" s="422"/>
      <c r="L137" s="237"/>
      <c r="M137" s="269"/>
      <c r="N137" s="350">
        <v>3935</v>
      </c>
      <c r="O137" s="350">
        <v>0</v>
      </c>
      <c r="P137" s="353">
        <v>0</v>
      </c>
      <c r="Q137" s="243">
        <v>0</v>
      </c>
      <c r="R137" s="239">
        <v>0</v>
      </c>
      <c r="S137" s="239">
        <v>0</v>
      </c>
      <c r="T137" s="239">
        <v>0</v>
      </c>
      <c r="U137" s="239">
        <v>0</v>
      </c>
      <c r="V137" s="239">
        <v>0</v>
      </c>
    </row>
    <row r="138" spans="1:23" ht="24" customHeight="1">
      <c r="A138" s="421" t="s">
        <v>124</v>
      </c>
      <c r="B138" s="337"/>
      <c r="C138" s="337"/>
      <c r="D138" s="421" t="s">
        <v>107</v>
      </c>
      <c r="E138" s="337"/>
      <c r="F138" s="337"/>
      <c r="G138" s="337"/>
      <c r="H138" s="337"/>
      <c r="I138" s="337"/>
      <c r="J138" s="337"/>
      <c r="K138" s="337"/>
      <c r="L138" s="229"/>
      <c r="M138" s="247"/>
      <c r="N138" s="346">
        <v>5977</v>
      </c>
      <c r="O138" s="346">
        <v>333</v>
      </c>
      <c r="P138" s="347">
        <v>0</v>
      </c>
      <c r="Q138" s="232">
        <v>0</v>
      </c>
      <c r="R138" s="231">
        <v>0</v>
      </c>
      <c r="S138" s="231">
        <v>0</v>
      </c>
      <c r="T138" s="231">
        <v>0</v>
      </c>
      <c r="U138" s="231">
        <v>0</v>
      </c>
      <c r="V138" s="231">
        <v>0</v>
      </c>
    </row>
    <row r="139" spans="1:23" ht="24" customHeight="1">
      <c r="A139" s="421" t="s">
        <v>133</v>
      </c>
      <c r="B139" s="337"/>
      <c r="C139" s="337"/>
      <c r="D139" s="421" t="s">
        <v>294</v>
      </c>
      <c r="E139" s="337"/>
      <c r="F139" s="337"/>
      <c r="G139" s="337"/>
      <c r="H139" s="337"/>
      <c r="I139" s="337"/>
      <c r="J139" s="337"/>
      <c r="K139" s="337"/>
      <c r="L139" s="229"/>
      <c r="M139" s="247"/>
      <c r="N139" s="346">
        <v>279</v>
      </c>
      <c r="O139" s="346">
        <v>0</v>
      </c>
      <c r="P139" s="347">
        <v>0</v>
      </c>
      <c r="Q139" s="232">
        <v>0</v>
      </c>
      <c r="R139" s="231">
        <v>0</v>
      </c>
      <c r="S139" s="231">
        <v>0</v>
      </c>
      <c r="T139" s="231">
        <v>0</v>
      </c>
      <c r="U139" s="231">
        <v>0</v>
      </c>
      <c r="V139" s="231">
        <v>0</v>
      </c>
    </row>
    <row r="140" spans="1:23" ht="24" customHeight="1">
      <c r="A140" s="421" t="s">
        <v>258</v>
      </c>
      <c r="B140" s="337"/>
      <c r="C140" s="337"/>
      <c r="D140" s="421" t="s">
        <v>106</v>
      </c>
      <c r="E140" s="337"/>
      <c r="F140" s="337"/>
      <c r="G140" s="337"/>
      <c r="H140" s="337"/>
      <c r="I140" s="337"/>
      <c r="J140" s="337"/>
      <c r="K140" s="337"/>
      <c r="L140" s="229"/>
      <c r="M140" s="247"/>
      <c r="N140" s="346">
        <v>1630</v>
      </c>
      <c r="O140" s="346">
        <v>0</v>
      </c>
      <c r="P140" s="347">
        <v>0</v>
      </c>
      <c r="Q140" s="232">
        <v>0</v>
      </c>
      <c r="R140" s="231">
        <v>0</v>
      </c>
      <c r="S140" s="231">
        <v>0</v>
      </c>
      <c r="T140" s="231">
        <v>0</v>
      </c>
      <c r="U140" s="231">
        <v>0</v>
      </c>
      <c r="V140" s="231">
        <v>0</v>
      </c>
    </row>
    <row r="141" spans="1:23" ht="24" customHeight="1">
      <c r="A141" s="421" t="s">
        <v>259</v>
      </c>
      <c r="B141" s="422"/>
      <c r="C141" s="422"/>
      <c r="D141" s="421" t="s">
        <v>10</v>
      </c>
      <c r="E141" s="422"/>
      <c r="F141" s="422"/>
      <c r="G141" s="337"/>
      <c r="H141" s="337"/>
      <c r="I141" s="337"/>
      <c r="J141" s="337"/>
      <c r="K141" s="337"/>
      <c r="L141" s="229"/>
      <c r="M141" s="247"/>
      <c r="N141" s="346">
        <f>3475</f>
        <v>3475</v>
      </c>
      <c r="O141" s="346">
        <v>0</v>
      </c>
      <c r="P141" s="347">
        <v>0</v>
      </c>
      <c r="Q141" s="232">
        <v>0</v>
      </c>
      <c r="R141" s="231">
        <v>0</v>
      </c>
      <c r="S141" s="231">
        <v>0</v>
      </c>
      <c r="T141" s="231">
        <v>0</v>
      </c>
      <c r="U141" s="231">
        <v>0</v>
      </c>
      <c r="V141" s="231">
        <v>0</v>
      </c>
    </row>
    <row r="142" spans="1:23" ht="24" customHeight="1">
      <c r="A142" s="421" t="s">
        <v>134</v>
      </c>
      <c r="B142" s="337"/>
      <c r="C142" s="337"/>
      <c r="D142" s="421" t="s">
        <v>11</v>
      </c>
      <c r="E142" s="337"/>
      <c r="F142" s="337"/>
      <c r="G142" s="337"/>
      <c r="H142" s="337"/>
      <c r="I142" s="337"/>
      <c r="J142" s="337"/>
      <c r="K142" s="337"/>
      <c r="L142" s="229"/>
      <c r="M142" s="247"/>
      <c r="N142" s="346">
        <v>130</v>
      </c>
      <c r="O142" s="346">
        <v>0</v>
      </c>
      <c r="P142" s="347">
        <v>0</v>
      </c>
      <c r="Q142" s="232">
        <v>0</v>
      </c>
      <c r="R142" s="231">
        <v>0</v>
      </c>
      <c r="S142" s="231">
        <v>0</v>
      </c>
      <c r="T142" s="231">
        <v>0</v>
      </c>
      <c r="U142" s="231">
        <v>0</v>
      </c>
      <c r="V142" s="231">
        <v>0</v>
      </c>
    </row>
    <row r="143" spans="1:23" ht="24" customHeight="1">
      <c r="A143" s="421" t="s">
        <v>260</v>
      </c>
      <c r="B143" s="422"/>
      <c r="C143" s="422"/>
      <c r="D143" s="421" t="s">
        <v>17</v>
      </c>
      <c r="E143" s="422"/>
      <c r="F143" s="422"/>
      <c r="G143" s="422"/>
      <c r="H143" s="422"/>
      <c r="I143" s="422"/>
      <c r="J143" s="422"/>
      <c r="K143" s="422"/>
      <c r="L143" s="237"/>
      <c r="M143" s="270"/>
      <c r="N143" s="369">
        <v>526</v>
      </c>
      <c r="O143" s="369">
        <v>0</v>
      </c>
      <c r="P143" s="370">
        <v>0</v>
      </c>
      <c r="Q143" s="272">
        <v>0</v>
      </c>
      <c r="R143" s="271">
        <v>0</v>
      </c>
      <c r="S143" s="271">
        <v>0</v>
      </c>
      <c r="T143" s="271">
        <v>0</v>
      </c>
      <c r="U143" s="271">
        <v>0</v>
      </c>
      <c r="V143" s="271">
        <v>0</v>
      </c>
    </row>
    <row r="144" spans="1:23" s="337" customFormat="1" ht="24" customHeight="1">
      <c r="A144" s="421"/>
      <c r="D144" s="421"/>
      <c r="L144" s="451"/>
      <c r="M144" s="452"/>
      <c r="N144" s="363">
        <f t="shared" ref="N144:U144" si="6">SUM(N135:N143)</f>
        <v>83315</v>
      </c>
      <c r="O144" s="363">
        <f t="shared" si="6"/>
        <v>333</v>
      </c>
      <c r="P144" s="371">
        <f t="shared" si="6"/>
        <v>0</v>
      </c>
      <c r="Q144" s="371">
        <f>SUM(Q135:Q143)</f>
        <v>0</v>
      </c>
      <c r="R144" s="381">
        <f t="shared" si="6"/>
        <v>0</v>
      </c>
      <c r="S144" s="381">
        <f t="shared" si="6"/>
        <v>0</v>
      </c>
      <c r="T144" s="381">
        <f t="shared" si="6"/>
        <v>0</v>
      </c>
      <c r="U144" s="381">
        <f t="shared" si="6"/>
        <v>0</v>
      </c>
      <c r="V144" s="381">
        <f>SUM(V135:V143)</f>
        <v>0</v>
      </c>
    </row>
    <row r="145" spans="1:22" ht="15" customHeight="1">
      <c r="A145" s="421"/>
      <c r="B145" s="337"/>
      <c r="C145" s="337"/>
      <c r="D145" s="421"/>
      <c r="E145" s="337"/>
      <c r="F145" s="337"/>
      <c r="G145" s="337"/>
      <c r="H145" s="337"/>
      <c r="I145" s="337"/>
      <c r="J145" s="337"/>
      <c r="K145" s="337"/>
      <c r="L145" s="229"/>
      <c r="M145" s="269"/>
      <c r="N145" s="350"/>
      <c r="O145" s="350"/>
      <c r="P145" s="353"/>
      <c r="Q145" s="243"/>
      <c r="R145" s="239"/>
      <c r="S145" s="239"/>
      <c r="T145" s="239"/>
      <c r="U145" s="239"/>
      <c r="V145" s="239"/>
    </row>
    <row r="146" spans="1:22" ht="24" customHeight="1">
      <c r="A146" s="425" t="s">
        <v>774</v>
      </c>
      <c r="B146" s="337"/>
      <c r="C146" s="337"/>
      <c r="D146" s="337"/>
      <c r="E146" s="337"/>
      <c r="F146" s="337"/>
      <c r="G146" s="337"/>
      <c r="H146" s="337"/>
      <c r="I146" s="337"/>
      <c r="J146" s="337"/>
      <c r="K146" s="337"/>
      <c r="L146" s="229"/>
      <c r="N146" s="359"/>
      <c r="O146" s="359"/>
      <c r="P146" s="360"/>
      <c r="Q146" s="255"/>
      <c r="R146" s="254"/>
      <c r="S146" s="254"/>
      <c r="T146" s="254"/>
      <c r="U146" s="254"/>
      <c r="V146" s="254"/>
    </row>
    <row r="147" spans="1:22" ht="24" customHeight="1">
      <c r="A147" s="421" t="s">
        <v>137</v>
      </c>
      <c r="B147" s="422"/>
      <c r="C147" s="422"/>
      <c r="D147" s="421" t="s">
        <v>1238</v>
      </c>
      <c r="E147" s="422"/>
      <c r="F147" s="422"/>
      <c r="G147" s="422"/>
      <c r="H147" s="422"/>
      <c r="I147" s="422"/>
      <c r="J147" s="422"/>
      <c r="K147" s="422"/>
      <c r="L147" s="237"/>
      <c r="M147" s="263"/>
      <c r="N147" s="348">
        <v>235552</v>
      </c>
      <c r="O147" s="348">
        <v>75383</v>
      </c>
      <c r="P147" s="349">
        <v>0</v>
      </c>
      <c r="Q147" s="236">
        <v>0</v>
      </c>
      <c r="R147" s="235">
        <v>0</v>
      </c>
      <c r="S147" s="235">
        <v>0</v>
      </c>
      <c r="T147" s="235">
        <v>0</v>
      </c>
      <c r="U147" s="235">
        <v>0</v>
      </c>
      <c r="V147" s="235">
        <v>0</v>
      </c>
    </row>
    <row r="148" spans="1:22" ht="24" customHeight="1">
      <c r="A148" s="421" t="s">
        <v>136</v>
      </c>
      <c r="B148" s="422"/>
      <c r="C148" s="422"/>
      <c r="D148" s="421" t="s">
        <v>18</v>
      </c>
      <c r="E148" s="422"/>
      <c r="F148" s="422"/>
      <c r="G148" s="422"/>
      <c r="H148" s="422"/>
      <c r="I148" s="422"/>
      <c r="J148" s="422"/>
      <c r="K148" s="422"/>
      <c r="L148" s="237"/>
      <c r="M148" s="247"/>
      <c r="N148" s="346">
        <v>87</v>
      </c>
      <c r="O148" s="346">
        <v>0</v>
      </c>
      <c r="P148" s="347">
        <v>0</v>
      </c>
      <c r="Q148" s="232">
        <v>0</v>
      </c>
      <c r="R148" s="231">
        <v>0</v>
      </c>
      <c r="S148" s="231">
        <v>0</v>
      </c>
      <c r="T148" s="231">
        <v>0</v>
      </c>
      <c r="U148" s="231">
        <v>0</v>
      </c>
      <c r="V148" s="231">
        <v>0</v>
      </c>
    </row>
    <row r="149" spans="1:22" ht="24" customHeight="1">
      <c r="A149" s="421" t="s">
        <v>139</v>
      </c>
      <c r="B149" s="422"/>
      <c r="C149" s="422"/>
      <c r="D149" s="421" t="s">
        <v>8</v>
      </c>
      <c r="E149" s="422"/>
      <c r="F149" s="422"/>
      <c r="G149" s="422"/>
      <c r="H149" s="422"/>
      <c r="I149" s="422"/>
      <c r="J149" s="422"/>
      <c r="K149" s="422"/>
      <c r="L149" s="237"/>
      <c r="M149" s="247"/>
      <c r="N149" s="346">
        <v>21727</v>
      </c>
      <c r="O149" s="348">
        <v>7169</v>
      </c>
      <c r="P149" s="349">
        <v>0</v>
      </c>
      <c r="Q149" s="236">
        <v>0</v>
      </c>
      <c r="R149" s="235">
        <v>0</v>
      </c>
      <c r="S149" s="235">
        <v>0</v>
      </c>
      <c r="T149" s="235">
        <v>0</v>
      </c>
      <c r="U149" s="235">
        <v>0</v>
      </c>
      <c r="V149" s="235">
        <v>0</v>
      </c>
    </row>
    <row r="150" spans="1:22" ht="24" customHeight="1">
      <c r="A150" s="421" t="s">
        <v>138</v>
      </c>
      <c r="B150" s="337"/>
      <c r="C150" s="337"/>
      <c r="D150" s="421" t="s">
        <v>9</v>
      </c>
      <c r="E150" s="337"/>
      <c r="F150" s="337"/>
      <c r="G150" s="337"/>
      <c r="H150" s="337"/>
      <c r="I150" s="337"/>
      <c r="J150" s="337"/>
      <c r="K150" s="337"/>
      <c r="L150" s="229"/>
      <c r="M150" s="247"/>
      <c r="N150" s="346">
        <v>17409</v>
      </c>
      <c r="O150" s="348">
        <v>5716</v>
      </c>
      <c r="P150" s="349">
        <v>0</v>
      </c>
      <c r="Q150" s="236">
        <v>0</v>
      </c>
      <c r="R150" s="235">
        <v>0</v>
      </c>
      <c r="S150" s="235">
        <v>0</v>
      </c>
      <c r="T150" s="235">
        <v>0</v>
      </c>
      <c r="U150" s="235">
        <v>0</v>
      </c>
      <c r="V150" s="235">
        <v>0</v>
      </c>
    </row>
    <row r="151" spans="1:22" ht="24" customHeight="1">
      <c r="A151" s="421" t="s">
        <v>1250</v>
      </c>
      <c r="B151" s="337"/>
      <c r="C151" s="337"/>
      <c r="D151" s="421" t="s">
        <v>14</v>
      </c>
      <c r="E151" s="337"/>
      <c r="F151" s="337"/>
      <c r="G151" s="337"/>
      <c r="H151" s="337"/>
      <c r="I151" s="337"/>
      <c r="J151" s="337"/>
      <c r="K151" s="337"/>
      <c r="L151" s="229"/>
      <c r="M151" s="247"/>
      <c r="N151" s="346">
        <v>50712</v>
      </c>
      <c r="O151" s="350">
        <v>8826</v>
      </c>
      <c r="P151" s="353">
        <v>0</v>
      </c>
      <c r="Q151" s="243">
        <v>0</v>
      </c>
      <c r="R151" s="239">
        <v>0</v>
      </c>
      <c r="S151" s="239">
        <v>0</v>
      </c>
      <c r="T151" s="239">
        <v>0</v>
      </c>
      <c r="U151" s="239">
        <v>0</v>
      </c>
      <c r="V151" s="239">
        <v>0</v>
      </c>
    </row>
    <row r="152" spans="1:22" ht="24" customHeight="1">
      <c r="A152" s="421" t="s">
        <v>1251</v>
      </c>
      <c r="B152" s="337"/>
      <c r="C152" s="337"/>
      <c r="D152" s="421" t="s">
        <v>229</v>
      </c>
      <c r="E152" s="337"/>
      <c r="F152" s="337"/>
      <c r="G152" s="337"/>
      <c r="H152" s="337"/>
      <c r="I152" s="337"/>
      <c r="J152" s="337"/>
      <c r="K152" s="337"/>
      <c r="L152" s="229"/>
      <c r="M152" s="247"/>
      <c r="N152" s="346">
        <v>909</v>
      </c>
      <c r="O152" s="350">
        <v>76</v>
      </c>
      <c r="P152" s="353">
        <v>0</v>
      </c>
      <c r="Q152" s="243">
        <v>0</v>
      </c>
      <c r="R152" s="239">
        <v>0</v>
      </c>
      <c r="S152" s="239">
        <v>0</v>
      </c>
      <c r="T152" s="239">
        <v>0</v>
      </c>
      <c r="U152" s="239">
        <v>0</v>
      </c>
      <c r="V152" s="239">
        <v>0</v>
      </c>
    </row>
    <row r="153" spans="1:22" ht="24" customHeight="1">
      <c r="A153" s="421" t="s">
        <v>1252</v>
      </c>
      <c r="B153" s="337"/>
      <c r="C153" s="337"/>
      <c r="D153" s="421" t="s">
        <v>819</v>
      </c>
      <c r="E153" s="337"/>
      <c r="F153" s="337"/>
      <c r="G153" s="337"/>
      <c r="H153" s="337"/>
      <c r="I153" s="337"/>
      <c r="J153" s="337"/>
      <c r="K153" s="337"/>
      <c r="L153" s="229"/>
      <c r="M153" s="247"/>
      <c r="N153" s="346">
        <v>3814</v>
      </c>
      <c r="O153" s="350">
        <v>627</v>
      </c>
      <c r="P153" s="353">
        <v>0</v>
      </c>
      <c r="Q153" s="243">
        <v>0</v>
      </c>
      <c r="R153" s="239">
        <v>0</v>
      </c>
      <c r="S153" s="239">
        <v>0</v>
      </c>
      <c r="T153" s="239">
        <v>0</v>
      </c>
      <c r="U153" s="239">
        <v>0</v>
      </c>
      <c r="V153" s="239">
        <v>0</v>
      </c>
    </row>
    <row r="154" spans="1:22" ht="24" customHeight="1">
      <c r="A154" s="421" t="s">
        <v>1253</v>
      </c>
      <c r="B154" s="337"/>
      <c r="C154" s="337"/>
      <c r="D154" s="421" t="s">
        <v>821</v>
      </c>
      <c r="E154" s="337"/>
      <c r="F154" s="337"/>
      <c r="G154" s="337"/>
      <c r="H154" s="337"/>
      <c r="I154" s="337"/>
      <c r="J154" s="337"/>
      <c r="K154" s="337"/>
      <c r="L154" s="229"/>
      <c r="M154" s="247"/>
      <c r="N154" s="346">
        <v>541</v>
      </c>
      <c r="O154" s="350">
        <v>71</v>
      </c>
      <c r="P154" s="353">
        <v>0</v>
      </c>
      <c r="Q154" s="243">
        <v>0</v>
      </c>
      <c r="R154" s="239">
        <v>0</v>
      </c>
      <c r="S154" s="239">
        <v>0</v>
      </c>
      <c r="T154" s="239">
        <v>0</v>
      </c>
      <c r="U154" s="239">
        <v>0</v>
      </c>
      <c r="V154" s="239">
        <v>0</v>
      </c>
    </row>
    <row r="155" spans="1:22" ht="24" customHeight="1">
      <c r="A155" s="421" t="s">
        <v>144</v>
      </c>
      <c r="B155" s="422"/>
      <c r="C155" s="422"/>
      <c r="D155" s="421" t="s">
        <v>1487</v>
      </c>
      <c r="E155" s="422"/>
      <c r="F155" s="422"/>
      <c r="G155" s="422"/>
      <c r="H155" s="422"/>
      <c r="I155" s="422"/>
      <c r="J155" s="422"/>
      <c r="K155" s="422"/>
      <c r="L155" s="237"/>
      <c r="M155" s="247"/>
      <c r="N155" s="346">
        <v>0</v>
      </c>
      <c r="O155" s="346">
        <v>3</v>
      </c>
      <c r="P155" s="347">
        <v>0</v>
      </c>
      <c r="Q155" s="232">
        <v>0</v>
      </c>
      <c r="R155" s="231">
        <v>0</v>
      </c>
      <c r="S155" s="231">
        <v>0</v>
      </c>
      <c r="T155" s="231">
        <v>0</v>
      </c>
      <c r="U155" s="231">
        <v>0</v>
      </c>
      <c r="V155" s="231">
        <v>0</v>
      </c>
    </row>
    <row r="156" spans="1:22" ht="24" customHeight="1">
      <c r="A156" s="421" t="s">
        <v>261</v>
      </c>
      <c r="B156" s="337"/>
      <c r="C156" s="337"/>
      <c r="D156" s="421" t="s">
        <v>1488</v>
      </c>
      <c r="E156" s="337"/>
      <c r="F156" s="337"/>
      <c r="G156" s="337"/>
      <c r="H156" s="337"/>
      <c r="I156" s="337"/>
      <c r="J156" s="337"/>
      <c r="K156" s="337"/>
      <c r="L156" s="229"/>
      <c r="M156" s="247"/>
      <c r="N156" s="346">
        <v>1116</v>
      </c>
      <c r="O156" s="346">
        <v>286</v>
      </c>
      <c r="P156" s="347">
        <v>0</v>
      </c>
      <c r="Q156" s="232">
        <v>0</v>
      </c>
      <c r="R156" s="231">
        <v>0</v>
      </c>
      <c r="S156" s="231">
        <v>0</v>
      </c>
      <c r="T156" s="231">
        <v>0</v>
      </c>
      <c r="U156" s="231">
        <v>0</v>
      </c>
      <c r="V156" s="231">
        <v>0</v>
      </c>
    </row>
    <row r="157" spans="1:22" ht="24" customHeight="1">
      <c r="A157" s="421" t="s">
        <v>143</v>
      </c>
      <c r="B157" s="422"/>
      <c r="C157" s="422"/>
      <c r="D157" s="421" t="s">
        <v>294</v>
      </c>
      <c r="E157" s="422"/>
      <c r="F157" s="422"/>
      <c r="G157" s="422"/>
      <c r="H157" s="422"/>
      <c r="I157" s="422"/>
      <c r="J157" s="422"/>
      <c r="K157" s="422"/>
      <c r="L157" s="237"/>
      <c r="M157" s="247"/>
      <c r="N157" s="346">
        <v>1340</v>
      </c>
      <c r="O157" s="346">
        <v>207</v>
      </c>
      <c r="P157" s="347">
        <v>0</v>
      </c>
      <c r="Q157" s="232">
        <v>0</v>
      </c>
      <c r="R157" s="231">
        <v>0</v>
      </c>
      <c r="S157" s="231">
        <v>0</v>
      </c>
      <c r="T157" s="231" t="s">
        <v>1010</v>
      </c>
      <c r="U157" s="231">
        <v>0</v>
      </c>
      <c r="V157" s="231">
        <v>0</v>
      </c>
    </row>
    <row r="158" spans="1:22" ht="24" customHeight="1">
      <c r="A158" s="421" t="s">
        <v>142</v>
      </c>
      <c r="B158" s="337"/>
      <c r="C158" s="337"/>
      <c r="D158" s="421" t="s">
        <v>106</v>
      </c>
      <c r="E158" s="337"/>
      <c r="F158" s="337"/>
      <c r="G158" s="337"/>
      <c r="H158" s="337"/>
      <c r="I158" s="337"/>
      <c r="J158" s="337"/>
      <c r="K158" s="337"/>
      <c r="L158" s="229"/>
      <c r="M158" s="247"/>
      <c r="N158" s="346">
        <v>257</v>
      </c>
      <c r="O158" s="346">
        <v>23</v>
      </c>
      <c r="P158" s="347">
        <v>0</v>
      </c>
      <c r="Q158" s="232">
        <v>0</v>
      </c>
      <c r="R158" s="231">
        <v>0</v>
      </c>
      <c r="S158" s="231">
        <v>0</v>
      </c>
      <c r="T158" s="231">
        <v>0</v>
      </c>
      <c r="U158" s="231">
        <v>0</v>
      </c>
      <c r="V158" s="231">
        <v>0</v>
      </c>
    </row>
    <row r="159" spans="1:22" ht="24" customHeight="1">
      <c r="A159" s="421" t="s">
        <v>262</v>
      </c>
      <c r="B159" s="422"/>
      <c r="C159" s="422"/>
      <c r="D159" s="421" t="s">
        <v>1489</v>
      </c>
      <c r="E159" s="422"/>
      <c r="F159" s="422"/>
      <c r="G159" s="422"/>
      <c r="H159" s="422"/>
      <c r="I159" s="422"/>
      <c r="J159" s="422"/>
      <c r="K159" s="422"/>
      <c r="L159" s="237"/>
      <c r="M159" s="263"/>
      <c r="N159" s="348">
        <v>428</v>
      </c>
      <c r="O159" s="350">
        <v>0</v>
      </c>
      <c r="P159" s="347">
        <v>0</v>
      </c>
      <c r="Q159" s="232">
        <v>0</v>
      </c>
      <c r="R159" s="231">
        <v>0</v>
      </c>
      <c r="S159" s="231">
        <v>0</v>
      </c>
      <c r="T159" s="231">
        <v>0</v>
      </c>
      <c r="U159" s="231">
        <v>0</v>
      </c>
      <c r="V159" s="231">
        <v>0</v>
      </c>
    </row>
    <row r="160" spans="1:22" ht="24" customHeight="1">
      <c r="A160" s="421" t="s">
        <v>141</v>
      </c>
      <c r="B160" s="422"/>
      <c r="C160" s="422"/>
      <c r="D160" s="421" t="s">
        <v>10</v>
      </c>
      <c r="E160" s="337"/>
      <c r="F160" s="337"/>
      <c r="G160" s="337"/>
      <c r="H160" s="337"/>
      <c r="I160" s="337"/>
      <c r="J160" s="337"/>
      <c r="K160" s="337"/>
      <c r="L160" s="229"/>
      <c r="M160" s="263"/>
      <c r="N160" s="348">
        <v>5578</v>
      </c>
      <c r="O160" s="350">
        <v>2164</v>
      </c>
      <c r="P160" s="347">
        <v>0</v>
      </c>
      <c r="Q160" s="232">
        <v>0</v>
      </c>
      <c r="R160" s="231">
        <v>0</v>
      </c>
      <c r="S160" s="231">
        <v>0</v>
      </c>
      <c r="T160" s="231">
        <v>0</v>
      </c>
      <c r="U160" s="231">
        <v>0</v>
      </c>
      <c r="V160" s="231">
        <v>0</v>
      </c>
    </row>
    <row r="161" spans="1:22" ht="24" customHeight="1">
      <c r="A161" s="421" t="s">
        <v>909</v>
      </c>
      <c r="B161" s="422"/>
      <c r="C161" s="422"/>
      <c r="D161" s="421" t="s">
        <v>102</v>
      </c>
      <c r="E161" s="337"/>
      <c r="F161" s="337"/>
      <c r="G161" s="337"/>
      <c r="H161" s="337"/>
      <c r="I161" s="337"/>
      <c r="J161" s="337"/>
      <c r="K161" s="337"/>
      <c r="L161" s="229"/>
      <c r="M161" s="269"/>
      <c r="N161" s="350">
        <v>0</v>
      </c>
      <c r="O161" s="350">
        <v>1638</v>
      </c>
      <c r="P161" s="347">
        <v>0</v>
      </c>
      <c r="Q161" s="232">
        <v>0</v>
      </c>
      <c r="R161" s="231">
        <v>0</v>
      </c>
      <c r="S161" s="231">
        <v>0</v>
      </c>
      <c r="T161" s="231">
        <v>0</v>
      </c>
      <c r="U161" s="231">
        <v>0</v>
      </c>
      <c r="V161" s="231">
        <v>0</v>
      </c>
    </row>
    <row r="162" spans="1:22" ht="24" customHeight="1">
      <c r="A162" s="421" t="s">
        <v>140</v>
      </c>
      <c r="B162" s="422"/>
      <c r="C162" s="422"/>
      <c r="D162" s="421" t="s">
        <v>1491</v>
      </c>
      <c r="E162" s="422"/>
      <c r="F162" s="422"/>
      <c r="G162" s="422"/>
      <c r="H162" s="422"/>
      <c r="I162" s="422"/>
      <c r="J162" s="422"/>
      <c r="K162" s="422"/>
      <c r="L162" s="237"/>
      <c r="M162" s="275"/>
      <c r="N162" s="372">
        <v>1303</v>
      </c>
      <c r="O162" s="372">
        <v>27</v>
      </c>
      <c r="P162" s="347">
        <v>0</v>
      </c>
      <c r="Q162" s="232">
        <v>0</v>
      </c>
      <c r="R162" s="231">
        <v>0</v>
      </c>
      <c r="S162" s="231">
        <v>0</v>
      </c>
      <c r="T162" s="231">
        <v>0</v>
      </c>
      <c r="U162" s="231">
        <v>0</v>
      </c>
      <c r="V162" s="231">
        <v>0</v>
      </c>
    </row>
    <row r="163" spans="1:22" ht="24" customHeight="1">
      <c r="A163" s="421" t="s">
        <v>148</v>
      </c>
      <c r="B163" s="337"/>
      <c r="C163" s="337"/>
      <c r="D163" s="421" t="s">
        <v>11</v>
      </c>
      <c r="E163" s="337"/>
      <c r="F163" s="337"/>
      <c r="G163" s="337"/>
      <c r="H163" s="337"/>
      <c r="I163" s="337"/>
      <c r="J163" s="337"/>
      <c r="K163" s="337"/>
      <c r="L163" s="229"/>
      <c r="M163" s="247"/>
      <c r="N163" s="346">
        <v>1006</v>
      </c>
      <c r="O163" s="346">
        <v>7</v>
      </c>
      <c r="P163" s="347">
        <v>0</v>
      </c>
      <c r="Q163" s="232">
        <v>0</v>
      </c>
      <c r="R163" s="231">
        <v>0</v>
      </c>
      <c r="S163" s="231">
        <v>0</v>
      </c>
      <c r="T163" s="231">
        <v>0</v>
      </c>
      <c r="U163" s="231">
        <v>0</v>
      </c>
      <c r="V163" s="231">
        <v>0</v>
      </c>
    </row>
    <row r="164" spans="1:22" ht="24" customHeight="1">
      <c r="A164" s="421" t="s">
        <v>147</v>
      </c>
      <c r="B164" s="337"/>
      <c r="C164" s="337"/>
      <c r="D164" s="421" t="s">
        <v>149</v>
      </c>
      <c r="E164" s="337"/>
      <c r="F164" s="337"/>
      <c r="G164" s="337"/>
      <c r="H164" s="337"/>
      <c r="I164" s="337"/>
      <c r="J164" s="337"/>
      <c r="K164" s="337"/>
      <c r="L164" s="229"/>
      <c r="M164" s="247"/>
      <c r="N164" s="346">
        <v>928</v>
      </c>
      <c r="O164" s="346">
        <v>0</v>
      </c>
      <c r="P164" s="347">
        <v>0</v>
      </c>
      <c r="Q164" s="232">
        <v>0</v>
      </c>
      <c r="R164" s="231">
        <v>0</v>
      </c>
      <c r="S164" s="231">
        <v>0</v>
      </c>
      <c r="T164" s="231">
        <v>0</v>
      </c>
      <c r="U164" s="231">
        <v>0</v>
      </c>
      <c r="V164" s="231">
        <v>0</v>
      </c>
    </row>
    <row r="165" spans="1:22" ht="24" customHeight="1">
      <c r="A165" s="421" t="s">
        <v>146</v>
      </c>
      <c r="B165" s="422"/>
      <c r="C165" s="422"/>
      <c r="D165" s="421" t="s">
        <v>304</v>
      </c>
      <c r="E165" s="422"/>
      <c r="F165" s="422"/>
      <c r="G165" s="422"/>
      <c r="H165" s="422"/>
      <c r="I165" s="422"/>
      <c r="J165" s="422"/>
      <c r="K165" s="422"/>
      <c r="L165" s="237"/>
      <c r="M165" s="263"/>
      <c r="N165" s="348">
        <v>2627</v>
      </c>
      <c r="O165" s="350">
        <v>0</v>
      </c>
      <c r="P165" s="347">
        <v>0</v>
      </c>
      <c r="Q165" s="232">
        <v>0</v>
      </c>
      <c r="R165" s="231">
        <v>0</v>
      </c>
      <c r="S165" s="231">
        <v>0</v>
      </c>
      <c r="T165" s="231">
        <v>0</v>
      </c>
      <c r="U165" s="231">
        <v>0</v>
      </c>
      <c r="V165" s="231">
        <v>0</v>
      </c>
    </row>
    <row r="166" spans="1:22" ht="24" customHeight="1">
      <c r="A166" s="421" t="s">
        <v>145</v>
      </c>
      <c r="B166" s="337"/>
      <c r="C166" s="337"/>
      <c r="D166" s="421" t="s">
        <v>1492</v>
      </c>
      <c r="E166" s="337"/>
      <c r="F166" s="337"/>
      <c r="G166" s="337"/>
      <c r="H166" s="337"/>
      <c r="I166" s="337"/>
      <c r="J166" s="337"/>
      <c r="K166" s="337"/>
      <c r="L166" s="229"/>
      <c r="M166" s="247"/>
      <c r="N166" s="346">
        <v>126</v>
      </c>
      <c r="O166" s="350">
        <v>0</v>
      </c>
      <c r="P166" s="347">
        <v>0</v>
      </c>
      <c r="Q166" s="232">
        <v>0</v>
      </c>
      <c r="R166" s="231">
        <v>0</v>
      </c>
      <c r="S166" s="231">
        <v>0</v>
      </c>
      <c r="T166" s="231">
        <v>0</v>
      </c>
      <c r="U166" s="231">
        <v>0</v>
      </c>
      <c r="V166" s="231">
        <v>0</v>
      </c>
    </row>
    <row r="167" spans="1:22" ht="24" customHeight="1">
      <c r="A167" s="421" t="s">
        <v>318</v>
      </c>
      <c r="B167" s="337"/>
      <c r="C167" s="337"/>
      <c r="D167" s="421" t="s">
        <v>288</v>
      </c>
      <c r="E167" s="337"/>
      <c r="F167" s="337"/>
      <c r="G167" s="337"/>
      <c r="H167" s="337"/>
      <c r="I167" s="337"/>
      <c r="J167" s="337"/>
      <c r="K167" s="337"/>
      <c r="L167" s="229"/>
      <c r="M167" s="249"/>
      <c r="N167" s="356">
        <v>5307</v>
      </c>
      <c r="O167" s="373">
        <v>0</v>
      </c>
      <c r="P167" s="374">
        <v>0</v>
      </c>
      <c r="Q167" s="278">
        <v>0</v>
      </c>
      <c r="R167" s="277">
        <v>0</v>
      </c>
      <c r="S167" s="277">
        <v>0</v>
      </c>
      <c r="T167" s="277">
        <v>0</v>
      </c>
      <c r="U167" s="277">
        <v>0</v>
      </c>
      <c r="V167" s="277">
        <v>0</v>
      </c>
    </row>
    <row r="168" spans="1:22" s="337" customFormat="1" ht="24" customHeight="1">
      <c r="A168" s="421"/>
      <c r="D168" s="421"/>
      <c r="L168" s="451"/>
      <c r="M168" s="452"/>
      <c r="N168" s="363">
        <f t="shared" ref="N168:U168" si="7">SUM(N147:N167)</f>
        <v>350767</v>
      </c>
      <c r="O168" s="363">
        <f t="shared" si="7"/>
        <v>102223</v>
      </c>
      <c r="P168" s="375">
        <f t="shared" si="7"/>
        <v>0</v>
      </c>
      <c r="Q168" s="375">
        <f>SUM(Q147:Q167)</f>
        <v>0</v>
      </c>
      <c r="R168" s="376">
        <f t="shared" si="7"/>
        <v>0</v>
      </c>
      <c r="S168" s="376">
        <f t="shared" si="7"/>
        <v>0</v>
      </c>
      <c r="T168" s="376">
        <f t="shared" si="7"/>
        <v>0</v>
      </c>
      <c r="U168" s="376">
        <f t="shared" si="7"/>
        <v>0</v>
      </c>
      <c r="V168" s="376">
        <f>SUM(V147:V167)</f>
        <v>0</v>
      </c>
    </row>
    <row r="169" spans="1:22" ht="15" customHeight="1">
      <c r="A169" s="421"/>
      <c r="B169" s="337"/>
      <c r="C169" s="337"/>
      <c r="D169" s="421"/>
      <c r="E169" s="337"/>
      <c r="F169" s="337"/>
      <c r="G169" s="337"/>
      <c r="H169" s="337"/>
      <c r="I169" s="337"/>
      <c r="J169" s="337"/>
      <c r="K169" s="337"/>
      <c r="L169" s="229"/>
      <c r="M169" s="247"/>
      <c r="N169" s="346"/>
      <c r="O169" s="350"/>
      <c r="P169" s="353"/>
      <c r="Q169" s="243"/>
      <c r="R169" s="239"/>
      <c r="S169" s="239"/>
      <c r="T169" s="239"/>
      <c r="U169" s="239"/>
      <c r="V169" s="239"/>
    </row>
    <row r="170" spans="1:22" ht="24" customHeight="1">
      <c r="A170" s="425" t="s">
        <v>760</v>
      </c>
      <c r="B170" s="337"/>
      <c r="C170" s="337"/>
      <c r="D170" s="337"/>
      <c r="E170" s="337"/>
      <c r="F170" s="337"/>
      <c r="G170" s="337"/>
      <c r="H170" s="337"/>
      <c r="I170" s="337"/>
      <c r="J170" s="337"/>
      <c r="K170" s="337"/>
      <c r="L170" s="229"/>
      <c r="N170" s="359"/>
      <c r="O170" s="359"/>
      <c r="P170" s="360"/>
      <c r="Q170" s="255"/>
      <c r="R170" s="254"/>
      <c r="S170" s="254"/>
      <c r="T170" s="254"/>
      <c r="U170" s="254"/>
      <c r="V170" s="254"/>
    </row>
    <row r="171" spans="1:22" ht="24" customHeight="1">
      <c r="A171" s="421" t="s">
        <v>1008</v>
      </c>
      <c r="B171" s="337"/>
      <c r="C171" s="337"/>
      <c r="D171" s="423" t="s">
        <v>1009</v>
      </c>
      <c r="E171" s="337"/>
      <c r="F171" s="337"/>
      <c r="G171" s="337"/>
      <c r="H171" s="337"/>
      <c r="I171" s="337"/>
      <c r="J171" s="337"/>
      <c r="K171" s="337"/>
      <c r="L171" s="229"/>
      <c r="M171" s="263"/>
      <c r="N171" s="348">
        <v>660249</v>
      </c>
      <c r="O171" s="350">
        <v>600533</v>
      </c>
      <c r="P171" s="347">
        <v>0</v>
      </c>
      <c r="Q171" s="232">
        <v>0</v>
      </c>
      <c r="R171" s="231">
        <v>0</v>
      </c>
      <c r="S171" s="231">
        <v>0</v>
      </c>
      <c r="T171" s="231">
        <v>0</v>
      </c>
      <c r="U171" s="231">
        <v>0</v>
      </c>
      <c r="V171" s="231">
        <v>0</v>
      </c>
    </row>
    <row r="172" spans="1:22" ht="24" customHeight="1">
      <c r="A172" s="421" t="s">
        <v>1473</v>
      </c>
      <c r="B172" s="424"/>
      <c r="C172" s="424"/>
      <c r="D172" s="421" t="s">
        <v>159</v>
      </c>
      <c r="E172" s="424"/>
      <c r="F172" s="424"/>
      <c r="G172" s="424"/>
      <c r="H172" s="424"/>
      <c r="I172" s="424"/>
      <c r="J172" s="424"/>
      <c r="K172" s="424"/>
      <c r="L172" s="253"/>
      <c r="M172" s="263"/>
      <c r="N172" s="348">
        <v>1167964</v>
      </c>
      <c r="O172" s="350">
        <v>1149440</v>
      </c>
      <c r="P172" s="347">
        <v>1261000</v>
      </c>
      <c r="Q172" s="232">
        <v>1261000</v>
      </c>
      <c r="R172" s="231">
        <v>1393000</v>
      </c>
      <c r="S172" s="231">
        <v>1393000</v>
      </c>
      <c r="T172" s="231">
        <v>1393000</v>
      </c>
      <c r="U172" s="231">
        <v>1393000</v>
      </c>
      <c r="V172" s="231">
        <v>1393000</v>
      </c>
    </row>
    <row r="173" spans="1:22" ht="24" customHeight="1">
      <c r="A173" s="421" t="s">
        <v>1005</v>
      </c>
      <c r="B173" s="424"/>
      <c r="C173" s="424"/>
      <c r="D173" s="423" t="s">
        <v>1006</v>
      </c>
      <c r="E173" s="424"/>
      <c r="F173" s="424"/>
      <c r="G173" s="424"/>
      <c r="H173" s="424"/>
      <c r="I173" s="424"/>
      <c r="J173" s="424"/>
      <c r="K173" s="424"/>
      <c r="L173" s="253"/>
      <c r="M173" s="263"/>
      <c r="N173" s="348">
        <v>0</v>
      </c>
      <c r="O173" s="350">
        <v>0</v>
      </c>
      <c r="P173" s="347">
        <v>317000</v>
      </c>
      <c r="Q173" s="232">
        <v>295000</v>
      </c>
      <c r="R173" s="231">
        <v>299674</v>
      </c>
      <c r="S173" s="231">
        <v>299674</v>
      </c>
      <c r="T173" s="231">
        <v>299674</v>
      </c>
      <c r="U173" s="231">
        <v>299674</v>
      </c>
      <c r="V173" s="231">
        <v>299674</v>
      </c>
    </row>
    <row r="174" spans="1:22" ht="24" customHeight="1">
      <c r="A174" s="421" t="s">
        <v>155</v>
      </c>
      <c r="B174" s="424"/>
      <c r="C174" s="424"/>
      <c r="D174" s="421" t="s">
        <v>1007</v>
      </c>
      <c r="E174" s="424"/>
      <c r="F174" s="424"/>
      <c r="G174" s="424"/>
      <c r="H174" s="424"/>
      <c r="I174" s="424"/>
      <c r="J174" s="424"/>
      <c r="K174" s="424"/>
      <c r="L174" s="253"/>
      <c r="M174" s="247"/>
      <c r="N174" s="346">
        <v>0</v>
      </c>
      <c r="O174" s="346">
        <v>0</v>
      </c>
      <c r="P174" s="349">
        <v>430000</v>
      </c>
      <c r="Q174" s="236">
        <v>410000</v>
      </c>
      <c r="R174" s="235">
        <v>435746</v>
      </c>
      <c r="S174" s="235">
        <v>435746</v>
      </c>
      <c r="T174" s="235">
        <v>435746</v>
      </c>
      <c r="U174" s="235">
        <v>435746</v>
      </c>
      <c r="V174" s="235">
        <v>435746</v>
      </c>
    </row>
    <row r="175" spans="1:22" ht="24" customHeight="1">
      <c r="A175" s="421" t="s">
        <v>154</v>
      </c>
      <c r="B175" s="424"/>
      <c r="C175" s="424"/>
      <c r="D175" s="421" t="s">
        <v>158</v>
      </c>
      <c r="E175" s="424"/>
      <c r="F175" s="424"/>
      <c r="G175" s="424"/>
      <c r="H175" s="424"/>
      <c r="I175" s="424"/>
      <c r="J175" s="424"/>
      <c r="K175" s="424"/>
      <c r="L175" s="253"/>
      <c r="M175" s="247"/>
      <c r="N175" s="346">
        <v>156502</v>
      </c>
      <c r="O175" s="348">
        <v>128755</v>
      </c>
      <c r="P175" s="349">
        <v>135000</v>
      </c>
      <c r="Q175" s="236">
        <v>130000</v>
      </c>
      <c r="R175" s="235">
        <v>122627</v>
      </c>
      <c r="S175" s="235">
        <v>122627</v>
      </c>
      <c r="T175" s="235">
        <v>122627</v>
      </c>
      <c r="U175" s="235">
        <v>122627</v>
      </c>
      <c r="V175" s="235">
        <v>122627</v>
      </c>
    </row>
    <row r="176" spans="1:22" ht="24" customHeight="1">
      <c r="A176" s="421" t="s">
        <v>153</v>
      </c>
      <c r="B176" s="424"/>
      <c r="C176" s="424"/>
      <c r="D176" s="421" t="s">
        <v>157</v>
      </c>
      <c r="E176" s="424"/>
      <c r="F176" s="424"/>
      <c r="G176" s="424"/>
      <c r="H176" s="424"/>
      <c r="I176" s="424"/>
      <c r="J176" s="424"/>
      <c r="K176" s="424"/>
      <c r="L176" s="253"/>
      <c r="M176" s="263"/>
      <c r="N176" s="348">
        <v>17381</v>
      </c>
      <c r="O176" s="348">
        <v>19413</v>
      </c>
      <c r="P176" s="349">
        <v>20000</v>
      </c>
      <c r="Q176" s="236">
        <v>20000</v>
      </c>
      <c r="R176" s="235">
        <v>20000</v>
      </c>
      <c r="S176" s="235">
        <v>20000</v>
      </c>
      <c r="T176" s="235">
        <v>20000</v>
      </c>
      <c r="U176" s="235">
        <v>20000</v>
      </c>
      <c r="V176" s="235">
        <v>20000</v>
      </c>
    </row>
    <row r="177" spans="1:22" ht="24" customHeight="1">
      <c r="A177" s="421" t="s">
        <v>152</v>
      </c>
      <c r="B177" s="424"/>
      <c r="C177" s="424"/>
      <c r="D177" s="421" t="s">
        <v>83</v>
      </c>
      <c r="E177" s="424"/>
      <c r="F177" s="424"/>
      <c r="G177" s="424"/>
      <c r="H177" s="424"/>
      <c r="I177" s="424"/>
      <c r="J177" s="424"/>
      <c r="K177" s="424"/>
      <c r="L177" s="253"/>
      <c r="M177" s="247"/>
      <c r="N177" s="346">
        <v>30604</v>
      </c>
      <c r="O177" s="346">
        <v>33832</v>
      </c>
      <c r="P177" s="347">
        <v>52500</v>
      </c>
      <c r="Q177" s="232">
        <f>39000+13500</f>
        <v>52500</v>
      </c>
      <c r="R177" s="231">
        <v>52500</v>
      </c>
      <c r="S177" s="231">
        <v>52500</v>
      </c>
      <c r="T177" s="231">
        <v>52500</v>
      </c>
      <c r="U177" s="231">
        <v>52500</v>
      </c>
      <c r="V177" s="231">
        <v>52500</v>
      </c>
    </row>
    <row r="178" spans="1:22" ht="24" customHeight="1">
      <c r="A178" s="421" t="s">
        <v>151</v>
      </c>
      <c r="B178" s="337"/>
      <c r="C178" s="337"/>
      <c r="D178" s="421" t="s">
        <v>156</v>
      </c>
      <c r="E178" s="337"/>
      <c r="F178" s="337"/>
      <c r="G178" s="337"/>
      <c r="H178" s="337"/>
      <c r="I178" s="337"/>
      <c r="J178" s="337"/>
      <c r="K178" s="337"/>
      <c r="L178" s="229"/>
      <c r="M178" s="247"/>
      <c r="N178" s="346">
        <v>12045</v>
      </c>
      <c r="O178" s="346">
        <v>6089</v>
      </c>
      <c r="P178" s="347">
        <v>0</v>
      </c>
      <c r="Q178" s="232">
        <v>0</v>
      </c>
      <c r="R178" s="231">
        <v>0</v>
      </c>
      <c r="S178" s="231">
        <v>0</v>
      </c>
      <c r="T178" s="231">
        <v>0</v>
      </c>
      <c r="U178" s="231">
        <v>0</v>
      </c>
      <c r="V178" s="231">
        <v>0</v>
      </c>
    </row>
    <row r="179" spans="1:22" ht="24" customHeight="1">
      <c r="A179" s="421" t="s">
        <v>150</v>
      </c>
      <c r="B179" s="422"/>
      <c r="C179" s="422"/>
      <c r="D179" s="421" t="s">
        <v>18</v>
      </c>
      <c r="E179" s="422"/>
      <c r="F179" s="422"/>
      <c r="G179" s="422"/>
      <c r="H179" s="422"/>
      <c r="I179" s="422"/>
      <c r="J179" s="422"/>
      <c r="K179" s="422"/>
      <c r="L179" s="237"/>
      <c r="M179" s="263"/>
      <c r="N179" s="348">
        <v>82587</v>
      </c>
      <c r="O179" s="350">
        <v>89949</v>
      </c>
      <c r="P179" s="347">
        <v>90000</v>
      </c>
      <c r="Q179" s="232">
        <v>111000</v>
      </c>
      <c r="R179" s="231">
        <v>111000</v>
      </c>
      <c r="S179" s="231">
        <v>111000</v>
      </c>
      <c r="T179" s="231">
        <v>111000</v>
      </c>
      <c r="U179" s="231">
        <v>111000</v>
      </c>
      <c r="V179" s="231">
        <v>111000</v>
      </c>
    </row>
    <row r="180" spans="1:22" ht="24" customHeight="1">
      <c r="A180" s="421" t="s">
        <v>162</v>
      </c>
      <c r="B180" s="422"/>
      <c r="C180" s="422"/>
      <c r="D180" s="421" t="s">
        <v>8</v>
      </c>
      <c r="E180" s="422"/>
      <c r="F180" s="422"/>
      <c r="G180" s="422"/>
      <c r="H180" s="422"/>
      <c r="I180" s="422"/>
      <c r="J180" s="422"/>
      <c r="K180" s="422"/>
      <c r="L180" s="237"/>
      <c r="M180" s="263"/>
      <c r="N180" s="348">
        <v>14455</v>
      </c>
      <c r="O180" s="348">
        <v>11696</v>
      </c>
      <c r="P180" s="349">
        <v>15818</v>
      </c>
      <c r="Q180" s="236">
        <v>14000</v>
      </c>
      <c r="R180" s="235">
        <v>13590</v>
      </c>
      <c r="S180" s="235">
        <v>13590</v>
      </c>
      <c r="T180" s="235">
        <v>13590</v>
      </c>
      <c r="U180" s="235">
        <v>13590</v>
      </c>
      <c r="V180" s="235">
        <v>13590</v>
      </c>
    </row>
    <row r="181" spans="1:22" ht="24" customHeight="1">
      <c r="A181" s="421" t="s">
        <v>161</v>
      </c>
      <c r="B181" s="337"/>
      <c r="C181" s="337"/>
      <c r="D181" s="421" t="s">
        <v>295</v>
      </c>
      <c r="E181" s="337"/>
      <c r="F181" s="337"/>
      <c r="G181" s="337"/>
      <c r="H181" s="337"/>
      <c r="I181" s="337"/>
      <c r="J181" s="337"/>
      <c r="K181" s="337"/>
      <c r="L181" s="229"/>
      <c r="M181" s="234"/>
      <c r="N181" s="348">
        <v>336075</v>
      </c>
      <c r="O181" s="348">
        <v>360356</v>
      </c>
      <c r="P181" s="349">
        <f t="shared" ref="P181:V181" si="8">P10</f>
        <v>413354</v>
      </c>
      <c r="Q181" s="236">
        <f t="shared" si="8"/>
        <v>438711</v>
      </c>
      <c r="R181" s="235">
        <f t="shared" si="8"/>
        <v>562000</v>
      </c>
      <c r="S181" s="235">
        <f t="shared" si="8"/>
        <v>587000</v>
      </c>
      <c r="T181" s="235">
        <f t="shared" si="8"/>
        <v>612000</v>
      </c>
      <c r="U181" s="235">
        <f t="shared" si="8"/>
        <v>637000</v>
      </c>
      <c r="V181" s="235">
        <f t="shared" si="8"/>
        <v>662000</v>
      </c>
    </row>
    <row r="182" spans="1:22" ht="24" customHeight="1">
      <c r="A182" s="421" t="s">
        <v>160</v>
      </c>
      <c r="B182" s="422"/>
      <c r="C182" s="422"/>
      <c r="D182" s="421" t="s">
        <v>9</v>
      </c>
      <c r="E182" s="422"/>
      <c r="F182" s="422"/>
      <c r="G182" s="422"/>
      <c r="H182" s="422"/>
      <c r="I182" s="422"/>
      <c r="J182" s="422"/>
      <c r="K182" s="422"/>
      <c r="L182" s="237"/>
      <c r="M182" s="263"/>
      <c r="N182" s="348">
        <v>157082</v>
      </c>
      <c r="O182" s="348">
        <v>149383</v>
      </c>
      <c r="P182" s="349">
        <v>175000</v>
      </c>
      <c r="Q182" s="236">
        <v>175000</v>
      </c>
      <c r="R182" s="235">
        <v>182664</v>
      </c>
      <c r="S182" s="235">
        <v>182664</v>
      </c>
      <c r="T182" s="235">
        <v>182664</v>
      </c>
      <c r="U182" s="235">
        <v>182664</v>
      </c>
      <c r="V182" s="235">
        <v>182664</v>
      </c>
    </row>
    <row r="183" spans="1:22" ht="24" customHeight="1">
      <c r="A183" s="421" t="s">
        <v>798</v>
      </c>
      <c r="B183" s="422"/>
      <c r="C183" s="422"/>
      <c r="D183" s="421" t="s">
        <v>14</v>
      </c>
      <c r="E183" s="422"/>
      <c r="F183" s="422"/>
      <c r="G183" s="422"/>
      <c r="H183" s="422"/>
      <c r="I183" s="422"/>
      <c r="J183" s="422"/>
      <c r="K183" s="422"/>
      <c r="L183" s="237"/>
      <c r="M183" s="247"/>
      <c r="N183" s="346">
        <v>0</v>
      </c>
      <c r="O183" s="350">
        <v>0</v>
      </c>
      <c r="P183" s="353">
        <v>517950</v>
      </c>
      <c r="Q183" s="243">
        <v>440000</v>
      </c>
      <c r="R183" s="239">
        <v>537969</v>
      </c>
      <c r="S183" s="241">
        <v>591766</v>
      </c>
      <c r="T183" s="241">
        <v>650943</v>
      </c>
      <c r="U183" s="241">
        <v>690000</v>
      </c>
      <c r="V183" s="241">
        <v>731400</v>
      </c>
    </row>
    <row r="184" spans="1:22" ht="24" customHeight="1">
      <c r="A184" s="421" t="s">
        <v>799</v>
      </c>
      <c r="B184" s="422"/>
      <c r="C184" s="422"/>
      <c r="D184" s="421" t="s">
        <v>229</v>
      </c>
      <c r="E184" s="422"/>
      <c r="F184" s="422"/>
      <c r="G184" s="422"/>
      <c r="H184" s="422"/>
      <c r="I184" s="422"/>
      <c r="J184" s="422"/>
      <c r="K184" s="422"/>
      <c r="L184" s="237"/>
      <c r="M184" s="247"/>
      <c r="N184" s="346">
        <v>0</v>
      </c>
      <c r="O184" s="350">
        <v>0</v>
      </c>
      <c r="P184" s="353">
        <v>5635</v>
      </c>
      <c r="Q184" s="243">
        <v>5635</v>
      </c>
      <c r="R184" s="239">
        <v>3498</v>
      </c>
      <c r="S184" s="241">
        <v>3533</v>
      </c>
      <c r="T184" s="241">
        <v>3568</v>
      </c>
      <c r="U184" s="241">
        <v>3604</v>
      </c>
      <c r="V184" s="241">
        <v>3640</v>
      </c>
    </row>
    <row r="185" spans="1:22" ht="24" customHeight="1">
      <c r="A185" s="421" t="s">
        <v>800</v>
      </c>
      <c r="B185" s="422"/>
      <c r="C185" s="422"/>
      <c r="D185" s="421" t="s">
        <v>819</v>
      </c>
      <c r="E185" s="422"/>
      <c r="F185" s="422"/>
      <c r="G185" s="422"/>
      <c r="H185" s="422"/>
      <c r="I185" s="422"/>
      <c r="J185" s="422"/>
      <c r="K185" s="422"/>
      <c r="L185" s="237"/>
      <c r="M185" s="247"/>
      <c r="N185" s="346">
        <v>0</v>
      </c>
      <c r="O185" s="350">
        <v>0</v>
      </c>
      <c r="P185" s="353">
        <v>37428</v>
      </c>
      <c r="Q185" s="243">
        <v>37428</v>
      </c>
      <c r="R185" s="239">
        <v>39163</v>
      </c>
      <c r="S185" s="241">
        <v>43079</v>
      </c>
      <c r="T185" s="241">
        <v>47387</v>
      </c>
      <c r="U185" s="241">
        <v>50230</v>
      </c>
      <c r="V185" s="241">
        <v>53244</v>
      </c>
    </row>
    <row r="186" spans="1:22" ht="24" customHeight="1">
      <c r="A186" s="421" t="s">
        <v>824</v>
      </c>
      <c r="B186" s="422"/>
      <c r="C186" s="422"/>
      <c r="D186" s="421" t="s">
        <v>821</v>
      </c>
      <c r="E186" s="422"/>
      <c r="F186" s="422"/>
      <c r="G186" s="422"/>
      <c r="H186" s="422"/>
      <c r="I186" s="422"/>
      <c r="J186" s="422"/>
      <c r="K186" s="422"/>
      <c r="L186" s="237"/>
      <c r="M186" s="247"/>
      <c r="N186" s="346">
        <v>0</v>
      </c>
      <c r="O186" s="350">
        <v>0</v>
      </c>
      <c r="P186" s="353">
        <v>4272</v>
      </c>
      <c r="Q186" s="243">
        <v>4272</v>
      </c>
      <c r="R186" s="239">
        <v>3996</v>
      </c>
      <c r="S186" s="241">
        <v>4396</v>
      </c>
      <c r="T186" s="241">
        <v>4835</v>
      </c>
      <c r="U186" s="241">
        <v>5125</v>
      </c>
      <c r="V186" s="241">
        <v>5433</v>
      </c>
    </row>
    <row r="187" spans="1:22" ht="24" customHeight="1">
      <c r="A187" s="421" t="s">
        <v>263</v>
      </c>
      <c r="B187" s="337"/>
      <c r="C187" s="337"/>
      <c r="D187" s="421" t="s">
        <v>109</v>
      </c>
      <c r="E187" s="337"/>
      <c r="F187" s="337"/>
      <c r="G187" s="337"/>
      <c r="H187" s="337"/>
      <c r="I187" s="337"/>
      <c r="J187" s="337"/>
      <c r="K187" s="337"/>
      <c r="L187" s="229"/>
      <c r="M187" s="247"/>
      <c r="N187" s="346">
        <v>1808</v>
      </c>
      <c r="O187" s="346">
        <v>1510</v>
      </c>
      <c r="P187" s="347">
        <v>2800</v>
      </c>
      <c r="Q187" s="232">
        <v>0</v>
      </c>
      <c r="R187" s="231">
        <v>2800</v>
      </c>
      <c r="S187" s="231">
        <v>2800</v>
      </c>
      <c r="T187" s="231">
        <v>2800</v>
      </c>
      <c r="U187" s="231">
        <v>2800</v>
      </c>
      <c r="V187" s="231">
        <v>2800</v>
      </c>
    </row>
    <row r="188" spans="1:22" ht="24" customHeight="1">
      <c r="A188" s="421" t="s">
        <v>302</v>
      </c>
      <c r="B188" s="337"/>
      <c r="C188" s="337"/>
      <c r="D188" s="421" t="s">
        <v>301</v>
      </c>
      <c r="E188" s="337"/>
      <c r="F188" s="337"/>
      <c r="G188" s="337"/>
      <c r="H188" s="337"/>
      <c r="I188" s="337"/>
      <c r="J188" s="337"/>
      <c r="K188" s="337"/>
      <c r="L188" s="229"/>
      <c r="M188" s="247"/>
      <c r="N188" s="346">
        <v>3677</v>
      </c>
      <c r="O188" s="346">
        <v>16281</v>
      </c>
      <c r="P188" s="347">
        <v>4000</v>
      </c>
      <c r="Q188" s="232">
        <v>9000</v>
      </c>
      <c r="R188" s="231">
        <v>16500</v>
      </c>
      <c r="S188" s="231">
        <v>4000</v>
      </c>
      <c r="T188" s="231">
        <v>15000</v>
      </c>
      <c r="U188" s="231">
        <v>4000</v>
      </c>
      <c r="V188" s="231">
        <v>15000</v>
      </c>
    </row>
    <row r="189" spans="1:22" ht="24" customHeight="1">
      <c r="A189" s="421" t="s">
        <v>264</v>
      </c>
      <c r="B189" s="337"/>
      <c r="C189" s="337"/>
      <c r="D189" s="421" t="s">
        <v>174</v>
      </c>
      <c r="E189" s="337"/>
      <c r="F189" s="337"/>
      <c r="G189" s="337"/>
      <c r="H189" s="337"/>
      <c r="I189" s="337"/>
      <c r="J189" s="337"/>
      <c r="K189" s="337"/>
      <c r="L189" s="229"/>
      <c r="M189" s="247"/>
      <c r="N189" s="346">
        <v>8554</v>
      </c>
      <c r="O189" s="350">
        <v>8275</v>
      </c>
      <c r="P189" s="347">
        <v>15000</v>
      </c>
      <c r="Q189" s="232">
        <v>15000</v>
      </c>
      <c r="R189" s="231">
        <v>13000</v>
      </c>
      <c r="S189" s="231">
        <v>13000</v>
      </c>
      <c r="T189" s="231">
        <v>13000</v>
      </c>
      <c r="U189" s="231">
        <v>13000</v>
      </c>
      <c r="V189" s="231">
        <v>13000</v>
      </c>
    </row>
    <row r="190" spans="1:22" ht="24" customHeight="1">
      <c r="A190" s="421" t="s">
        <v>171</v>
      </c>
      <c r="B190" s="337"/>
      <c r="C190" s="337"/>
      <c r="D190" s="421" t="s">
        <v>1487</v>
      </c>
      <c r="E190" s="337"/>
      <c r="F190" s="337"/>
      <c r="G190" s="337"/>
      <c r="H190" s="337"/>
      <c r="I190" s="337"/>
      <c r="J190" s="337"/>
      <c r="K190" s="337"/>
      <c r="L190" s="229"/>
      <c r="M190" s="247"/>
      <c r="N190" s="346">
        <v>1873</v>
      </c>
      <c r="O190" s="348">
        <v>6690</v>
      </c>
      <c r="P190" s="349">
        <v>10000</v>
      </c>
      <c r="Q190" s="236">
        <v>6000</v>
      </c>
      <c r="R190" s="235">
        <v>10000</v>
      </c>
      <c r="S190" s="235">
        <v>10000</v>
      </c>
      <c r="T190" s="235">
        <v>10000</v>
      </c>
      <c r="U190" s="235">
        <v>10000</v>
      </c>
      <c r="V190" s="235">
        <v>10000</v>
      </c>
    </row>
    <row r="191" spans="1:22" ht="24" customHeight="1">
      <c r="A191" s="421" t="s">
        <v>1394</v>
      </c>
      <c r="B191" s="337"/>
      <c r="C191" s="337"/>
      <c r="D191" s="421" t="s">
        <v>1395</v>
      </c>
      <c r="E191" s="337"/>
      <c r="F191" s="337"/>
      <c r="G191" s="337"/>
      <c r="H191" s="337"/>
      <c r="I191" s="337"/>
      <c r="J191" s="337"/>
      <c r="K191" s="337"/>
      <c r="L191" s="229"/>
      <c r="M191" s="247"/>
      <c r="N191" s="346">
        <f>N499</f>
        <v>0</v>
      </c>
      <c r="O191" s="346">
        <f t="shared" ref="O191:U191" si="9">O499</f>
        <v>0</v>
      </c>
      <c r="P191" s="347">
        <f t="shared" si="9"/>
        <v>0</v>
      </c>
      <c r="Q191" s="232">
        <f t="shared" si="9"/>
        <v>0</v>
      </c>
      <c r="R191" s="231">
        <f t="shared" si="9"/>
        <v>0</v>
      </c>
      <c r="S191" s="231">
        <f>S499-1</f>
        <v>56156</v>
      </c>
      <c r="T191" s="231">
        <f t="shared" si="9"/>
        <v>78792</v>
      </c>
      <c r="U191" s="231">
        <f t="shared" si="9"/>
        <v>78792</v>
      </c>
      <c r="V191" s="231">
        <f>V499-1</f>
        <v>78791</v>
      </c>
    </row>
    <row r="192" spans="1:22" ht="24" customHeight="1">
      <c r="A192" s="421" t="s">
        <v>170</v>
      </c>
      <c r="B192" s="337"/>
      <c r="C192" s="337"/>
      <c r="D192" s="421" t="s">
        <v>107</v>
      </c>
      <c r="E192" s="337"/>
      <c r="F192" s="337"/>
      <c r="G192" s="337"/>
      <c r="H192" s="337"/>
      <c r="I192" s="337"/>
      <c r="J192" s="337"/>
      <c r="K192" s="337"/>
      <c r="L192" s="229"/>
      <c r="M192" s="263"/>
      <c r="N192" s="348">
        <v>86</v>
      </c>
      <c r="O192" s="348">
        <v>11</v>
      </c>
      <c r="P192" s="349">
        <v>200</v>
      </c>
      <c r="Q192" s="236">
        <v>200</v>
      </c>
      <c r="R192" s="235">
        <v>200</v>
      </c>
      <c r="S192" s="235">
        <v>200</v>
      </c>
      <c r="T192" s="235">
        <v>200</v>
      </c>
      <c r="U192" s="235">
        <v>200</v>
      </c>
      <c r="V192" s="235">
        <v>200</v>
      </c>
    </row>
    <row r="193" spans="1:22" ht="24" customHeight="1">
      <c r="A193" s="421" t="s">
        <v>169</v>
      </c>
      <c r="B193" s="337"/>
      <c r="C193" s="337"/>
      <c r="D193" s="421" t="s">
        <v>1488</v>
      </c>
      <c r="E193" s="337"/>
      <c r="F193" s="337"/>
      <c r="G193" s="337"/>
      <c r="H193" s="337"/>
      <c r="I193" s="337"/>
      <c r="J193" s="337"/>
      <c r="K193" s="337"/>
      <c r="L193" s="229"/>
      <c r="M193" s="247"/>
      <c r="N193" s="346">
        <v>2923</v>
      </c>
      <c r="O193" s="346">
        <v>4151</v>
      </c>
      <c r="P193" s="347">
        <v>4500</v>
      </c>
      <c r="Q193" s="232">
        <v>4500</v>
      </c>
      <c r="R193" s="231">
        <v>4500</v>
      </c>
      <c r="S193" s="231">
        <v>4500</v>
      </c>
      <c r="T193" s="231">
        <v>4500</v>
      </c>
      <c r="U193" s="231">
        <v>4500</v>
      </c>
      <c r="V193" s="231">
        <v>4500</v>
      </c>
    </row>
    <row r="194" spans="1:22" ht="24" customHeight="1">
      <c r="A194" s="421" t="s">
        <v>168</v>
      </c>
      <c r="B194" s="337"/>
      <c r="C194" s="337"/>
      <c r="D194" s="421" t="s">
        <v>294</v>
      </c>
      <c r="E194" s="337"/>
      <c r="F194" s="337"/>
      <c r="G194" s="337"/>
      <c r="H194" s="337"/>
      <c r="I194" s="337"/>
      <c r="J194" s="337"/>
      <c r="K194" s="337"/>
      <c r="L194" s="229"/>
      <c r="M194" s="263"/>
      <c r="N194" s="348">
        <v>22142</v>
      </c>
      <c r="O194" s="348">
        <v>25933</v>
      </c>
      <c r="P194" s="349">
        <v>36500</v>
      </c>
      <c r="Q194" s="236">
        <f t="shared" ref="Q194:V194" si="10">21500+15000</f>
        <v>36500</v>
      </c>
      <c r="R194" s="235">
        <f t="shared" si="10"/>
        <v>36500</v>
      </c>
      <c r="S194" s="235">
        <f t="shared" si="10"/>
        <v>36500</v>
      </c>
      <c r="T194" s="235">
        <f t="shared" si="10"/>
        <v>36500</v>
      </c>
      <c r="U194" s="235">
        <f t="shared" si="10"/>
        <v>36500</v>
      </c>
      <c r="V194" s="235">
        <f t="shared" si="10"/>
        <v>36500</v>
      </c>
    </row>
    <row r="195" spans="1:22" ht="24" customHeight="1">
      <c r="A195" s="421" t="s">
        <v>167</v>
      </c>
      <c r="B195" s="337"/>
      <c r="C195" s="337"/>
      <c r="D195" s="421" t="s">
        <v>106</v>
      </c>
      <c r="E195" s="337"/>
      <c r="F195" s="337"/>
      <c r="G195" s="337"/>
      <c r="H195" s="337"/>
      <c r="I195" s="337"/>
      <c r="J195" s="337"/>
      <c r="K195" s="337"/>
      <c r="L195" s="229"/>
      <c r="M195" s="247"/>
      <c r="N195" s="346">
        <v>986</v>
      </c>
      <c r="O195" s="346">
        <v>1346</v>
      </c>
      <c r="P195" s="347">
        <v>3000</v>
      </c>
      <c r="Q195" s="232">
        <v>2000</v>
      </c>
      <c r="R195" s="231">
        <v>3000</v>
      </c>
      <c r="S195" s="231">
        <v>3000</v>
      </c>
      <c r="T195" s="231">
        <v>3000</v>
      </c>
      <c r="U195" s="231">
        <v>3000</v>
      </c>
      <c r="V195" s="231">
        <v>3000</v>
      </c>
    </row>
    <row r="196" spans="1:22" ht="24" customHeight="1">
      <c r="A196" s="421" t="s">
        <v>266</v>
      </c>
      <c r="B196" s="337"/>
      <c r="C196" s="337"/>
      <c r="D196" s="421" t="s">
        <v>1489</v>
      </c>
      <c r="E196" s="337"/>
      <c r="F196" s="337"/>
      <c r="G196" s="337"/>
      <c r="H196" s="337"/>
      <c r="I196" s="337"/>
      <c r="J196" s="337"/>
      <c r="K196" s="337"/>
      <c r="L196" s="229"/>
      <c r="M196" s="263"/>
      <c r="N196" s="348">
        <v>1115</v>
      </c>
      <c r="O196" s="348">
        <v>1340</v>
      </c>
      <c r="P196" s="349">
        <v>1350</v>
      </c>
      <c r="Q196" s="236">
        <f t="shared" ref="Q196:V196" si="11">1000+350</f>
        <v>1350</v>
      </c>
      <c r="R196" s="235">
        <f t="shared" si="11"/>
        <v>1350</v>
      </c>
      <c r="S196" s="235">
        <f t="shared" si="11"/>
        <v>1350</v>
      </c>
      <c r="T196" s="235">
        <f t="shared" si="11"/>
        <v>1350</v>
      </c>
      <c r="U196" s="235">
        <f t="shared" si="11"/>
        <v>1350</v>
      </c>
      <c r="V196" s="235">
        <f t="shared" si="11"/>
        <v>1350</v>
      </c>
    </row>
    <row r="197" spans="1:22" ht="24" customHeight="1">
      <c r="A197" s="421" t="s">
        <v>166</v>
      </c>
      <c r="B197" s="337"/>
      <c r="C197" s="337"/>
      <c r="D197" s="421" t="s">
        <v>10</v>
      </c>
      <c r="E197" s="337"/>
      <c r="F197" s="337"/>
      <c r="G197" s="337"/>
      <c r="H197" s="337"/>
      <c r="I197" s="337"/>
      <c r="J197" s="337"/>
      <c r="K197" s="337"/>
      <c r="L197" s="229"/>
      <c r="M197" s="263"/>
      <c r="N197" s="348">
        <v>4222</v>
      </c>
      <c r="O197" s="348">
        <v>17989</v>
      </c>
      <c r="P197" s="349">
        <v>5000</v>
      </c>
      <c r="Q197" s="236">
        <v>8000</v>
      </c>
      <c r="R197" s="235">
        <v>8000</v>
      </c>
      <c r="S197" s="235">
        <v>8000</v>
      </c>
      <c r="T197" s="235">
        <v>8000</v>
      </c>
      <c r="U197" s="235">
        <v>8000</v>
      </c>
      <c r="V197" s="235">
        <v>8000</v>
      </c>
    </row>
    <row r="198" spans="1:22" ht="24" customHeight="1">
      <c r="A198" s="421" t="s">
        <v>165</v>
      </c>
      <c r="B198" s="337"/>
      <c r="C198" s="337"/>
      <c r="D198" s="421" t="s">
        <v>173</v>
      </c>
      <c r="E198" s="337"/>
      <c r="F198" s="337"/>
      <c r="G198" s="337"/>
      <c r="H198" s="337"/>
      <c r="I198" s="337"/>
      <c r="J198" s="337"/>
      <c r="K198" s="337"/>
      <c r="L198" s="229"/>
      <c r="M198" s="263"/>
      <c r="N198" s="348">
        <v>0</v>
      </c>
      <c r="O198" s="350">
        <v>0</v>
      </c>
      <c r="P198" s="347">
        <v>20000</v>
      </c>
      <c r="Q198" s="232">
        <v>20000</v>
      </c>
      <c r="R198" s="231">
        <v>10000</v>
      </c>
      <c r="S198" s="231">
        <v>20000</v>
      </c>
      <c r="T198" s="231">
        <v>10000</v>
      </c>
      <c r="U198" s="231">
        <v>20000</v>
      </c>
      <c r="V198" s="231">
        <v>10000</v>
      </c>
    </row>
    <row r="199" spans="1:22" ht="24" customHeight="1">
      <c r="A199" s="421" t="s">
        <v>164</v>
      </c>
      <c r="B199" s="337"/>
      <c r="C199" s="337"/>
      <c r="D199" s="421" t="s">
        <v>1381</v>
      </c>
      <c r="E199" s="337"/>
      <c r="F199" s="337"/>
      <c r="G199" s="337"/>
      <c r="H199" s="337"/>
      <c r="I199" s="337"/>
      <c r="J199" s="337"/>
      <c r="K199" s="337"/>
      <c r="L199" s="229"/>
      <c r="M199" s="247"/>
      <c r="N199" s="346">
        <v>16863</v>
      </c>
      <c r="O199" s="346">
        <v>18078</v>
      </c>
      <c r="P199" s="347">
        <v>20000</v>
      </c>
      <c r="Q199" s="232">
        <v>20000</v>
      </c>
      <c r="R199" s="231">
        <v>20000</v>
      </c>
      <c r="S199" s="231">
        <v>20000</v>
      </c>
      <c r="T199" s="231">
        <v>20000</v>
      </c>
      <c r="U199" s="231">
        <v>20000</v>
      </c>
      <c r="V199" s="231">
        <v>20000</v>
      </c>
    </row>
    <row r="200" spans="1:22" ht="24" customHeight="1">
      <c r="A200" s="421" t="s">
        <v>163</v>
      </c>
      <c r="B200" s="337"/>
      <c r="C200" s="337"/>
      <c r="D200" s="421" t="s">
        <v>172</v>
      </c>
      <c r="E200" s="337"/>
      <c r="F200" s="422"/>
      <c r="G200" s="422"/>
      <c r="H200" s="422"/>
      <c r="I200" s="422"/>
      <c r="J200" s="422"/>
      <c r="K200" s="422"/>
      <c r="L200" s="237"/>
      <c r="M200" s="247"/>
      <c r="N200" s="346">
        <v>10281</v>
      </c>
      <c r="O200" s="346">
        <v>10944</v>
      </c>
      <c r="P200" s="347">
        <v>15000</v>
      </c>
      <c r="Q200" s="232">
        <v>9666</v>
      </c>
      <c r="R200" s="231">
        <v>15000</v>
      </c>
      <c r="S200" s="231">
        <v>15000</v>
      </c>
      <c r="T200" s="231">
        <v>15000</v>
      </c>
      <c r="U200" s="231">
        <v>15000</v>
      </c>
      <c r="V200" s="231">
        <v>15000</v>
      </c>
    </row>
    <row r="201" spans="1:22" ht="24" customHeight="1">
      <c r="A201" s="421" t="s">
        <v>328</v>
      </c>
      <c r="B201" s="337"/>
      <c r="C201" s="337"/>
      <c r="D201" s="421" t="s">
        <v>183</v>
      </c>
      <c r="E201" s="337"/>
      <c r="F201" s="337"/>
      <c r="G201" s="337"/>
      <c r="H201" s="337"/>
      <c r="I201" s="337"/>
      <c r="J201" s="337"/>
      <c r="K201" s="337"/>
      <c r="L201" s="229"/>
      <c r="M201" s="247"/>
      <c r="N201" s="346">
        <v>2683</v>
      </c>
      <c r="O201" s="346">
        <v>2389</v>
      </c>
      <c r="P201" s="347">
        <v>4000</v>
      </c>
      <c r="Q201" s="232">
        <v>4000</v>
      </c>
      <c r="R201" s="231">
        <v>4000</v>
      </c>
      <c r="S201" s="231">
        <v>4000</v>
      </c>
      <c r="T201" s="231">
        <v>4000</v>
      </c>
      <c r="U201" s="231">
        <v>4000</v>
      </c>
      <c r="V201" s="231">
        <v>4000</v>
      </c>
    </row>
    <row r="202" spans="1:22" ht="24" customHeight="1">
      <c r="A202" s="421" t="s">
        <v>265</v>
      </c>
      <c r="B202" s="422"/>
      <c r="C202" s="422"/>
      <c r="D202" s="199" t="s">
        <v>1011</v>
      </c>
      <c r="E202" s="422"/>
      <c r="F202" s="337"/>
      <c r="G202" s="337"/>
      <c r="H202" s="337"/>
      <c r="I202" s="337"/>
      <c r="J202" s="337"/>
      <c r="K202" s="337"/>
      <c r="L202" s="229"/>
      <c r="M202" s="263"/>
      <c r="N202" s="348">
        <v>6660</v>
      </c>
      <c r="O202" s="348">
        <v>6660</v>
      </c>
      <c r="P202" s="349">
        <v>7000</v>
      </c>
      <c r="Q202" s="236">
        <v>6660</v>
      </c>
      <c r="R202" s="235">
        <v>7000</v>
      </c>
      <c r="S202" s="235">
        <v>7000</v>
      </c>
      <c r="T202" s="235">
        <v>7000</v>
      </c>
      <c r="U202" s="235">
        <v>7000</v>
      </c>
      <c r="V202" s="235">
        <v>7000</v>
      </c>
    </row>
    <row r="203" spans="1:22" ht="24" customHeight="1">
      <c r="A203" s="421" t="s">
        <v>910</v>
      </c>
      <c r="B203" s="422"/>
      <c r="C203" s="422"/>
      <c r="D203" s="421" t="s">
        <v>102</v>
      </c>
      <c r="E203" s="422"/>
      <c r="F203" s="337"/>
      <c r="G203" s="337"/>
      <c r="H203" s="337"/>
      <c r="I203" s="337"/>
      <c r="J203" s="337"/>
      <c r="K203" s="337"/>
      <c r="L203" s="229"/>
      <c r="M203" s="279"/>
      <c r="N203" s="351">
        <v>0</v>
      </c>
      <c r="O203" s="351">
        <v>4224</v>
      </c>
      <c r="P203" s="352">
        <v>4500</v>
      </c>
      <c r="Q203" s="242">
        <v>5304</v>
      </c>
      <c r="R203" s="241">
        <v>6500</v>
      </c>
      <c r="S203" s="241">
        <v>6500</v>
      </c>
      <c r="T203" s="241">
        <v>7000</v>
      </c>
      <c r="U203" s="241">
        <v>7000</v>
      </c>
      <c r="V203" s="241">
        <v>7000</v>
      </c>
    </row>
    <row r="204" spans="1:22" ht="24" customHeight="1">
      <c r="A204" s="421" t="s">
        <v>280</v>
      </c>
      <c r="B204" s="337"/>
      <c r="C204" s="337"/>
      <c r="D204" s="421" t="s">
        <v>1491</v>
      </c>
      <c r="E204" s="337"/>
      <c r="F204" s="337"/>
      <c r="G204" s="337"/>
      <c r="H204" s="337"/>
      <c r="I204" s="337"/>
      <c r="J204" s="337"/>
      <c r="K204" s="337"/>
      <c r="L204" s="229"/>
      <c r="M204" s="279"/>
      <c r="N204" s="351">
        <v>47161</v>
      </c>
      <c r="O204" s="351">
        <v>38130</v>
      </c>
      <c r="P204" s="352">
        <v>61000</v>
      </c>
      <c r="Q204" s="242">
        <v>61000</v>
      </c>
      <c r="R204" s="241">
        <f>47000+4000</f>
        <v>51000</v>
      </c>
      <c r="S204" s="241">
        <f>47000+4000</f>
        <v>51000</v>
      </c>
      <c r="T204" s="241">
        <f>47000+4000</f>
        <v>51000</v>
      </c>
      <c r="U204" s="241">
        <f>47000+4000</f>
        <v>51000</v>
      </c>
      <c r="V204" s="241">
        <f>47000+4000</f>
        <v>51000</v>
      </c>
    </row>
    <row r="205" spans="1:22" ht="24" customHeight="1">
      <c r="A205" s="421" t="s">
        <v>180</v>
      </c>
      <c r="B205" s="337"/>
      <c r="C205" s="337"/>
      <c r="D205" s="421" t="s">
        <v>114</v>
      </c>
      <c r="E205" s="337"/>
      <c r="F205" s="337"/>
      <c r="G205" s="337"/>
      <c r="H205" s="337"/>
      <c r="I205" s="337"/>
      <c r="J205" s="337"/>
      <c r="K205" s="337"/>
      <c r="L205" s="229"/>
      <c r="M205" s="247"/>
      <c r="N205" s="346">
        <v>10586</v>
      </c>
      <c r="O205" s="346">
        <v>17449</v>
      </c>
      <c r="P205" s="352">
        <v>16000</v>
      </c>
      <c r="Q205" s="242">
        <v>16000</v>
      </c>
      <c r="R205" s="241">
        <v>16000</v>
      </c>
      <c r="S205" s="241">
        <v>16000</v>
      </c>
      <c r="T205" s="241">
        <v>16000</v>
      </c>
      <c r="U205" s="241">
        <v>16000</v>
      </c>
      <c r="V205" s="241">
        <v>16000</v>
      </c>
    </row>
    <row r="206" spans="1:22" ht="24" customHeight="1">
      <c r="A206" s="421" t="s">
        <v>179</v>
      </c>
      <c r="B206" s="337"/>
      <c r="C206" s="337"/>
      <c r="D206" s="421" t="s">
        <v>11</v>
      </c>
      <c r="E206" s="337"/>
      <c r="F206" s="337"/>
      <c r="G206" s="337"/>
      <c r="H206" s="337"/>
      <c r="I206" s="337"/>
      <c r="J206" s="337"/>
      <c r="K206" s="337"/>
      <c r="L206" s="229"/>
      <c r="M206" s="247"/>
      <c r="N206" s="346">
        <v>2933</v>
      </c>
      <c r="O206" s="346">
        <v>2266</v>
      </c>
      <c r="P206" s="347">
        <v>4000</v>
      </c>
      <c r="Q206" s="232">
        <v>4500</v>
      </c>
      <c r="R206" s="231">
        <v>4500</v>
      </c>
      <c r="S206" s="231">
        <v>4500</v>
      </c>
      <c r="T206" s="231">
        <v>4500</v>
      </c>
      <c r="U206" s="231">
        <v>4500</v>
      </c>
      <c r="V206" s="231">
        <v>4500</v>
      </c>
    </row>
    <row r="207" spans="1:22" ht="24" customHeight="1">
      <c r="A207" s="421" t="s">
        <v>178</v>
      </c>
      <c r="B207" s="337"/>
      <c r="C207" s="337"/>
      <c r="D207" s="421" t="s">
        <v>13</v>
      </c>
      <c r="E207" s="337"/>
      <c r="F207" s="337"/>
      <c r="G207" s="337"/>
      <c r="H207" s="337"/>
      <c r="I207" s="337"/>
      <c r="J207" s="337"/>
      <c r="K207" s="337"/>
      <c r="L207" s="229"/>
      <c r="M207" s="247"/>
      <c r="N207" s="346">
        <v>7061</v>
      </c>
      <c r="O207" s="346">
        <v>6491</v>
      </c>
      <c r="P207" s="347">
        <v>8000</v>
      </c>
      <c r="Q207" s="232">
        <f t="shared" ref="Q207:V207" si="12">1000+7000</f>
        <v>8000</v>
      </c>
      <c r="R207" s="231">
        <f t="shared" si="12"/>
        <v>8000</v>
      </c>
      <c r="S207" s="231">
        <f t="shared" si="12"/>
        <v>8000</v>
      </c>
      <c r="T207" s="231">
        <f t="shared" si="12"/>
        <v>8000</v>
      </c>
      <c r="U207" s="231">
        <f t="shared" si="12"/>
        <v>8000</v>
      </c>
      <c r="V207" s="231">
        <f t="shared" si="12"/>
        <v>8000</v>
      </c>
    </row>
    <row r="208" spans="1:22" ht="24" customHeight="1">
      <c r="A208" s="421" t="s">
        <v>177</v>
      </c>
      <c r="B208" s="337"/>
      <c r="C208" s="337"/>
      <c r="D208" s="421" t="s">
        <v>304</v>
      </c>
      <c r="E208" s="337"/>
      <c r="F208" s="337"/>
      <c r="G208" s="337"/>
      <c r="H208" s="337"/>
      <c r="I208" s="337"/>
      <c r="J208" s="337"/>
      <c r="K208" s="337"/>
      <c r="L208" s="229"/>
      <c r="M208" s="247"/>
      <c r="N208" s="346">
        <v>5032</v>
      </c>
      <c r="O208" s="346">
        <v>8405</v>
      </c>
      <c r="P208" s="347">
        <v>7000</v>
      </c>
      <c r="Q208" s="232">
        <v>6000</v>
      </c>
      <c r="R208" s="231">
        <v>7000</v>
      </c>
      <c r="S208" s="231">
        <v>7000</v>
      </c>
      <c r="T208" s="231">
        <v>7000</v>
      </c>
      <c r="U208" s="231">
        <v>7000</v>
      </c>
      <c r="V208" s="231">
        <v>7000</v>
      </c>
    </row>
    <row r="209" spans="1:25" ht="24" customHeight="1">
      <c r="A209" s="421" t="s">
        <v>279</v>
      </c>
      <c r="B209" s="337"/>
      <c r="C209" s="337"/>
      <c r="D209" s="421" t="s">
        <v>1490</v>
      </c>
      <c r="E209" s="337"/>
      <c r="F209" s="337"/>
      <c r="G209" s="337"/>
      <c r="H209" s="337"/>
      <c r="I209" s="337"/>
      <c r="J209" s="337"/>
      <c r="K209" s="337"/>
      <c r="L209" s="229"/>
      <c r="M209" s="263"/>
      <c r="N209" s="348">
        <v>6569</v>
      </c>
      <c r="O209" s="348">
        <v>12821</v>
      </c>
      <c r="P209" s="349">
        <v>12250</v>
      </c>
      <c r="Q209" s="236">
        <v>12000</v>
      </c>
      <c r="R209" s="235">
        <f>9750+2500</f>
        <v>12250</v>
      </c>
      <c r="S209" s="235">
        <f>9750+2500</f>
        <v>12250</v>
      </c>
      <c r="T209" s="235">
        <f>9750+2500</f>
        <v>12250</v>
      </c>
      <c r="U209" s="235">
        <f>9750+2500</f>
        <v>12250</v>
      </c>
      <c r="V209" s="235">
        <f>9750+2500</f>
        <v>12250</v>
      </c>
    </row>
    <row r="210" spans="1:25" ht="24" customHeight="1">
      <c r="A210" s="421" t="s">
        <v>1012</v>
      </c>
      <c r="B210" s="337"/>
      <c r="C210" s="337"/>
      <c r="D210" s="421" t="s">
        <v>1013</v>
      </c>
      <c r="E210" s="337"/>
      <c r="F210" s="337"/>
      <c r="G210" s="337"/>
      <c r="H210" s="337"/>
      <c r="I210" s="337"/>
      <c r="J210" s="337"/>
      <c r="K210" s="337"/>
      <c r="L210" s="229"/>
      <c r="M210" s="263"/>
      <c r="N210" s="348">
        <v>3020</v>
      </c>
      <c r="O210" s="348">
        <v>77</v>
      </c>
      <c r="P210" s="349">
        <v>7370</v>
      </c>
      <c r="Q210" s="236">
        <v>1000</v>
      </c>
      <c r="R210" s="235">
        <v>7370</v>
      </c>
      <c r="S210" s="235">
        <v>7370</v>
      </c>
      <c r="T210" s="235">
        <v>7370</v>
      </c>
      <c r="U210" s="235">
        <v>7370</v>
      </c>
      <c r="V210" s="235">
        <v>7370</v>
      </c>
    </row>
    <row r="211" spans="1:25" ht="24" customHeight="1">
      <c r="A211" s="421" t="s">
        <v>287</v>
      </c>
      <c r="B211" s="337"/>
      <c r="C211" s="337"/>
      <c r="D211" s="421" t="s">
        <v>288</v>
      </c>
      <c r="E211" s="337"/>
      <c r="F211" s="337"/>
      <c r="G211" s="337"/>
      <c r="H211" s="337"/>
      <c r="I211" s="337"/>
      <c r="J211" s="337"/>
      <c r="K211" s="337"/>
      <c r="L211" s="229"/>
      <c r="M211" s="247"/>
      <c r="N211" s="346">
        <v>5566</v>
      </c>
      <c r="O211" s="346">
        <v>4314</v>
      </c>
      <c r="P211" s="347">
        <v>4200</v>
      </c>
      <c r="Q211" s="232">
        <v>4200</v>
      </c>
      <c r="R211" s="231">
        <v>4200</v>
      </c>
      <c r="S211" s="231">
        <v>4200</v>
      </c>
      <c r="T211" s="231">
        <v>4200</v>
      </c>
      <c r="U211" s="231">
        <v>4200</v>
      </c>
      <c r="V211" s="231">
        <v>4200</v>
      </c>
    </row>
    <row r="212" spans="1:25" ht="24" customHeight="1">
      <c r="A212" s="421" t="s">
        <v>176</v>
      </c>
      <c r="B212" s="337"/>
      <c r="C212" s="337"/>
      <c r="D212" s="421" t="s">
        <v>182</v>
      </c>
      <c r="E212" s="337"/>
      <c r="F212" s="337"/>
      <c r="G212" s="337"/>
      <c r="H212" s="337"/>
      <c r="I212" s="337"/>
      <c r="J212" s="337"/>
      <c r="K212" s="337"/>
      <c r="L212" s="229"/>
      <c r="M212" s="247"/>
      <c r="N212" s="346">
        <v>70080</v>
      </c>
      <c r="O212" s="348">
        <v>79977</v>
      </c>
      <c r="P212" s="349">
        <v>90950</v>
      </c>
      <c r="Q212" s="236">
        <v>85000</v>
      </c>
      <c r="R212" s="235">
        <v>90950</v>
      </c>
      <c r="S212" s="235">
        <v>97317</v>
      </c>
      <c r="T212" s="235">
        <v>104129</v>
      </c>
      <c r="U212" s="235">
        <v>111418</v>
      </c>
      <c r="V212" s="235">
        <v>119217</v>
      </c>
    </row>
    <row r="213" spans="1:25" ht="24" customHeight="1">
      <c r="A213" s="421" t="s">
        <v>175</v>
      </c>
      <c r="B213" s="337"/>
      <c r="C213" s="337"/>
      <c r="D213" s="421" t="s">
        <v>181</v>
      </c>
      <c r="E213" s="337"/>
      <c r="F213" s="337"/>
      <c r="G213" s="337"/>
      <c r="H213" s="337"/>
      <c r="I213" s="337"/>
      <c r="J213" s="337"/>
      <c r="K213" s="337"/>
      <c r="L213" s="229"/>
      <c r="M213" s="249"/>
      <c r="N213" s="356">
        <v>1995</v>
      </c>
      <c r="O213" s="356">
        <v>1223</v>
      </c>
      <c r="P213" s="367">
        <v>2000</v>
      </c>
      <c r="Q213" s="268">
        <v>2000</v>
      </c>
      <c r="R213" s="250">
        <v>3000</v>
      </c>
      <c r="S213" s="250">
        <v>3000</v>
      </c>
      <c r="T213" s="250">
        <v>3000</v>
      </c>
      <c r="U213" s="250">
        <v>3000</v>
      </c>
      <c r="V213" s="250">
        <v>3000</v>
      </c>
    </row>
    <row r="214" spans="1:25" s="337" customFormat="1" ht="24" customHeight="1">
      <c r="A214" s="421"/>
      <c r="D214" s="421"/>
      <c r="L214" s="451"/>
      <c r="M214" s="454"/>
      <c r="N214" s="376">
        <f t="shared" ref="N214:V214" si="13">SUM(N171:N213)</f>
        <v>2878820</v>
      </c>
      <c r="O214" s="376">
        <f t="shared" si="13"/>
        <v>2846420</v>
      </c>
      <c r="P214" s="375">
        <f>SUM(P171:P213)</f>
        <v>3840577</v>
      </c>
      <c r="Q214" s="375">
        <f t="shared" si="13"/>
        <v>3742426</v>
      </c>
      <c r="R214" s="376">
        <f t="shared" si="13"/>
        <v>4140047</v>
      </c>
      <c r="S214" s="376">
        <f t="shared" si="13"/>
        <v>4283218</v>
      </c>
      <c r="T214" s="376">
        <f t="shared" si="13"/>
        <v>4403125</v>
      </c>
      <c r="U214" s="376">
        <f t="shared" si="13"/>
        <v>4476640</v>
      </c>
      <c r="V214" s="376">
        <f t="shared" si="13"/>
        <v>4555196</v>
      </c>
    </row>
    <row r="215" spans="1:25" ht="15" customHeight="1">
      <c r="A215" s="421"/>
      <c r="B215" s="337"/>
      <c r="C215" s="337"/>
      <c r="D215" s="421"/>
      <c r="E215" s="337"/>
      <c r="F215" s="337"/>
      <c r="G215" s="337"/>
      <c r="H215" s="337"/>
      <c r="I215" s="337"/>
      <c r="J215" s="337"/>
      <c r="K215" s="337"/>
      <c r="L215" s="229"/>
      <c r="M215" s="247"/>
      <c r="N215" s="346"/>
      <c r="O215" s="346"/>
      <c r="P215" s="347"/>
      <c r="Q215" s="232"/>
      <c r="R215" s="231"/>
      <c r="S215" s="231"/>
      <c r="T215" s="231"/>
      <c r="U215" s="231"/>
      <c r="V215" s="231"/>
    </row>
    <row r="216" spans="1:25" ht="24" customHeight="1">
      <c r="A216" s="425" t="s">
        <v>842</v>
      </c>
      <c r="B216" s="337"/>
      <c r="C216" s="337"/>
      <c r="D216" s="337"/>
      <c r="E216" s="337"/>
      <c r="F216" s="337"/>
      <c r="G216" s="337"/>
      <c r="H216" s="337"/>
      <c r="I216" s="337"/>
      <c r="J216" s="337"/>
      <c r="K216" s="337"/>
      <c r="L216" s="229"/>
      <c r="N216" s="359"/>
      <c r="O216" s="359"/>
      <c r="P216" s="360"/>
      <c r="Q216" s="255"/>
      <c r="R216" s="254"/>
      <c r="S216" s="254"/>
      <c r="T216" s="254"/>
      <c r="U216" s="254"/>
      <c r="V216" s="254"/>
    </row>
    <row r="217" spans="1:25" ht="24" customHeight="1">
      <c r="A217" s="421" t="s">
        <v>184</v>
      </c>
      <c r="B217" s="422"/>
      <c r="C217" s="422"/>
      <c r="D217" s="421" t="s">
        <v>1238</v>
      </c>
      <c r="E217" s="422"/>
      <c r="F217" s="422"/>
      <c r="G217" s="422"/>
      <c r="H217" s="422"/>
      <c r="I217" s="422"/>
      <c r="J217" s="422"/>
      <c r="K217" s="422"/>
      <c r="L217" s="237"/>
      <c r="M217" s="263"/>
      <c r="N217" s="348">
        <v>269607</v>
      </c>
      <c r="O217" s="348">
        <v>188249</v>
      </c>
      <c r="P217" s="349">
        <v>195000</v>
      </c>
      <c r="Q217" s="236">
        <v>190000</v>
      </c>
      <c r="R217" s="235">
        <v>195666</v>
      </c>
      <c r="S217" s="235">
        <v>195666</v>
      </c>
      <c r="T217" s="235">
        <v>195666</v>
      </c>
      <c r="U217" s="235">
        <v>195666</v>
      </c>
      <c r="V217" s="235">
        <v>195666</v>
      </c>
    </row>
    <row r="218" spans="1:25" ht="24" customHeight="1">
      <c r="A218" s="421" t="s">
        <v>862</v>
      </c>
      <c r="B218" s="424"/>
      <c r="C218" s="424"/>
      <c r="D218" s="421" t="s">
        <v>83</v>
      </c>
      <c r="E218" s="424"/>
      <c r="F218" s="424"/>
      <c r="G218" s="422"/>
      <c r="H218" s="422"/>
      <c r="I218" s="422"/>
      <c r="J218" s="422"/>
      <c r="K218" s="422"/>
      <c r="L218" s="237"/>
      <c r="M218" s="263"/>
      <c r="N218" s="348">
        <v>0</v>
      </c>
      <c r="O218" s="348">
        <v>0</v>
      </c>
      <c r="P218" s="349">
        <v>53000</v>
      </c>
      <c r="Q218" s="236">
        <v>30000</v>
      </c>
      <c r="R218" s="235">
        <v>30000</v>
      </c>
      <c r="S218" s="235">
        <v>30000</v>
      </c>
      <c r="T218" s="235">
        <v>30000</v>
      </c>
      <c r="U218" s="235">
        <v>30000</v>
      </c>
      <c r="V218" s="235">
        <v>30000</v>
      </c>
      <c r="Y218" s="280"/>
    </row>
    <row r="219" spans="1:25" ht="24" customHeight="1">
      <c r="A219" s="421" t="s">
        <v>186</v>
      </c>
      <c r="B219" s="422"/>
      <c r="C219" s="422"/>
      <c r="D219" s="421" t="s">
        <v>8</v>
      </c>
      <c r="E219" s="422"/>
      <c r="F219" s="422"/>
      <c r="G219" s="422"/>
      <c r="H219" s="422"/>
      <c r="I219" s="422"/>
      <c r="J219" s="422"/>
      <c r="K219" s="422"/>
      <c r="L219" s="237"/>
      <c r="M219" s="263"/>
      <c r="N219" s="348">
        <v>24175</v>
      </c>
      <c r="O219" s="348">
        <v>17492</v>
      </c>
      <c r="P219" s="349">
        <v>26227</v>
      </c>
      <c r="Q219" s="236">
        <v>21500</v>
      </c>
      <c r="R219" s="235">
        <v>21685</v>
      </c>
      <c r="S219" s="235">
        <v>21685</v>
      </c>
      <c r="T219" s="235">
        <v>21685</v>
      </c>
      <c r="U219" s="235">
        <v>21685</v>
      </c>
      <c r="V219" s="235">
        <v>21685</v>
      </c>
    </row>
    <row r="220" spans="1:25" ht="24" customHeight="1">
      <c r="A220" s="421" t="s">
        <v>185</v>
      </c>
      <c r="B220" s="337"/>
      <c r="C220" s="337"/>
      <c r="D220" s="421" t="s">
        <v>9</v>
      </c>
      <c r="E220" s="337"/>
      <c r="F220" s="337"/>
      <c r="G220" s="337"/>
      <c r="H220" s="337"/>
      <c r="I220" s="337"/>
      <c r="J220" s="337"/>
      <c r="K220" s="337"/>
      <c r="L220" s="229"/>
      <c r="M220" s="263"/>
      <c r="N220" s="348">
        <v>19586</v>
      </c>
      <c r="O220" s="348">
        <v>13968</v>
      </c>
      <c r="P220" s="349">
        <v>19000</v>
      </c>
      <c r="Q220" s="236">
        <v>17000</v>
      </c>
      <c r="R220" s="235">
        <v>16953</v>
      </c>
      <c r="S220" s="235">
        <v>16953</v>
      </c>
      <c r="T220" s="235">
        <v>16953</v>
      </c>
      <c r="U220" s="235">
        <v>16953</v>
      </c>
      <c r="V220" s="235">
        <v>16953</v>
      </c>
    </row>
    <row r="221" spans="1:25" ht="24" customHeight="1">
      <c r="A221" s="421" t="s">
        <v>801</v>
      </c>
      <c r="B221" s="337"/>
      <c r="C221" s="337"/>
      <c r="D221" s="421" t="s">
        <v>14</v>
      </c>
      <c r="E221" s="337"/>
      <c r="F221" s="337"/>
      <c r="G221" s="337"/>
      <c r="H221" s="337"/>
      <c r="I221" s="337"/>
      <c r="J221" s="337"/>
      <c r="K221" s="337"/>
      <c r="L221" s="229"/>
      <c r="M221" s="247"/>
      <c r="N221" s="346">
        <v>0</v>
      </c>
      <c r="O221" s="350">
        <v>0</v>
      </c>
      <c r="P221" s="353">
        <v>59499</v>
      </c>
      <c r="Q221" s="243">
        <v>50000</v>
      </c>
      <c r="R221" s="239">
        <v>50430</v>
      </c>
      <c r="S221" s="241">
        <v>55473</v>
      </c>
      <c r="T221" s="241">
        <v>61020</v>
      </c>
      <c r="U221" s="241">
        <v>64682</v>
      </c>
      <c r="V221" s="241">
        <v>68562</v>
      </c>
    </row>
    <row r="222" spans="1:25" ht="24" customHeight="1">
      <c r="A222" s="421" t="s">
        <v>802</v>
      </c>
      <c r="B222" s="337"/>
      <c r="C222" s="337"/>
      <c r="D222" s="421" t="s">
        <v>229</v>
      </c>
      <c r="E222" s="337"/>
      <c r="F222" s="337"/>
      <c r="G222" s="337"/>
      <c r="H222" s="337"/>
      <c r="I222" s="337"/>
      <c r="J222" s="337"/>
      <c r="K222" s="337"/>
      <c r="L222" s="229"/>
      <c r="M222" s="247"/>
      <c r="N222" s="346">
        <v>0</v>
      </c>
      <c r="O222" s="350">
        <v>0</v>
      </c>
      <c r="P222" s="353">
        <v>461</v>
      </c>
      <c r="Q222" s="243">
        <v>511</v>
      </c>
      <c r="R222" s="239">
        <v>325</v>
      </c>
      <c r="S222" s="241">
        <v>328</v>
      </c>
      <c r="T222" s="241">
        <v>332</v>
      </c>
      <c r="U222" s="241">
        <v>335</v>
      </c>
      <c r="V222" s="241">
        <v>338</v>
      </c>
    </row>
    <row r="223" spans="1:25" ht="24" customHeight="1">
      <c r="A223" s="421" t="s">
        <v>803</v>
      </c>
      <c r="B223" s="337"/>
      <c r="C223" s="337"/>
      <c r="D223" s="421" t="s">
        <v>819</v>
      </c>
      <c r="E223" s="337"/>
      <c r="F223" s="337"/>
      <c r="G223" s="337"/>
      <c r="H223" s="337"/>
      <c r="I223" s="337"/>
      <c r="J223" s="337"/>
      <c r="K223" s="337"/>
      <c r="L223" s="229"/>
      <c r="M223" s="247"/>
      <c r="N223" s="346">
        <v>0</v>
      </c>
      <c r="O223" s="350">
        <v>0</v>
      </c>
      <c r="P223" s="353">
        <v>4139</v>
      </c>
      <c r="Q223" s="243">
        <v>3500</v>
      </c>
      <c r="R223" s="239">
        <v>3605</v>
      </c>
      <c r="S223" s="241">
        <v>3966</v>
      </c>
      <c r="T223" s="241">
        <v>4362</v>
      </c>
      <c r="U223" s="241">
        <v>4624</v>
      </c>
      <c r="V223" s="241">
        <v>4901</v>
      </c>
    </row>
    <row r="224" spans="1:25" ht="24" customHeight="1">
      <c r="A224" s="421" t="s">
        <v>825</v>
      </c>
      <c r="B224" s="337"/>
      <c r="C224" s="337"/>
      <c r="D224" s="421" t="s">
        <v>821</v>
      </c>
      <c r="E224" s="337"/>
      <c r="F224" s="337"/>
      <c r="G224" s="337"/>
      <c r="H224" s="337"/>
      <c r="I224" s="337"/>
      <c r="J224" s="337"/>
      <c r="K224" s="337"/>
      <c r="L224" s="229"/>
      <c r="M224" s="247"/>
      <c r="N224" s="346">
        <v>0</v>
      </c>
      <c r="O224" s="350">
        <v>0</v>
      </c>
      <c r="P224" s="353">
        <v>471</v>
      </c>
      <c r="Q224" s="243">
        <v>400</v>
      </c>
      <c r="R224" s="239">
        <v>379</v>
      </c>
      <c r="S224" s="241">
        <v>417</v>
      </c>
      <c r="T224" s="241">
        <v>459</v>
      </c>
      <c r="U224" s="241">
        <v>486</v>
      </c>
      <c r="V224" s="241">
        <v>515</v>
      </c>
    </row>
    <row r="225" spans="1:22" ht="24" customHeight="1">
      <c r="A225" s="421" t="s">
        <v>194</v>
      </c>
      <c r="B225" s="422"/>
      <c r="C225" s="422"/>
      <c r="D225" s="421" t="s">
        <v>108</v>
      </c>
      <c r="E225" s="422"/>
      <c r="F225" s="422"/>
      <c r="G225" s="422"/>
      <c r="H225" s="422"/>
      <c r="I225" s="422"/>
      <c r="J225" s="422"/>
      <c r="K225" s="422"/>
      <c r="L225" s="237"/>
      <c r="M225" s="247"/>
      <c r="N225" s="346">
        <v>115</v>
      </c>
      <c r="O225" s="346">
        <v>1144</v>
      </c>
      <c r="P225" s="347">
        <v>1500</v>
      </c>
      <c r="Q225" s="232">
        <f>1500+263</f>
        <v>1763</v>
      </c>
      <c r="R225" s="231">
        <v>2000</v>
      </c>
      <c r="S225" s="231">
        <v>2000</v>
      </c>
      <c r="T225" s="231">
        <v>2000</v>
      </c>
      <c r="U225" s="231">
        <v>2000</v>
      </c>
      <c r="V225" s="231">
        <v>2000</v>
      </c>
    </row>
    <row r="226" spans="1:22" ht="24" customHeight="1">
      <c r="A226" s="421" t="s">
        <v>193</v>
      </c>
      <c r="B226" s="337"/>
      <c r="C226" s="337"/>
      <c r="D226" s="421" t="s">
        <v>1487</v>
      </c>
      <c r="E226" s="337"/>
      <c r="F226" s="337"/>
      <c r="G226" s="337"/>
      <c r="H226" s="337"/>
      <c r="I226" s="337"/>
      <c r="J226" s="337"/>
      <c r="K226" s="337"/>
      <c r="L226" s="229"/>
      <c r="M226" s="247"/>
      <c r="N226" s="346">
        <v>0</v>
      </c>
      <c r="O226" s="346">
        <v>573</v>
      </c>
      <c r="P226" s="347">
        <v>1000</v>
      </c>
      <c r="Q226" s="232">
        <v>1000</v>
      </c>
      <c r="R226" s="231">
        <v>1500</v>
      </c>
      <c r="S226" s="231">
        <v>1500</v>
      </c>
      <c r="T226" s="231">
        <v>1500</v>
      </c>
      <c r="U226" s="231">
        <v>1500</v>
      </c>
      <c r="V226" s="231">
        <v>1500</v>
      </c>
    </row>
    <row r="227" spans="1:22" ht="24" customHeight="1">
      <c r="A227" s="421" t="s">
        <v>192</v>
      </c>
      <c r="B227" s="422"/>
      <c r="C227" s="422"/>
      <c r="D227" s="421" t="s">
        <v>107</v>
      </c>
      <c r="E227" s="422"/>
      <c r="F227" s="422"/>
      <c r="G227" s="422"/>
      <c r="H227" s="422"/>
      <c r="I227" s="422"/>
      <c r="J227" s="422"/>
      <c r="K227" s="422"/>
      <c r="L227" s="237"/>
      <c r="M227" s="247"/>
      <c r="N227" s="346">
        <v>87</v>
      </c>
      <c r="O227" s="346">
        <v>185</v>
      </c>
      <c r="P227" s="347">
        <v>500</v>
      </c>
      <c r="Q227" s="232">
        <v>500</v>
      </c>
      <c r="R227" s="231">
        <f>150+350</f>
        <v>500</v>
      </c>
      <c r="S227" s="231">
        <f>150+350</f>
        <v>500</v>
      </c>
      <c r="T227" s="231">
        <f>150+350</f>
        <v>500</v>
      </c>
      <c r="U227" s="231">
        <f>150+350</f>
        <v>500</v>
      </c>
      <c r="V227" s="231">
        <f>150+350</f>
        <v>500</v>
      </c>
    </row>
    <row r="228" spans="1:22" ht="24" customHeight="1">
      <c r="A228" s="421" t="s">
        <v>191</v>
      </c>
      <c r="B228" s="337"/>
      <c r="C228" s="337"/>
      <c r="D228" s="421" t="s">
        <v>1488</v>
      </c>
      <c r="E228" s="337"/>
      <c r="F228" s="337"/>
      <c r="G228" s="337"/>
      <c r="H228" s="337"/>
      <c r="I228" s="337"/>
      <c r="J228" s="337"/>
      <c r="K228" s="337"/>
      <c r="L228" s="229"/>
      <c r="M228" s="247"/>
      <c r="N228" s="346">
        <v>1062</v>
      </c>
      <c r="O228" s="348">
        <v>994</v>
      </c>
      <c r="P228" s="349">
        <v>4250</v>
      </c>
      <c r="Q228" s="236">
        <f t="shared" ref="Q228:V228" si="14">3000+3600-350-2000</f>
        <v>4250</v>
      </c>
      <c r="R228" s="235">
        <f t="shared" si="14"/>
        <v>4250</v>
      </c>
      <c r="S228" s="235">
        <f t="shared" si="14"/>
        <v>4250</v>
      </c>
      <c r="T228" s="235">
        <f t="shared" si="14"/>
        <v>4250</v>
      </c>
      <c r="U228" s="235">
        <f t="shared" si="14"/>
        <v>4250</v>
      </c>
      <c r="V228" s="235">
        <f t="shared" si="14"/>
        <v>4250</v>
      </c>
    </row>
    <row r="229" spans="1:22" ht="24" customHeight="1">
      <c r="A229" s="421" t="s">
        <v>190</v>
      </c>
      <c r="B229" s="422"/>
      <c r="C229" s="422"/>
      <c r="D229" s="421" t="s">
        <v>294</v>
      </c>
      <c r="E229" s="422"/>
      <c r="F229" s="422"/>
      <c r="G229" s="422"/>
      <c r="H229" s="422"/>
      <c r="I229" s="422"/>
      <c r="J229" s="422"/>
      <c r="K229" s="422"/>
      <c r="L229" s="237"/>
      <c r="M229" s="247"/>
      <c r="N229" s="346">
        <v>1318</v>
      </c>
      <c r="O229" s="346">
        <v>1736</v>
      </c>
      <c r="P229" s="347">
        <v>1500</v>
      </c>
      <c r="Q229" s="232">
        <v>2400</v>
      </c>
      <c r="R229" s="231">
        <v>3000</v>
      </c>
      <c r="S229" s="231">
        <v>3000</v>
      </c>
      <c r="T229" s="231">
        <v>3000</v>
      </c>
      <c r="U229" s="231">
        <v>3000</v>
      </c>
      <c r="V229" s="231">
        <v>3000</v>
      </c>
    </row>
    <row r="230" spans="1:22" ht="24" customHeight="1">
      <c r="A230" s="421" t="s">
        <v>189</v>
      </c>
      <c r="B230" s="337"/>
      <c r="C230" s="337"/>
      <c r="D230" s="421" t="s">
        <v>106</v>
      </c>
      <c r="E230" s="337"/>
      <c r="F230" s="337"/>
      <c r="G230" s="337"/>
      <c r="H230" s="337"/>
      <c r="I230" s="337"/>
      <c r="J230" s="337"/>
      <c r="K230" s="337"/>
      <c r="L230" s="229"/>
      <c r="M230" s="247"/>
      <c r="N230" s="346">
        <v>230</v>
      </c>
      <c r="O230" s="348">
        <v>719</v>
      </c>
      <c r="P230" s="349">
        <v>500</v>
      </c>
      <c r="Q230" s="236">
        <v>1000</v>
      </c>
      <c r="R230" s="235">
        <v>1000</v>
      </c>
      <c r="S230" s="235">
        <v>1000</v>
      </c>
      <c r="T230" s="235">
        <v>1000</v>
      </c>
      <c r="U230" s="235">
        <v>1000</v>
      </c>
      <c r="V230" s="235">
        <v>1000</v>
      </c>
    </row>
    <row r="231" spans="1:22" ht="24" customHeight="1">
      <c r="A231" s="421" t="s">
        <v>297</v>
      </c>
      <c r="B231" s="337"/>
      <c r="C231" s="337"/>
      <c r="D231" s="421" t="s">
        <v>298</v>
      </c>
      <c r="E231" s="337"/>
      <c r="F231" s="337"/>
      <c r="G231" s="337"/>
      <c r="H231" s="337"/>
      <c r="I231" s="337"/>
      <c r="J231" s="337"/>
      <c r="K231" s="337"/>
      <c r="L231" s="229"/>
      <c r="M231" s="247"/>
      <c r="N231" s="346">
        <v>17387</v>
      </c>
      <c r="O231" s="346">
        <v>26060</v>
      </c>
      <c r="P231" s="347">
        <v>25000</v>
      </c>
      <c r="Q231" s="232">
        <v>0</v>
      </c>
      <c r="R231" s="231">
        <v>10000</v>
      </c>
      <c r="S231" s="231">
        <v>10000</v>
      </c>
      <c r="T231" s="231">
        <v>10000</v>
      </c>
      <c r="U231" s="231">
        <v>10000</v>
      </c>
      <c r="V231" s="231">
        <v>10000</v>
      </c>
    </row>
    <row r="232" spans="1:22" ht="24" customHeight="1">
      <c r="A232" s="421" t="s">
        <v>268</v>
      </c>
      <c r="B232" s="422"/>
      <c r="C232" s="422"/>
      <c r="D232" s="421" t="s">
        <v>1489</v>
      </c>
      <c r="E232" s="422"/>
      <c r="F232" s="422"/>
      <c r="G232" s="337"/>
      <c r="H232" s="337"/>
      <c r="I232" s="337"/>
      <c r="J232" s="337"/>
      <c r="K232" s="337"/>
      <c r="L232" s="229"/>
      <c r="M232" s="247"/>
      <c r="N232" s="346">
        <v>1016</v>
      </c>
      <c r="O232" s="346">
        <v>1075</v>
      </c>
      <c r="P232" s="347">
        <f>1500</f>
        <v>1500</v>
      </c>
      <c r="Q232" s="232">
        <v>2804</v>
      </c>
      <c r="R232" s="231">
        <v>2000</v>
      </c>
      <c r="S232" s="231">
        <v>2000</v>
      </c>
      <c r="T232" s="231">
        <v>2000</v>
      </c>
      <c r="U232" s="231">
        <v>2000</v>
      </c>
      <c r="V232" s="231">
        <v>2000</v>
      </c>
    </row>
    <row r="233" spans="1:22" ht="24" customHeight="1">
      <c r="A233" s="421" t="s">
        <v>188</v>
      </c>
      <c r="B233" s="337"/>
      <c r="C233" s="337"/>
      <c r="D233" s="421" t="s">
        <v>10</v>
      </c>
      <c r="E233" s="337"/>
      <c r="F233" s="337"/>
      <c r="G233" s="337"/>
      <c r="H233" s="337"/>
      <c r="I233" s="337"/>
      <c r="J233" s="337"/>
      <c r="K233" s="337"/>
      <c r="L233" s="229"/>
      <c r="M233" s="247"/>
      <c r="N233" s="346">
        <f>1738</f>
        <v>1738</v>
      </c>
      <c r="O233" s="346">
        <v>1026</v>
      </c>
      <c r="P233" s="347">
        <v>6000</v>
      </c>
      <c r="Q233" s="232">
        <v>6000</v>
      </c>
      <c r="R233" s="231">
        <v>6000</v>
      </c>
      <c r="S233" s="231">
        <v>6000</v>
      </c>
      <c r="T233" s="231">
        <v>6000</v>
      </c>
      <c r="U233" s="231">
        <v>6000</v>
      </c>
      <c r="V233" s="231">
        <v>6000</v>
      </c>
    </row>
    <row r="234" spans="1:22" ht="24" customHeight="1">
      <c r="A234" s="421" t="s">
        <v>187</v>
      </c>
      <c r="B234" s="422"/>
      <c r="C234" s="422"/>
      <c r="D234" s="421" t="s">
        <v>173</v>
      </c>
      <c r="E234" s="422"/>
      <c r="F234" s="422"/>
      <c r="G234" s="422"/>
      <c r="H234" s="422"/>
      <c r="I234" s="422"/>
      <c r="J234" s="422"/>
      <c r="K234" s="422"/>
      <c r="L234" s="237"/>
      <c r="M234" s="247"/>
      <c r="N234" s="346">
        <v>1777</v>
      </c>
      <c r="O234" s="346">
        <v>3511</v>
      </c>
      <c r="P234" s="347">
        <v>2000</v>
      </c>
      <c r="Q234" s="232">
        <v>2000</v>
      </c>
      <c r="R234" s="231">
        <v>2000</v>
      </c>
      <c r="S234" s="231">
        <v>2000</v>
      </c>
      <c r="T234" s="231">
        <v>2000</v>
      </c>
      <c r="U234" s="231">
        <v>2000</v>
      </c>
      <c r="V234" s="231">
        <v>2000</v>
      </c>
    </row>
    <row r="235" spans="1:22" ht="24" customHeight="1">
      <c r="A235" s="421" t="s">
        <v>911</v>
      </c>
      <c r="B235" s="422"/>
      <c r="C235" s="422"/>
      <c r="D235" s="421" t="s">
        <v>102</v>
      </c>
      <c r="E235" s="422"/>
      <c r="F235" s="422"/>
      <c r="G235" s="422"/>
      <c r="H235" s="422"/>
      <c r="I235" s="422"/>
      <c r="J235" s="422"/>
      <c r="K235" s="422"/>
      <c r="L235" s="237"/>
      <c r="M235" s="247"/>
      <c r="N235" s="346">
        <v>0</v>
      </c>
      <c r="O235" s="346">
        <v>1638</v>
      </c>
      <c r="P235" s="347">
        <v>3600</v>
      </c>
      <c r="Q235" s="232">
        <v>3000</v>
      </c>
      <c r="R235" s="231">
        <v>2700</v>
      </c>
      <c r="S235" s="231">
        <v>2700</v>
      </c>
      <c r="T235" s="231">
        <v>2900</v>
      </c>
      <c r="U235" s="231">
        <v>2900</v>
      </c>
      <c r="V235" s="231">
        <v>2900</v>
      </c>
    </row>
    <row r="236" spans="1:22" ht="24" customHeight="1">
      <c r="A236" s="421" t="s">
        <v>267</v>
      </c>
      <c r="B236" s="337"/>
      <c r="C236" s="337"/>
      <c r="D236" s="421" t="s">
        <v>19</v>
      </c>
      <c r="E236" s="337"/>
      <c r="F236" s="337"/>
      <c r="G236" s="422"/>
      <c r="H236" s="422"/>
      <c r="I236" s="422"/>
      <c r="J236" s="422"/>
      <c r="K236" s="422"/>
      <c r="L236" s="237"/>
      <c r="M236" s="263"/>
      <c r="N236" s="348">
        <v>45000</v>
      </c>
      <c r="O236" s="348">
        <v>45000</v>
      </c>
      <c r="P236" s="349">
        <v>45000</v>
      </c>
      <c r="Q236" s="236">
        <v>45000</v>
      </c>
      <c r="R236" s="235">
        <v>46800</v>
      </c>
      <c r="S236" s="235">
        <v>48672</v>
      </c>
      <c r="T236" s="235">
        <v>50619</v>
      </c>
      <c r="U236" s="235">
        <v>52644</v>
      </c>
      <c r="V236" s="235">
        <v>54749</v>
      </c>
    </row>
    <row r="237" spans="1:22" ht="24" customHeight="1">
      <c r="A237" s="421" t="s">
        <v>199</v>
      </c>
      <c r="B237" s="422"/>
      <c r="C237" s="422"/>
      <c r="D237" s="421" t="s">
        <v>11</v>
      </c>
      <c r="E237" s="422"/>
      <c r="F237" s="422"/>
      <c r="G237" s="422"/>
      <c r="H237" s="422"/>
      <c r="I237" s="422"/>
      <c r="J237" s="422"/>
      <c r="K237" s="422"/>
      <c r="L237" s="237"/>
      <c r="M237" s="247"/>
      <c r="N237" s="346">
        <v>469</v>
      </c>
      <c r="O237" s="346">
        <v>311</v>
      </c>
      <c r="P237" s="347">
        <v>500</v>
      </c>
      <c r="Q237" s="232">
        <v>500</v>
      </c>
      <c r="R237" s="231">
        <v>500</v>
      </c>
      <c r="S237" s="231">
        <v>500</v>
      </c>
      <c r="T237" s="231">
        <v>500</v>
      </c>
      <c r="U237" s="231">
        <v>500</v>
      </c>
      <c r="V237" s="231">
        <v>500</v>
      </c>
    </row>
    <row r="238" spans="1:22" ht="24" customHeight="1">
      <c r="A238" s="421" t="s">
        <v>198</v>
      </c>
      <c r="B238" s="337"/>
      <c r="C238" s="337"/>
      <c r="D238" s="421" t="s">
        <v>13</v>
      </c>
      <c r="E238" s="337"/>
      <c r="F238" s="337"/>
      <c r="G238" s="337"/>
      <c r="H238" s="337"/>
      <c r="I238" s="337"/>
      <c r="J238" s="337"/>
      <c r="K238" s="337"/>
      <c r="L238" s="229"/>
      <c r="M238" s="247"/>
      <c r="N238" s="346">
        <v>712</v>
      </c>
      <c r="O238" s="346">
        <v>2928</v>
      </c>
      <c r="P238" s="347">
        <v>3000</v>
      </c>
      <c r="Q238" s="232">
        <v>3000</v>
      </c>
      <c r="R238" s="231">
        <v>3000</v>
      </c>
      <c r="S238" s="231">
        <v>3000</v>
      </c>
      <c r="T238" s="231">
        <v>3000</v>
      </c>
      <c r="U238" s="231">
        <v>3000</v>
      </c>
      <c r="V238" s="231">
        <v>3000</v>
      </c>
    </row>
    <row r="239" spans="1:22" ht="24" customHeight="1">
      <c r="A239" s="421" t="s">
        <v>197</v>
      </c>
      <c r="B239" s="422"/>
      <c r="C239" s="422"/>
      <c r="D239" s="421" t="s">
        <v>20</v>
      </c>
      <c r="E239" s="422"/>
      <c r="F239" s="422"/>
      <c r="G239" s="422"/>
      <c r="H239" s="422"/>
      <c r="I239" s="422"/>
      <c r="J239" s="422"/>
      <c r="K239" s="422"/>
      <c r="L239" s="237"/>
      <c r="M239" s="247"/>
      <c r="N239" s="346">
        <v>0</v>
      </c>
      <c r="O239" s="346">
        <v>0</v>
      </c>
      <c r="P239" s="347">
        <v>125</v>
      </c>
      <c r="Q239" s="232">
        <v>125</v>
      </c>
      <c r="R239" s="231">
        <v>125</v>
      </c>
      <c r="S239" s="231">
        <v>125</v>
      </c>
      <c r="T239" s="231">
        <v>125</v>
      </c>
      <c r="U239" s="231">
        <v>125</v>
      </c>
      <c r="V239" s="231">
        <v>125</v>
      </c>
    </row>
    <row r="240" spans="1:22" ht="24" customHeight="1">
      <c r="A240" s="421" t="s">
        <v>196</v>
      </c>
      <c r="B240" s="422"/>
      <c r="C240" s="422"/>
      <c r="D240" s="421" t="s">
        <v>304</v>
      </c>
      <c r="E240" s="422"/>
      <c r="F240" s="422"/>
      <c r="G240" s="422"/>
      <c r="H240" s="422"/>
      <c r="I240" s="422"/>
      <c r="J240" s="422"/>
      <c r="K240" s="422"/>
      <c r="L240" s="237"/>
      <c r="M240" s="247"/>
      <c r="N240" s="346">
        <v>2171</v>
      </c>
      <c r="O240" s="348">
        <v>0</v>
      </c>
      <c r="P240" s="349">
        <v>3500</v>
      </c>
      <c r="Q240" s="236">
        <f>8499+654</f>
        <v>9153</v>
      </c>
      <c r="R240" s="235">
        <v>3500</v>
      </c>
      <c r="S240" s="235">
        <v>3500</v>
      </c>
      <c r="T240" s="235">
        <v>3500</v>
      </c>
      <c r="U240" s="235">
        <v>3500</v>
      </c>
      <c r="V240" s="235">
        <v>3500</v>
      </c>
    </row>
    <row r="241" spans="1:22" ht="24" customHeight="1">
      <c r="A241" s="421" t="s">
        <v>195</v>
      </c>
      <c r="B241" s="337"/>
      <c r="C241" s="337"/>
      <c r="D241" s="421" t="s">
        <v>1492</v>
      </c>
      <c r="E241" s="337"/>
      <c r="F241" s="337"/>
      <c r="G241" s="337"/>
      <c r="H241" s="337"/>
      <c r="I241" s="337"/>
      <c r="J241" s="337"/>
      <c r="K241" s="337"/>
      <c r="L241" s="229"/>
      <c r="M241" s="247"/>
      <c r="N241" s="346">
        <v>493</v>
      </c>
      <c r="O241" s="346">
        <v>444</v>
      </c>
      <c r="P241" s="347">
        <v>500</v>
      </c>
      <c r="Q241" s="232">
        <v>250</v>
      </c>
      <c r="R241" s="231">
        <v>500</v>
      </c>
      <c r="S241" s="231">
        <v>500</v>
      </c>
      <c r="T241" s="231">
        <v>500</v>
      </c>
      <c r="U241" s="231">
        <v>500</v>
      </c>
      <c r="V241" s="231">
        <v>500</v>
      </c>
    </row>
    <row r="242" spans="1:22" ht="24" customHeight="1">
      <c r="A242" s="421" t="s">
        <v>289</v>
      </c>
      <c r="B242" s="422"/>
      <c r="C242" s="422"/>
      <c r="D242" s="421" t="s">
        <v>288</v>
      </c>
      <c r="E242" s="422"/>
      <c r="F242" s="422"/>
      <c r="G242" s="422"/>
      <c r="H242" s="422"/>
      <c r="I242" s="422"/>
      <c r="J242" s="422"/>
      <c r="K242" s="422"/>
      <c r="L242" s="237"/>
      <c r="M242" s="247"/>
      <c r="N242" s="346">
        <v>8348</v>
      </c>
      <c r="O242" s="346">
        <v>0</v>
      </c>
      <c r="P242" s="347">
        <v>0</v>
      </c>
      <c r="Q242" s="232">
        <v>0</v>
      </c>
      <c r="R242" s="231">
        <v>0</v>
      </c>
      <c r="S242" s="231">
        <v>0</v>
      </c>
      <c r="T242" s="231">
        <v>0</v>
      </c>
      <c r="U242" s="231">
        <v>0</v>
      </c>
      <c r="V242" s="231">
        <v>0</v>
      </c>
    </row>
    <row r="243" spans="1:22" ht="24" customHeight="1">
      <c r="A243" s="421" t="s">
        <v>947</v>
      </c>
      <c r="B243" s="422"/>
      <c r="C243" s="422"/>
      <c r="D243" s="421" t="s">
        <v>182</v>
      </c>
      <c r="E243" s="422"/>
      <c r="F243" s="422"/>
      <c r="G243" s="422"/>
      <c r="H243" s="422"/>
      <c r="I243" s="422"/>
      <c r="J243" s="422"/>
      <c r="K243" s="422"/>
      <c r="L243" s="237"/>
      <c r="M243" s="249"/>
      <c r="N243" s="356">
        <v>0</v>
      </c>
      <c r="O243" s="356">
        <v>0</v>
      </c>
      <c r="P243" s="367">
        <v>3654</v>
      </c>
      <c r="Q243" s="268">
        <v>3654</v>
      </c>
      <c r="R243" s="250">
        <v>3910</v>
      </c>
      <c r="S243" s="250">
        <v>4183</v>
      </c>
      <c r="T243" s="250">
        <v>4476</v>
      </c>
      <c r="U243" s="250">
        <v>4790</v>
      </c>
      <c r="V243" s="250">
        <v>5125</v>
      </c>
    </row>
    <row r="244" spans="1:22" s="337" customFormat="1" ht="24" customHeight="1">
      <c r="A244" s="421"/>
      <c r="B244" s="422"/>
      <c r="C244" s="422"/>
      <c r="D244" s="421"/>
      <c r="E244" s="422"/>
      <c r="F244" s="422"/>
      <c r="G244" s="422"/>
      <c r="H244" s="422"/>
      <c r="I244" s="422"/>
      <c r="J244" s="422"/>
      <c r="K244" s="422"/>
      <c r="L244" s="455"/>
      <c r="M244" s="454"/>
      <c r="N244" s="376">
        <f t="shared" ref="N244:U244" si="15">SUM(N217:N243)</f>
        <v>395291</v>
      </c>
      <c r="O244" s="376">
        <f t="shared" si="15"/>
        <v>307053</v>
      </c>
      <c r="P244" s="375">
        <f t="shared" si="15"/>
        <v>461426</v>
      </c>
      <c r="Q244" s="375">
        <f>SUM(Q217:Q243)</f>
        <v>399310</v>
      </c>
      <c r="R244" s="376">
        <f t="shared" si="15"/>
        <v>412328</v>
      </c>
      <c r="S244" s="376">
        <f t="shared" si="15"/>
        <v>419918</v>
      </c>
      <c r="T244" s="376">
        <f t="shared" si="15"/>
        <v>428347</v>
      </c>
      <c r="U244" s="376">
        <f t="shared" si="15"/>
        <v>434640</v>
      </c>
      <c r="V244" s="376">
        <f>SUM(V217:V243)</f>
        <v>441269</v>
      </c>
    </row>
    <row r="245" spans="1:22" ht="15" customHeight="1">
      <c r="A245" s="421"/>
      <c r="B245" s="422"/>
      <c r="C245" s="422"/>
      <c r="D245" s="421"/>
      <c r="E245" s="422"/>
      <c r="F245" s="422"/>
      <c r="G245" s="422"/>
      <c r="H245" s="422"/>
      <c r="I245" s="422"/>
      <c r="J245" s="422"/>
      <c r="K245" s="422"/>
      <c r="L245" s="237"/>
      <c r="M245" s="247"/>
      <c r="N245" s="346"/>
      <c r="O245" s="346"/>
      <c r="P245" s="347"/>
      <c r="Q245" s="232"/>
      <c r="R245" s="231"/>
      <c r="S245" s="231"/>
      <c r="T245" s="231"/>
      <c r="U245" s="231"/>
      <c r="V245" s="231"/>
    </row>
    <row r="246" spans="1:22" ht="24" customHeight="1">
      <c r="A246" s="425" t="s">
        <v>775</v>
      </c>
      <c r="B246" s="337"/>
      <c r="C246" s="337"/>
      <c r="D246" s="337"/>
      <c r="E246" s="337"/>
      <c r="F246" s="337"/>
      <c r="G246" s="337"/>
      <c r="H246" s="337"/>
      <c r="I246" s="337"/>
      <c r="J246" s="337"/>
      <c r="K246" s="337"/>
      <c r="L246" s="229"/>
      <c r="N246" s="359"/>
      <c r="O246" s="359"/>
      <c r="P246" s="360"/>
      <c r="Q246" s="255"/>
      <c r="R246" s="254"/>
      <c r="S246" s="254"/>
      <c r="T246" s="254"/>
      <c r="U246" s="254"/>
      <c r="V246" s="254"/>
    </row>
    <row r="247" spans="1:22" ht="24" customHeight="1">
      <c r="A247" s="421" t="s">
        <v>201</v>
      </c>
      <c r="B247" s="422"/>
      <c r="C247" s="422"/>
      <c r="D247" s="421" t="s">
        <v>1238</v>
      </c>
      <c r="E247" s="422"/>
      <c r="F247" s="422"/>
      <c r="G247" s="422"/>
      <c r="H247" s="422"/>
      <c r="I247" s="422"/>
      <c r="J247" s="422"/>
      <c r="K247" s="422"/>
      <c r="L247" s="237"/>
      <c r="M247" s="247"/>
      <c r="N247" s="346">
        <v>285143</v>
      </c>
      <c r="O247" s="346">
        <v>253695</v>
      </c>
      <c r="P247" s="347">
        <v>280000</v>
      </c>
      <c r="Q247" s="232">
        <v>272000</v>
      </c>
      <c r="R247" s="231">
        <v>312962</v>
      </c>
      <c r="S247" s="231">
        <v>312962</v>
      </c>
      <c r="T247" s="231">
        <v>312962</v>
      </c>
      <c r="U247" s="231">
        <v>312962</v>
      </c>
      <c r="V247" s="231">
        <v>312962</v>
      </c>
    </row>
    <row r="248" spans="1:22" ht="24" customHeight="1">
      <c r="A248" s="421" t="s">
        <v>200</v>
      </c>
      <c r="B248" s="422"/>
      <c r="C248" s="422"/>
      <c r="D248" s="421" t="s">
        <v>18</v>
      </c>
      <c r="E248" s="422"/>
      <c r="F248" s="422"/>
      <c r="G248" s="422"/>
      <c r="H248" s="422"/>
      <c r="I248" s="422"/>
      <c r="J248" s="422"/>
      <c r="K248" s="422"/>
      <c r="L248" s="237"/>
      <c r="M248" s="263"/>
      <c r="N248" s="348">
        <v>10784</v>
      </c>
      <c r="O248" s="348">
        <v>6653</v>
      </c>
      <c r="P248" s="349">
        <v>15000</v>
      </c>
      <c r="Q248" s="236">
        <v>15000</v>
      </c>
      <c r="R248" s="235">
        <v>15000</v>
      </c>
      <c r="S248" s="235">
        <v>15000</v>
      </c>
      <c r="T248" s="235">
        <v>15000</v>
      </c>
      <c r="U248" s="235">
        <v>15000</v>
      </c>
      <c r="V248" s="235">
        <v>15000</v>
      </c>
    </row>
    <row r="249" spans="1:22" ht="24" customHeight="1">
      <c r="A249" s="421" t="s">
        <v>203</v>
      </c>
      <c r="B249" s="422"/>
      <c r="C249" s="422"/>
      <c r="D249" s="421" t="s">
        <v>8</v>
      </c>
      <c r="E249" s="422"/>
      <c r="F249" s="422"/>
      <c r="G249" s="422"/>
      <c r="H249" s="422"/>
      <c r="I249" s="422"/>
      <c r="J249" s="422"/>
      <c r="K249" s="422"/>
      <c r="L249" s="237"/>
      <c r="M249" s="263"/>
      <c r="N249" s="348">
        <v>27424</v>
      </c>
      <c r="O249" s="348">
        <v>24887</v>
      </c>
      <c r="P249" s="349">
        <v>31753</v>
      </c>
      <c r="Q249" s="236">
        <v>31753</v>
      </c>
      <c r="R249" s="235">
        <v>36347</v>
      </c>
      <c r="S249" s="235">
        <v>36347</v>
      </c>
      <c r="T249" s="235">
        <v>36347</v>
      </c>
      <c r="U249" s="235">
        <v>36347</v>
      </c>
      <c r="V249" s="235">
        <v>36347</v>
      </c>
    </row>
    <row r="250" spans="1:22" ht="24" customHeight="1">
      <c r="A250" s="421" t="s">
        <v>202</v>
      </c>
      <c r="B250" s="337"/>
      <c r="C250" s="337"/>
      <c r="D250" s="421" t="s">
        <v>9</v>
      </c>
      <c r="E250" s="337"/>
      <c r="F250" s="337"/>
      <c r="G250" s="337"/>
      <c r="H250" s="337"/>
      <c r="I250" s="337"/>
      <c r="J250" s="337"/>
      <c r="K250" s="337"/>
      <c r="L250" s="229"/>
      <c r="M250" s="247"/>
      <c r="N250" s="346">
        <v>22091</v>
      </c>
      <c r="O250" s="348">
        <v>19359</v>
      </c>
      <c r="P250" s="349">
        <v>23500</v>
      </c>
      <c r="Q250" s="236">
        <v>22000</v>
      </c>
      <c r="R250" s="235">
        <v>24510</v>
      </c>
      <c r="S250" s="235">
        <v>24510</v>
      </c>
      <c r="T250" s="235">
        <v>24510</v>
      </c>
      <c r="U250" s="235">
        <v>24510</v>
      </c>
      <c r="V250" s="235">
        <v>24510</v>
      </c>
    </row>
    <row r="251" spans="1:22" ht="24" customHeight="1">
      <c r="A251" s="421" t="s">
        <v>804</v>
      </c>
      <c r="B251" s="337"/>
      <c r="C251" s="337"/>
      <c r="D251" s="421" t="s">
        <v>14</v>
      </c>
      <c r="E251" s="337"/>
      <c r="F251" s="337"/>
      <c r="G251" s="337"/>
      <c r="H251" s="337"/>
      <c r="I251" s="337"/>
      <c r="J251" s="337"/>
      <c r="K251" s="337"/>
      <c r="L251" s="229"/>
      <c r="M251" s="247"/>
      <c r="N251" s="346">
        <v>0</v>
      </c>
      <c r="O251" s="350">
        <v>0</v>
      </c>
      <c r="P251" s="353">
        <v>83361</v>
      </c>
      <c r="Q251" s="243">
        <v>88000</v>
      </c>
      <c r="R251" s="239">
        <v>94362</v>
      </c>
      <c r="S251" s="241">
        <v>103798</v>
      </c>
      <c r="T251" s="241">
        <v>114178</v>
      </c>
      <c r="U251" s="241">
        <v>121029</v>
      </c>
      <c r="V251" s="241">
        <v>128290</v>
      </c>
    </row>
    <row r="252" spans="1:22" ht="24" customHeight="1">
      <c r="A252" s="421" t="s">
        <v>805</v>
      </c>
      <c r="B252" s="337"/>
      <c r="C252" s="337"/>
      <c r="D252" s="421" t="s">
        <v>229</v>
      </c>
      <c r="E252" s="337"/>
      <c r="F252" s="337"/>
      <c r="G252" s="337"/>
      <c r="H252" s="337"/>
      <c r="I252" s="337"/>
      <c r="J252" s="337"/>
      <c r="K252" s="337"/>
      <c r="L252" s="229"/>
      <c r="M252" s="247"/>
      <c r="N252" s="346">
        <v>0</v>
      </c>
      <c r="O252" s="350">
        <v>0</v>
      </c>
      <c r="P252" s="353">
        <v>1317</v>
      </c>
      <c r="Q252" s="243">
        <v>1311</v>
      </c>
      <c r="R252" s="239">
        <v>635</v>
      </c>
      <c r="S252" s="241">
        <v>641</v>
      </c>
      <c r="T252" s="241">
        <v>648</v>
      </c>
      <c r="U252" s="241">
        <v>654</v>
      </c>
      <c r="V252" s="241">
        <v>661</v>
      </c>
    </row>
    <row r="253" spans="1:22" ht="24" customHeight="1">
      <c r="A253" s="421" t="s">
        <v>806</v>
      </c>
      <c r="B253" s="337"/>
      <c r="C253" s="337"/>
      <c r="D253" s="421" t="s">
        <v>819</v>
      </c>
      <c r="E253" s="337"/>
      <c r="F253" s="337"/>
      <c r="G253" s="337"/>
      <c r="H253" s="337"/>
      <c r="I253" s="337"/>
      <c r="J253" s="337"/>
      <c r="K253" s="337"/>
      <c r="L253" s="229"/>
      <c r="M253" s="247"/>
      <c r="N253" s="346">
        <v>0</v>
      </c>
      <c r="O253" s="350">
        <v>0</v>
      </c>
      <c r="P253" s="353">
        <v>6826</v>
      </c>
      <c r="Q253" s="243">
        <v>7100</v>
      </c>
      <c r="R253" s="239">
        <v>7095</v>
      </c>
      <c r="S253" s="241">
        <v>7805</v>
      </c>
      <c r="T253" s="241">
        <v>8585</v>
      </c>
      <c r="U253" s="241">
        <v>9100</v>
      </c>
      <c r="V253" s="241">
        <v>9646</v>
      </c>
    </row>
    <row r="254" spans="1:22" ht="24" customHeight="1">
      <c r="A254" s="421" t="s">
        <v>826</v>
      </c>
      <c r="B254" s="337"/>
      <c r="C254" s="337"/>
      <c r="D254" s="421" t="s">
        <v>821</v>
      </c>
      <c r="E254" s="337"/>
      <c r="F254" s="337"/>
      <c r="G254" s="337"/>
      <c r="H254" s="337"/>
      <c r="I254" s="337"/>
      <c r="J254" s="337"/>
      <c r="K254" s="337"/>
      <c r="L254" s="229"/>
      <c r="M254" s="247"/>
      <c r="N254" s="346">
        <v>0</v>
      </c>
      <c r="O254" s="350">
        <v>0</v>
      </c>
      <c r="P254" s="353">
        <v>773</v>
      </c>
      <c r="Q254" s="243">
        <v>750</v>
      </c>
      <c r="R254" s="239">
        <v>739</v>
      </c>
      <c r="S254" s="241">
        <v>813</v>
      </c>
      <c r="T254" s="241">
        <v>894</v>
      </c>
      <c r="U254" s="241">
        <v>948</v>
      </c>
      <c r="V254" s="241">
        <v>1005</v>
      </c>
    </row>
    <row r="255" spans="1:22" ht="24" customHeight="1">
      <c r="A255" s="421" t="s">
        <v>208</v>
      </c>
      <c r="B255" s="422"/>
      <c r="C255" s="422"/>
      <c r="D255" s="421" t="s">
        <v>108</v>
      </c>
      <c r="E255" s="422"/>
      <c r="F255" s="422"/>
      <c r="G255" s="422"/>
      <c r="H255" s="422"/>
      <c r="I255" s="422"/>
      <c r="J255" s="422"/>
      <c r="K255" s="422"/>
      <c r="L255" s="237"/>
      <c r="M255" s="247"/>
      <c r="N255" s="346">
        <v>180</v>
      </c>
      <c r="O255" s="346">
        <v>1440</v>
      </c>
      <c r="P255" s="347">
        <v>2000</v>
      </c>
      <c r="Q255" s="232">
        <v>2000</v>
      </c>
      <c r="R255" s="231">
        <v>2000</v>
      </c>
      <c r="S255" s="231">
        <v>2000</v>
      </c>
      <c r="T255" s="231">
        <v>2000</v>
      </c>
      <c r="U255" s="231">
        <v>2000</v>
      </c>
      <c r="V255" s="231">
        <v>2000</v>
      </c>
    </row>
    <row r="256" spans="1:22" ht="24" customHeight="1">
      <c r="A256" s="421" t="s">
        <v>1401</v>
      </c>
      <c r="B256" s="422"/>
      <c r="C256" s="422"/>
      <c r="D256" s="421" t="s">
        <v>1395</v>
      </c>
      <c r="E256" s="422"/>
      <c r="F256" s="422"/>
      <c r="G256" s="422"/>
      <c r="H256" s="422"/>
      <c r="I256" s="422"/>
      <c r="J256" s="422"/>
      <c r="K256" s="422"/>
      <c r="L256" s="237"/>
      <c r="M256" s="247"/>
      <c r="N256" s="346">
        <f>N500</f>
        <v>0</v>
      </c>
      <c r="O256" s="346">
        <f t="shared" ref="O256:V256" si="16">O500</f>
        <v>0</v>
      </c>
      <c r="P256" s="347">
        <f t="shared" si="16"/>
        <v>0</v>
      </c>
      <c r="Q256" s="232">
        <f t="shared" si="16"/>
        <v>0</v>
      </c>
      <c r="R256" s="231">
        <f t="shared" si="16"/>
        <v>144650</v>
      </c>
      <c r="S256" s="231">
        <f t="shared" si="16"/>
        <v>51795</v>
      </c>
      <c r="T256" s="231">
        <f t="shared" si="16"/>
        <v>51795</v>
      </c>
      <c r="U256" s="231">
        <f t="shared" si="16"/>
        <v>51795</v>
      </c>
      <c r="V256" s="231">
        <f t="shared" si="16"/>
        <v>51795</v>
      </c>
    </row>
    <row r="257" spans="1:22" ht="24" customHeight="1">
      <c r="A257" s="421" t="s">
        <v>1379</v>
      </c>
      <c r="B257" s="422"/>
      <c r="C257" s="422"/>
      <c r="D257" s="421" t="s">
        <v>1380</v>
      </c>
      <c r="E257" s="422"/>
      <c r="F257" s="422"/>
      <c r="G257" s="422"/>
      <c r="H257" s="422"/>
      <c r="I257" s="422"/>
      <c r="J257" s="422"/>
      <c r="K257" s="422"/>
      <c r="L257" s="237"/>
      <c r="M257" s="247"/>
      <c r="N257" s="346">
        <v>0</v>
      </c>
      <c r="O257" s="346">
        <v>0</v>
      </c>
      <c r="P257" s="347">
        <v>0</v>
      </c>
      <c r="Q257" s="232">
        <v>0</v>
      </c>
      <c r="R257" s="231">
        <f>R52</f>
        <v>20000</v>
      </c>
      <c r="S257" s="231">
        <f>S52</f>
        <v>20000</v>
      </c>
      <c r="T257" s="231">
        <f>T52</f>
        <v>20000</v>
      </c>
      <c r="U257" s="231">
        <f>U52</f>
        <v>20000</v>
      </c>
      <c r="V257" s="231">
        <f>V52</f>
        <v>20000</v>
      </c>
    </row>
    <row r="258" spans="1:22" ht="24" customHeight="1">
      <c r="A258" s="421" t="s">
        <v>207</v>
      </c>
      <c r="B258" s="337"/>
      <c r="C258" s="337"/>
      <c r="D258" s="421" t="s">
        <v>294</v>
      </c>
      <c r="E258" s="337"/>
      <c r="F258" s="337"/>
      <c r="G258" s="337"/>
      <c r="H258" s="337"/>
      <c r="I258" s="337"/>
      <c r="J258" s="337"/>
      <c r="K258" s="337"/>
      <c r="L258" s="229"/>
      <c r="M258" s="247"/>
      <c r="N258" s="346">
        <v>2053</v>
      </c>
      <c r="O258" s="346">
        <v>2506</v>
      </c>
      <c r="P258" s="347">
        <v>4020</v>
      </c>
      <c r="Q258" s="232">
        <v>2600</v>
      </c>
      <c r="R258" s="231">
        <v>3000</v>
      </c>
      <c r="S258" s="231">
        <v>3000</v>
      </c>
      <c r="T258" s="231">
        <v>3000</v>
      </c>
      <c r="U258" s="231">
        <v>3000</v>
      </c>
      <c r="V258" s="231">
        <v>3000</v>
      </c>
    </row>
    <row r="259" spans="1:22" ht="24" customHeight="1">
      <c r="A259" s="421" t="s">
        <v>992</v>
      </c>
      <c r="B259" s="337"/>
      <c r="C259" s="337"/>
      <c r="D259" s="421" t="s">
        <v>993</v>
      </c>
      <c r="E259" s="337"/>
      <c r="F259" s="337"/>
      <c r="G259" s="337"/>
      <c r="H259" s="337"/>
      <c r="I259" s="337"/>
      <c r="J259" s="337"/>
      <c r="K259" s="337"/>
      <c r="L259" s="229"/>
      <c r="M259" s="247"/>
      <c r="N259" s="346">
        <v>8267</v>
      </c>
      <c r="O259" s="346">
        <v>18329</v>
      </c>
      <c r="P259" s="347">
        <v>20000</v>
      </c>
      <c r="Q259" s="232">
        <v>20000</v>
      </c>
      <c r="R259" s="231">
        <v>22500</v>
      </c>
      <c r="S259" s="231">
        <v>25000</v>
      </c>
      <c r="T259" s="231">
        <v>27500</v>
      </c>
      <c r="U259" s="231">
        <v>30000</v>
      </c>
      <c r="V259" s="231">
        <v>30000</v>
      </c>
    </row>
    <row r="260" spans="1:22" ht="24" customHeight="1">
      <c r="A260" s="421" t="s">
        <v>868</v>
      </c>
      <c r="B260" s="424"/>
      <c r="C260" s="424"/>
      <c r="D260" s="421" t="s">
        <v>869</v>
      </c>
      <c r="E260" s="424"/>
      <c r="F260" s="424"/>
      <c r="G260" s="424"/>
      <c r="H260" s="424"/>
      <c r="I260" s="424"/>
      <c r="J260" s="424"/>
      <c r="K260" s="424"/>
      <c r="L260" s="253"/>
      <c r="M260" s="247"/>
      <c r="N260" s="346">
        <v>1225</v>
      </c>
      <c r="O260" s="346">
        <v>869</v>
      </c>
      <c r="P260" s="347">
        <v>4000</v>
      </c>
      <c r="Q260" s="232">
        <v>2000</v>
      </c>
      <c r="R260" s="231">
        <v>0</v>
      </c>
      <c r="S260" s="231">
        <v>0</v>
      </c>
      <c r="T260" s="231">
        <v>0</v>
      </c>
      <c r="U260" s="231">
        <v>0</v>
      </c>
      <c r="V260" s="231">
        <v>0</v>
      </c>
    </row>
    <row r="261" spans="1:22" ht="24" customHeight="1">
      <c r="A261" s="421" t="s">
        <v>303</v>
      </c>
      <c r="B261" s="337"/>
      <c r="C261" s="337"/>
      <c r="D261" s="421" t="s">
        <v>214</v>
      </c>
      <c r="E261" s="337"/>
      <c r="F261" s="337"/>
      <c r="G261" s="337"/>
      <c r="H261" s="337"/>
      <c r="I261" s="337"/>
      <c r="J261" s="337"/>
      <c r="K261" s="337"/>
      <c r="L261" s="229"/>
      <c r="M261" s="263"/>
      <c r="N261" s="348">
        <v>6500</v>
      </c>
      <c r="O261" s="348">
        <v>6500</v>
      </c>
      <c r="P261" s="349">
        <v>7000</v>
      </c>
      <c r="Q261" s="236">
        <v>6730</v>
      </c>
      <c r="R261" s="235">
        <v>8000</v>
      </c>
      <c r="S261" s="235">
        <v>8400</v>
      </c>
      <c r="T261" s="235">
        <v>8820</v>
      </c>
      <c r="U261" s="235">
        <v>9261</v>
      </c>
      <c r="V261" s="235">
        <v>9724</v>
      </c>
    </row>
    <row r="262" spans="1:22" ht="24" customHeight="1">
      <c r="A262" s="421" t="s">
        <v>299</v>
      </c>
      <c r="B262" s="337"/>
      <c r="C262" s="337"/>
      <c r="D262" s="421" t="s">
        <v>215</v>
      </c>
      <c r="E262" s="422"/>
      <c r="F262" s="422"/>
      <c r="G262" s="422"/>
      <c r="H262" s="422"/>
      <c r="I262" s="422"/>
      <c r="J262" s="422"/>
      <c r="K262" s="422"/>
      <c r="L262" s="237"/>
      <c r="M262" s="247"/>
      <c r="N262" s="346">
        <v>8300</v>
      </c>
      <c r="O262" s="346">
        <v>6025</v>
      </c>
      <c r="P262" s="349">
        <v>20000</v>
      </c>
      <c r="Q262" s="236">
        <v>20000</v>
      </c>
      <c r="R262" s="235">
        <v>20000</v>
      </c>
      <c r="S262" s="235">
        <v>20000</v>
      </c>
      <c r="T262" s="235">
        <v>20000</v>
      </c>
      <c r="U262" s="235">
        <v>20000</v>
      </c>
      <c r="V262" s="235">
        <v>20000</v>
      </c>
    </row>
    <row r="263" spans="1:22" ht="24" customHeight="1">
      <c r="A263" s="421" t="s">
        <v>206</v>
      </c>
      <c r="B263" s="337"/>
      <c r="C263" s="337"/>
      <c r="D263" s="421" t="s">
        <v>10</v>
      </c>
      <c r="E263" s="337"/>
      <c r="F263" s="337"/>
      <c r="G263" s="337"/>
      <c r="H263" s="337"/>
      <c r="I263" s="337"/>
      <c r="J263" s="337"/>
      <c r="K263" s="337"/>
      <c r="L263" s="281"/>
      <c r="M263" s="282"/>
      <c r="N263" s="348">
        <v>1165</v>
      </c>
      <c r="O263" s="348">
        <v>970</v>
      </c>
      <c r="P263" s="349">
        <f>1000</f>
        <v>1000</v>
      </c>
      <c r="Q263" s="236">
        <f>1000</f>
        <v>1000</v>
      </c>
      <c r="R263" s="235">
        <f>1000</f>
        <v>1000</v>
      </c>
      <c r="S263" s="235">
        <f>1000</f>
        <v>1000</v>
      </c>
      <c r="T263" s="235">
        <f>1000</f>
        <v>1000</v>
      </c>
      <c r="U263" s="235">
        <f>1000</f>
        <v>1000</v>
      </c>
      <c r="V263" s="235">
        <f>1000</f>
        <v>1000</v>
      </c>
    </row>
    <row r="264" spans="1:22" ht="24" customHeight="1">
      <c r="A264" s="421" t="s">
        <v>205</v>
      </c>
      <c r="B264" s="422"/>
      <c r="C264" s="422"/>
      <c r="D264" s="421" t="s">
        <v>21</v>
      </c>
      <c r="E264" s="337"/>
      <c r="F264" s="337"/>
      <c r="G264" s="337"/>
      <c r="H264" s="337"/>
      <c r="I264" s="337"/>
      <c r="J264" s="337"/>
      <c r="K264" s="337"/>
      <c r="L264" s="281"/>
      <c r="M264" s="267"/>
      <c r="N264" s="346">
        <v>89784</v>
      </c>
      <c r="O264" s="348">
        <v>57145</v>
      </c>
      <c r="P264" s="349">
        <v>90000</v>
      </c>
      <c r="Q264" s="236">
        <v>90000</v>
      </c>
      <c r="R264" s="235">
        <v>94500</v>
      </c>
      <c r="S264" s="235">
        <v>99225</v>
      </c>
      <c r="T264" s="235">
        <v>104186</v>
      </c>
      <c r="U264" s="235">
        <v>109396</v>
      </c>
      <c r="V264" s="235">
        <v>114865</v>
      </c>
    </row>
    <row r="265" spans="1:22" ht="24" customHeight="1">
      <c r="A265" s="421" t="s">
        <v>204</v>
      </c>
      <c r="B265" s="422"/>
      <c r="C265" s="422"/>
      <c r="D265" s="421" t="s">
        <v>102</v>
      </c>
      <c r="E265" s="337"/>
      <c r="F265" s="337"/>
      <c r="G265" s="337"/>
      <c r="H265" s="337"/>
      <c r="I265" s="337"/>
      <c r="J265" s="337"/>
      <c r="K265" s="337"/>
      <c r="L265" s="281"/>
      <c r="M265" s="281"/>
      <c r="N265" s="377">
        <v>176</v>
      </c>
      <c r="O265" s="377">
        <v>1051</v>
      </c>
      <c r="P265" s="378">
        <v>1000</v>
      </c>
      <c r="Q265" s="284">
        <v>1050</v>
      </c>
      <c r="R265" s="283">
        <v>1100</v>
      </c>
      <c r="S265" s="283">
        <v>1100</v>
      </c>
      <c r="T265" s="283">
        <v>1100</v>
      </c>
      <c r="U265" s="283">
        <v>1100</v>
      </c>
      <c r="V265" s="283">
        <v>1100</v>
      </c>
    </row>
    <row r="266" spans="1:22" ht="24" customHeight="1">
      <c r="A266" s="421" t="s">
        <v>1365</v>
      </c>
      <c r="B266" s="422"/>
      <c r="C266" s="422"/>
      <c r="D266" s="421" t="s">
        <v>1366</v>
      </c>
      <c r="E266" s="422"/>
      <c r="F266" s="422"/>
      <c r="G266" s="422"/>
      <c r="H266" s="422"/>
      <c r="I266" s="422"/>
      <c r="J266" s="422"/>
      <c r="K266" s="422"/>
      <c r="L266" s="237"/>
      <c r="M266" s="275"/>
      <c r="N266" s="372">
        <v>22110</v>
      </c>
      <c r="O266" s="372">
        <v>20886</v>
      </c>
      <c r="P266" s="379">
        <v>35000</v>
      </c>
      <c r="Q266" s="285">
        <v>35000</v>
      </c>
      <c r="R266" s="276">
        <v>20000</v>
      </c>
      <c r="S266" s="276">
        <v>20000</v>
      </c>
      <c r="T266" s="276">
        <v>20000</v>
      </c>
      <c r="U266" s="276">
        <v>20000</v>
      </c>
      <c r="V266" s="276">
        <v>20000</v>
      </c>
    </row>
    <row r="267" spans="1:22" ht="24" customHeight="1">
      <c r="A267" s="421" t="s">
        <v>213</v>
      </c>
      <c r="B267" s="422"/>
      <c r="C267" s="422"/>
      <c r="D267" s="421" t="s">
        <v>114</v>
      </c>
      <c r="E267" s="422"/>
      <c r="F267" s="422"/>
      <c r="G267" s="422"/>
      <c r="H267" s="422"/>
      <c r="I267" s="422"/>
      <c r="J267" s="422"/>
      <c r="K267" s="422"/>
      <c r="L267" s="237"/>
      <c r="M267" s="247"/>
      <c r="N267" s="346">
        <v>2386</v>
      </c>
      <c r="O267" s="346">
        <v>2581</v>
      </c>
      <c r="P267" s="347">
        <v>4200</v>
      </c>
      <c r="Q267" s="232">
        <v>4200</v>
      </c>
      <c r="R267" s="231">
        <v>4200</v>
      </c>
      <c r="S267" s="231">
        <v>4200</v>
      </c>
      <c r="T267" s="231">
        <v>4200</v>
      </c>
      <c r="U267" s="231">
        <v>4200</v>
      </c>
      <c r="V267" s="231">
        <v>4200</v>
      </c>
    </row>
    <row r="268" spans="1:22" ht="24" customHeight="1">
      <c r="A268" s="421" t="s">
        <v>212</v>
      </c>
      <c r="B268" s="422"/>
      <c r="C268" s="422"/>
      <c r="D268" s="421" t="s">
        <v>13</v>
      </c>
      <c r="E268" s="422"/>
      <c r="F268" s="422"/>
      <c r="G268" s="422"/>
      <c r="H268" s="422"/>
      <c r="I268" s="422"/>
      <c r="J268" s="422"/>
      <c r="K268" s="422"/>
      <c r="L268" s="237"/>
      <c r="M268" s="263"/>
      <c r="N268" s="348">
        <v>3801</v>
      </c>
      <c r="O268" s="350">
        <v>10648</v>
      </c>
      <c r="P268" s="347">
        <v>9500</v>
      </c>
      <c r="Q268" s="232">
        <f>8000+1500</f>
        <v>9500</v>
      </c>
      <c r="R268" s="231">
        <v>9975</v>
      </c>
      <c r="S268" s="231">
        <v>10474</v>
      </c>
      <c r="T268" s="231">
        <v>10997</v>
      </c>
      <c r="U268" s="231">
        <v>11547</v>
      </c>
      <c r="V268" s="231">
        <v>12125</v>
      </c>
    </row>
    <row r="269" spans="1:22" ht="24" customHeight="1">
      <c r="A269" s="421" t="s">
        <v>211</v>
      </c>
      <c r="B269" s="422"/>
      <c r="C269" s="422"/>
      <c r="D269" s="421" t="s">
        <v>216</v>
      </c>
      <c r="E269" s="422"/>
      <c r="F269" s="422"/>
      <c r="G269" s="422"/>
      <c r="H269" s="422"/>
      <c r="I269" s="422"/>
      <c r="J269" s="422"/>
      <c r="K269" s="422"/>
      <c r="L269" s="237"/>
      <c r="M269" s="247"/>
      <c r="N269" s="346">
        <v>2048</v>
      </c>
      <c r="O269" s="346">
        <v>2041</v>
      </c>
      <c r="P269" s="347">
        <v>0</v>
      </c>
      <c r="Q269" s="232">
        <v>0</v>
      </c>
      <c r="R269" s="231">
        <v>0</v>
      </c>
      <c r="S269" s="231">
        <v>2000</v>
      </c>
      <c r="T269" s="231">
        <v>2000</v>
      </c>
      <c r="U269" s="231">
        <v>2000</v>
      </c>
      <c r="V269" s="231">
        <v>2000</v>
      </c>
    </row>
    <row r="270" spans="1:22" ht="24" customHeight="1">
      <c r="A270" s="421" t="s">
        <v>1367</v>
      </c>
      <c r="B270" s="422"/>
      <c r="C270" s="422"/>
      <c r="D270" s="421" t="s">
        <v>1368</v>
      </c>
      <c r="E270" s="422"/>
      <c r="F270" s="422"/>
      <c r="G270" s="422"/>
      <c r="H270" s="422"/>
      <c r="I270" s="422"/>
      <c r="J270" s="422"/>
      <c r="K270" s="422"/>
      <c r="L270" s="237"/>
      <c r="M270" s="247"/>
      <c r="N270" s="346">
        <v>0</v>
      </c>
      <c r="O270" s="346">
        <v>0</v>
      </c>
      <c r="P270" s="347">
        <v>0</v>
      </c>
      <c r="Q270" s="232">
        <v>0</v>
      </c>
      <c r="R270" s="231">
        <v>20000</v>
      </c>
      <c r="S270" s="231">
        <v>20000</v>
      </c>
      <c r="T270" s="231">
        <v>20000</v>
      </c>
      <c r="U270" s="231">
        <v>20000</v>
      </c>
      <c r="V270" s="231">
        <v>20000</v>
      </c>
    </row>
    <row r="271" spans="1:22" ht="24" customHeight="1">
      <c r="A271" s="421" t="s">
        <v>296</v>
      </c>
      <c r="B271" s="422"/>
      <c r="C271" s="422"/>
      <c r="D271" s="421" t="s">
        <v>20</v>
      </c>
      <c r="E271" s="422"/>
      <c r="F271" s="422"/>
      <c r="G271" s="422"/>
      <c r="H271" s="422"/>
      <c r="I271" s="422"/>
      <c r="J271" s="422"/>
      <c r="K271" s="422"/>
      <c r="L271" s="237"/>
      <c r="M271" s="263"/>
      <c r="N271" s="348">
        <v>1896</v>
      </c>
      <c r="O271" s="348">
        <v>7962</v>
      </c>
      <c r="P271" s="349">
        <v>1750</v>
      </c>
      <c r="Q271" s="236">
        <f t="shared" ref="Q271:V271" si="17">1000+750</f>
        <v>1750</v>
      </c>
      <c r="R271" s="235">
        <f t="shared" si="17"/>
        <v>1750</v>
      </c>
      <c r="S271" s="235">
        <f t="shared" si="17"/>
        <v>1750</v>
      </c>
      <c r="T271" s="235">
        <f t="shared" si="17"/>
        <v>1750</v>
      </c>
      <c r="U271" s="235">
        <f t="shared" si="17"/>
        <v>1750</v>
      </c>
      <c r="V271" s="235">
        <f t="shared" si="17"/>
        <v>1750</v>
      </c>
    </row>
    <row r="272" spans="1:22" ht="24" customHeight="1">
      <c r="A272" s="421" t="s">
        <v>281</v>
      </c>
      <c r="B272" s="422"/>
      <c r="C272" s="422"/>
      <c r="D272" s="421" t="s">
        <v>1490</v>
      </c>
      <c r="E272" s="422"/>
      <c r="F272" s="422"/>
      <c r="G272" s="422"/>
      <c r="H272" s="422"/>
      <c r="I272" s="422"/>
      <c r="J272" s="422"/>
      <c r="K272" s="422"/>
      <c r="L272" s="237"/>
      <c r="M272" s="263"/>
      <c r="N272" s="348">
        <v>76277</v>
      </c>
      <c r="O272" s="348">
        <v>22671</v>
      </c>
      <c r="P272" s="349">
        <v>36500</v>
      </c>
      <c r="Q272" s="236">
        <f>10000+15000+9000+2500</f>
        <v>36500</v>
      </c>
      <c r="R272" s="235">
        <v>20000</v>
      </c>
      <c r="S272" s="235">
        <v>20000</v>
      </c>
      <c r="T272" s="235">
        <v>20000</v>
      </c>
      <c r="U272" s="235">
        <v>20000</v>
      </c>
      <c r="V272" s="235">
        <v>20000</v>
      </c>
    </row>
    <row r="273" spans="1:23" ht="24" customHeight="1">
      <c r="A273" s="421" t="s">
        <v>210</v>
      </c>
      <c r="B273" s="337"/>
      <c r="C273" s="337"/>
      <c r="D273" s="421" t="s">
        <v>994</v>
      </c>
      <c r="E273" s="337"/>
      <c r="F273" s="337"/>
      <c r="G273" s="337"/>
      <c r="H273" s="337"/>
      <c r="I273" s="337"/>
      <c r="J273" s="337"/>
      <c r="K273" s="337"/>
      <c r="L273" s="229"/>
      <c r="M273" s="247"/>
      <c r="N273" s="346">
        <v>5405</v>
      </c>
      <c r="O273" s="346">
        <f>26569-O259</f>
        <v>8240</v>
      </c>
      <c r="P273" s="349">
        <v>20000</v>
      </c>
      <c r="Q273" s="236">
        <v>20000</v>
      </c>
      <c r="R273" s="235">
        <v>22500</v>
      </c>
      <c r="S273" s="235">
        <v>25000</v>
      </c>
      <c r="T273" s="235">
        <v>27500</v>
      </c>
      <c r="U273" s="235">
        <v>30000</v>
      </c>
      <c r="V273" s="235">
        <v>30000</v>
      </c>
    </row>
    <row r="274" spans="1:23" ht="24" customHeight="1">
      <c r="A274" s="421" t="s">
        <v>209</v>
      </c>
      <c r="B274" s="422"/>
      <c r="C274" s="422"/>
      <c r="D274" s="421" t="s">
        <v>182</v>
      </c>
      <c r="E274" s="422"/>
      <c r="F274" s="422"/>
      <c r="G274" s="422"/>
      <c r="H274" s="422"/>
      <c r="I274" s="422"/>
      <c r="J274" s="422"/>
      <c r="K274" s="422"/>
      <c r="L274" s="237"/>
      <c r="M274" s="249"/>
      <c r="N274" s="356">
        <v>29350</v>
      </c>
      <c r="O274" s="356">
        <v>31024</v>
      </c>
      <c r="P274" s="370">
        <v>15952</v>
      </c>
      <c r="Q274" s="272">
        <v>24000</v>
      </c>
      <c r="R274" s="271">
        <v>25680</v>
      </c>
      <c r="S274" s="271">
        <v>27478</v>
      </c>
      <c r="T274" s="271">
        <v>29401</v>
      </c>
      <c r="U274" s="271">
        <v>31459</v>
      </c>
      <c r="V274" s="271">
        <v>33661</v>
      </c>
    </row>
    <row r="275" spans="1:23" s="337" customFormat="1" ht="24" customHeight="1">
      <c r="A275" s="421"/>
      <c r="B275" s="424"/>
      <c r="C275" s="424"/>
      <c r="D275" s="421"/>
      <c r="E275" s="424"/>
      <c r="F275" s="424"/>
      <c r="G275" s="424"/>
      <c r="H275" s="424"/>
      <c r="I275" s="424"/>
      <c r="J275" s="424"/>
      <c r="K275" s="424"/>
      <c r="L275" s="456"/>
      <c r="M275" s="457"/>
      <c r="N275" s="380">
        <f t="shared" ref="N275:V275" si="18">SUM(N247:N274)</f>
        <v>606365</v>
      </c>
      <c r="O275" s="380">
        <f t="shared" si="18"/>
        <v>505482</v>
      </c>
      <c r="P275" s="368">
        <f t="shared" si="18"/>
        <v>714452</v>
      </c>
      <c r="Q275" s="368">
        <f t="shared" si="18"/>
        <v>714244</v>
      </c>
      <c r="R275" s="380">
        <f t="shared" si="18"/>
        <v>932505</v>
      </c>
      <c r="S275" s="380">
        <f t="shared" si="18"/>
        <v>864298</v>
      </c>
      <c r="T275" s="380">
        <f t="shared" si="18"/>
        <v>888373</v>
      </c>
      <c r="U275" s="380">
        <f t="shared" si="18"/>
        <v>909058</v>
      </c>
      <c r="V275" s="380">
        <f t="shared" si="18"/>
        <v>925641</v>
      </c>
    </row>
    <row r="276" spans="1:23" ht="15" customHeight="1">
      <c r="A276" s="421"/>
      <c r="B276" s="424"/>
      <c r="C276" s="424"/>
      <c r="D276" s="421"/>
      <c r="E276" s="424"/>
      <c r="F276" s="424"/>
      <c r="G276" s="424"/>
      <c r="H276" s="424"/>
      <c r="I276" s="424"/>
      <c r="J276" s="424"/>
      <c r="K276" s="424"/>
      <c r="L276" s="253"/>
      <c r="M276" s="247"/>
      <c r="N276" s="346"/>
      <c r="O276" s="350"/>
      <c r="P276" s="353"/>
      <c r="Q276" s="243"/>
      <c r="R276" s="239"/>
      <c r="S276" s="239"/>
      <c r="T276" s="239"/>
      <c r="U276" s="239"/>
      <c r="V276" s="239"/>
    </row>
    <row r="277" spans="1:23" ht="24" customHeight="1">
      <c r="A277" s="425" t="s">
        <v>1499</v>
      </c>
      <c r="B277" s="337"/>
      <c r="C277" s="337"/>
      <c r="D277" s="337"/>
      <c r="E277" s="337"/>
      <c r="F277" s="337"/>
      <c r="G277" s="337"/>
      <c r="H277" s="337"/>
      <c r="I277" s="337"/>
      <c r="J277" s="337"/>
      <c r="K277" s="337"/>
      <c r="L277" s="229"/>
      <c r="N277" s="359"/>
      <c r="O277" s="359"/>
      <c r="P277" s="360"/>
      <c r="Q277" s="255"/>
      <c r="R277" s="254"/>
      <c r="S277" s="254"/>
      <c r="T277" s="254"/>
      <c r="U277" s="254"/>
      <c r="V277" s="254"/>
    </row>
    <row r="278" spans="1:23" ht="24" customHeight="1">
      <c r="A278" s="337" t="s">
        <v>1003</v>
      </c>
      <c r="B278" s="337"/>
      <c r="C278" s="337"/>
      <c r="D278" s="421" t="s">
        <v>1004</v>
      </c>
      <c r="E278" s="337"/>
      <c r="F278" s="337"/>
      <c r="G278" s="337"/>
      <c r="H278" s="337"/>
      <c r="I278" s="337"/>
      <c r="J278" s="337"/>
      <c r="K278" s="337"/>
      <c r="L278" s="229"/>
      <c r="M278" s="247"/>
      <c r="N278" s="346">
        <v>0</v>
      </c>
      <c r="O278" s="348">
        <v>0</v>
      </c>
      <c r="P278" s="349">
        <v>153216</v>
      </c>
      <c r="Q278" s="236">
        <v>143000</v>
      </c>
      <c r="R278" s="235">
        <v>143000</v>
      </c>
      <c r="S278" s="235">
        <v>75000</v>
      </c>
      <c r="T278" s="235">
        <v>75000</v>
      </c>
      <c r="U278" s="235">
        <v>75000</v>
      </c>
      <c r="V278" s="235">
        <v>75000</v>
      </c>
    </row>
    <row r="279" spans="1:23" ht="24" customHeight="1">
      <c r="A279" s="421" t="s">
        <v>219</v>
      </c>
      <c r="B279" s="422"/>
      <c r="C279" s="422"/>
      <c r="D279" s="421" t="s">
        <v>221</v>
      </c>
      <c r="E279" s="422"/>
      <c r="F279" s="422"/>
      <c r="G279" s="422"/>
      <c r="H279" s="422"/>
      <c r="I279" s="422"/>
      <c r="J279" s="422"/>
      <c r="K279" s="422"/>
      <c r="L279" s="237"/>
      <c r="M279" s="247"/>
      <c r="N279" s="346">
        <v>1177611</v>
      </c>
      <c r="O279" s="346">
        <v>1193400</v>
      </c>
      <c r="P279" s="347">
        <v>1046784</v>
      </c>
      <c r="Q279" s="232">
        <v>900000</v>
      </c>
      <c r="R279" s="231">
        <f>R41</f>
        <v>1023500</v>
      </c>
      <c r="S279" s="231">
        <f>S41</f>
        <v>1023500</v>
      </c>
      <c r="T279" s="231">
        <f>T41</f>
        <v>1023500</v>
      </c>
      <c r="U279" s="231">
        <f>U41</f>
        <v>1023500</v>
      </c>
      <c r="V279" s="231">
        <f>V41</f>
        <v>1030000</v>
      </c>
    </row>
    <row r="280" spans="1:23" ht="24" customHeight="1">
      <c r="A280" s="421" t="s">
        <v>218</v>
      </c>
      <c r="B280" s="337"/>
      <c r="C280" s="337"/>
      <c r="D280" s="421" t="s">
        <v>220</v>
      </c>
      <c r="E280" s="337"/>
      <c r="F280" s="337"/>
      <c r="G280" s="337"/>
      <c r="H280" s="337"/>
      <c r="I280" s="337"/>
      <c r="J280" s="337"/>
      <c r="K280" s="337"/>
      <c r="L280" s="229"/>
      <c r="M280" s="286"/>
      <c r="N280" s="357">
        <v>4560</v>
      </c>
      <c r="O280" s="357">
        <v>4920</v>
      </c>
      <c r="P280" s="367">
        <v>6000</v>
      </c>
      <c r="Q280" s="268">
        <v>4500</v>
      </c>
      <c r="R280" s="250">
        <v>6000</v>
      </c>
      <c r="S280" s="250">
        <v>6000</v>
      </c>
      <c r="T280" s="250">
        <v>6000</v>
      </c>
      <c r="U280" s="250">
        <v>6000</v>
      </c>
      <c r="V280" s="250">
        <v>6000</v>
      </c>
    </row>
    <row r="281" spans="1:23" s="337" customFormat="1" ht="24" customHeight="1">
      <c r="A281" s="421"/>
      <c r="D281" s="421"/>
      <c r="L281" s="451"/>
      <c r="M281" s="458"/>
      <c r="N281" s="381">
        <f>SUM(N278:N280)</f>
        <v>1182171</v>
      </c>
      <c r="O281" s="381">
        <f t="shared" ref="O281:V281" si="19">SUM(O278:O280)</f>
        <v>1198320</v>
      </c>
      <c r="P281" s="371">
        <f t="shared" si="19"/>
        <v>1206000</v>
      </c>
      <c r="Q281" s="371">
        <f t="shared" si="19"/>
        <v>1047500</v>
      </c>
      <c r="R281" s="381">
        <f t="shared" si="19"/>
        <v>1172500</v>
      </c>
      <c r="S281" s="381">
        <f t="shared" si="19"/>
        <v>1104500</v>
      </c>
      <c r="T281" s="381">
        <f t="shared" si="19"/>
        <v>1104500</v>
      </c>
      <c r="U281" s="381">
        <f t="shared" si="19"/>
        <v>1104500</v>
      </c>
      <c r="V281" s="381">
        <f t="shared" si="19"/>
        <v>1111000</v>
      </c>
    </row>
    <row r="282" spans="1:23" s="337" customFormat="1" ht="15" customHeight="1">
      <c r="A282" s="421"/>
      <c r="D282" s="421"/>
      <c r="L282" s="451"/>
      <c r="M282" s="458"/>
      <c r="N282" s="381"/>
      <c r="O282" s="381"/>
      <c r="P282" s="371"/>
      <c r="Q282" s="371"/>
      <c r="R282" s="381"/>
      <c r="S282" s="381"/>
      <c r="T282" s="381"/>
      <c r="U282" s="381"/>
      <c r="V282" s="381"/>
    </row>
    <row r="283" spans="1:23" s="337" customFormat="1" ht="24" customHeight="1">
      <c r="A283" s="421"/>
      <c r="D283" s="421"/>
      <c r="F283" s="539" t="s">
        <v>1319</v>
      </c>
      <c r="G283" s="539"/>
      <c r="H283" s="539"/>
      <c r="I283" s="539"/>
      <c r="J283" s="539"/>
      <c r="K283" s="539"/>
      <c r="L283" s="459"/>
      <c r="M283" s="458"/>
      <c r="N283" s="381">
        <f>N275+N281</f>
        <v>1788536</v>
      </c>
      <c r="O283" s="381">
        <f t="shared" ref="O283:V283" si="20">O275+O281</f>
        <v>1703802</v>
      </c>
      <c r="P283" s="371">
        <f t="shared" si="20"/>
        <v>1920452</v>
      </c>
      <c r="Q283" s="371">
        <f t="shared" si="20"/>
        <v>1761744</v>
      </c>
      <c r="R283" s="381">
        <f t="shared" si="20"/>
        <v>2105005</v>
      </c>
      <c r="S283" s="381">
        <f t="shared" si="20"/>
        <v>1968798</v>
      </c>
      <c r="T283" s="381">
        <f t="shared" si="20"/>
        <v>1992873</v>
      </c>
      <c r="U283" s="381">
        <f t="shared" si="20"/>
        <v>2013558</v>
      </c>
      <c r="V283" s="381">
        <f t="shared" si="20"/>
        <v>2036641</v>
      </c>
      <c r="W283" s="460"/>
    </row>
    <row r="284" spans="1:23" ht="15" customHeight="1">
      <c r="A284" s="421"/>
      <c r="B284" s="337"/>
      <c r="C284" s="337"/>
      <c r="D284" s="421"/>
      <c r="E284" s="337"/>
      <c r="F284" s="426"/>
      <c r="G284" s="426"/>
      <c r="H284" s="426"/>
      <c r="I284" s="426"/>
      <c r="J284" s="426"/>
      <c r="K284" s="426"/>
      <c r="L284" s="288"/>
      <c r="M284" s="287"/>
      <c r="N284" s="381"/>
      <c r="O284" s="381"/>
      <c r="P284" s="371"/>
      <c r="Q284" s="273"/>
      <c r="R284" s="274"/>
      <c r="S284" s="274"/>
      <c r="T284" s="274"/>
      <c r="U284" s="274"/>
      <c r="V284" s="274"/>
    </row>
    <row r="285" spans="1:23" ht="24" customHeight="1">
      <c r="A285" s="427" t="s">
        <v>840</v>
      </c>
      <c r="B285" s="337"/>
      <c r="C285" s="337"/>
      <c r="D285" s="421"/>
      <c r="E285" s="337"/>
      <c r="F285" s="337"/>
      <c r="G285" s="337"/>
      <c r="H285" s="337"/>
      <c r="I285" s="337"/>
      <c r="J285" s="337"/>
      <c r="K285" s="337"/>
      <c r="L285" s="229"/>
      <c r="M285" s="269"/>
      <c r="N285" s="350"/>
      <c r="O285" s="350"/>
      <c r="P285" s="353"/>
      <c r="Q285" s="243"/>
      <c r="R285" s="239"/>
      <c r="S285" s="239"/>
      <c r="T285" s="239"/>
      <c r="U285" s="239"/>
      <c r="V285" s="239"/>
    </row>
    <row r="286" spans="1:23" ht="24" customHeight="1">
      <c r="A286" s="421" t="s">
        <v>309</v>
      </c>
      <c r="B286" s="422"/>
      <c r="C286" s="422"/>
      <c r="D286" s="421" t="s">
        <v>310</v>
      </c>
      <c r="E286" s="422"/>
      <c r="F286" s="422"/>
      <c r="G286" s="422"/>
      <c r="H286" s="422"/>
      <c r="I286" s="422"/>
      <c r="J286" s="422"/>
      <c r="K286" s="422"/>
      <c r="L286" s="237"/>
      <c r="M286" s="263"/>
      <c r="N286" s="348">
        <v>4432</v>
      </c>
      <c r="O286" s="348">
        <f>O48</f>
        <v>350</v>
      </c>
      <c r="P286" s="349">
        <v>5000</v>
      </c>
      <c r="Q286" s="236">
        <f t="shared" ref="Q286:V286" si="21">Q48</f>
        <v>100</v>
      </c>
      <c r="R286" s="235">
        <f t="shared" si="21"/>
        <v>500</v>
      </c>
      <c r="S286" s="235">
        <f t="shared" si="21"/>
        <v>500</v>
      </c>
      <c r="T286" s="235">
        <f t="shared" si="21"/>
        <v>500</v>
      </c>
      <c r="U286" s="235">
        <f t="shared" si="21"/>
        <v>500</v>
      </c>
      <c r="V286" s="235">
        <f t="shared" si="21"/>
        <v>500</v>
      </c>
    </row>
    <row r="287" spans="1:23" ht="24" customHeight="1">
      <c r="A287" s="421" t="s">
        <v>1474</v>
      </c>
      <c r="B287" s="422"/>
      <c r="C287" s="422"/>
      <c r="D287" s="421" t="s">
        <v>851</v>
      </c>
      <c r="E287" s="422"/>
      <c r="F287" s="422"/>
      <c r="G287" s="422"/>
      <c r="H287" s="422"/>
      <c r="I287" s="422"/>
      <c r="J287" s="422"/>
      <c r="K287" s="422"/>
      <c r="L287" s="237"/>
      <c r="M287" s="263"/>
      <c r="N287" s="348">
        <v>0</v>
      </c>
      <c r="O287" s="348">
        <v>0</v>
      </c>
      <c r="P287" s="349">
        <v>60000</v>
      </c>
      <c r="Q287" s="236">
        <v>0</v>
      </c>
      <c r="R287" s="235">
        <v>0</v>
      </c>
      <c r="S287" s="235">
        <v>0</v>
      </c>
      <c r="T287" s="235">
        <v>0</v>
      </c>
      <c r="U287" s="235">
        <v>0</v>
      </c>
      <c r="V287" s="235">
        <v>0</v>
      </c>
    </row>
    <row r="288" spans="1:23" ht="24" customHeight="1">
      <c r="A288" s="421" t="s">
        <v>269</v>
      </c>
      <c r="B288" s="337"/>
      <c r="C288" s="337"/>
      <c r="D288" s="421" t="s">
        <v>14</v>
      </c>
      <c r="E288" s="337"/>
      <c r="F288" s="337"/>
      <c r="G288" s="337"/>
      <c r="H288" s="337"/>
      <c r="I288" s="337"/>
      <c r="J288" s="337"/>
      <c r="K288" s="337"/>
      <c r="L288" s="229"/>
      <c r="M288" s="263"/>
      <c r="N288" s="348">
        <f>1185928-N151</f>
        <v>1135216</v>
      </c>
      <c r="O288" s="348">
        <f>1207844-O151</f>
        <v>1199018</v>
      </c>
      <c r="P288" s="349">
        <v>0</v>
      </c>
      <c r="Q288" s="236">
        <v>0</v>
      </c>
      <c r="R288" s="235">
        <v>0</v>
      </c>
      <c r="S288" s="235">
        <f>R288*1.1</f>
        <v>0</v>
      </c>
      <c r="T288" s="235">
        <v>0</v>
      </c>
      <c r="U288" s="235">
        <v>0</v>
      </c>
      <c r="V288" s="235">
        <v>0</v>
      </c>
    </row>
    <row r="289" spans="1:23" ht="24" customHeight="1">
      <c r="A289" s="421" t="s">
        <v>226</v>
      </c>
      <c r="B289" s="337"/>
      <c r="C289" s="337"/>
      <c r="D289" s="421" t="s">
        <v>229</v>
      </c>
      <c r="E289" s="337"/>
      <c r="F289" s="337"/>
      <c r="G289" s="337"/>
      <c r="H289" s="337"/>
      <c r="I289" s="337"/>
      <c r="J289" s="337"/>
      <c r="K289" s="337"/>
      <c r="L289" s="229"/>
      <c r="M289" s="263"/>
      <c r="N289" s="348">
        <f>24060-N152</f>
        <v>23151</v>
      </c>
      <c r="O289" s="348">
        <f>14098-O152</f>
        <v>14022</v>
      </c>
      <c r="P289" s="349">
        <v>0</v>
      </c>
      <c r="Q289" s="236">
        <v>0</v>
      </c>
      <c r="R289" s="235">
        <v>0</v>
      </c>
      <c r="S289" s="235">
        <v>0</v>
      </c>
      <c r="T289" s="235">
        <v>0</v>
      </c>
      <c r="U289" s="235">
        <v>0</v>
      </c>
      <c r="V289" s="235">
        <v>0</v>
      </c>
    </row>
    <row r="290" spans="1:23" ht="24" customHeight="1">
      <c r="A290" s="421" t="s">
        <v>225</v>
      </c>
      <c r="B290" s="337"/>
      <c r="C290" s="337"/>
      <c r="D290" s="421" t="s">
        <v>819</v>
      </c>
      <c r="E290" s="337"/>
      <c r="F290" s="337"/>
      <c r="G290" s="337"/>
      <c r="H290" s="337"/>
      <c r="I290" s="337"/>
      <c r="J290" s="337"/>
      <c r="K290" s="337"/>
      <c r="L290" s="229"/>
      <c r="M290" s="263"/>
      <c r="N290" s="348">
        <f>86818-N153</f>
        <v>83004</v>
      </c>
      <c r="O290" s="348">
        <f>87225-O153</f>
        <v>86598</v>
      </c>
      <c r="P290" s="349">
        <v>0</v>
      </c>
      <c r="Q290" s="236">
        <v>0</v>
      </c>
      <c r="R290" s="235">
        <v>0</v>
      </c>
      <c r="S290" s="235">
        <v>0</v>
      </c>
      <c r="T290" s="235">
        <v>0</v>
      </c>
      <c r="U290" s="235">
        <v>0</v>
      </c>
      <c r="V290" s="235">
        <v>0</v>
      </c>
    </row>
    <row r="291" spans="1:23" ht="24" customHeight="1">
      <c r="A291" s="421" t="s">
        <v>224</v>
      </c>
      <c r="B291" s="337"/>
      <c r="C291" s="337"/>
      <c r="D291" s="421" t="s">
        <v>821</v>
      </c>
      <c r="E291" s="337"/>
      <c r="F291" s="337"/>
      <c r="G291" s="337"/>
      <c r="H291" s="337"/>
      <c r="I291" s="337"/>
      <c r="J291" s="337"/>
      <c r="K291" s="337"/>
      <c r="L291" s="229"/>
      <c r="M291" s="263"/>
      <c r="N291" s="348">
        <f>12532-N154</f>
        <v>11991</v>
      </c>
      <c r="O291" s="348">
        <f>10188-O154</f>
        <v>10117</v>
      </c>
      <c r="P291" s="349">
        <v>0</v>
      </c>
      <c r="Q291" s="236">
        <v>0</v>
      </c>
      <c r="R291" s="235">
        <v>0</v>
      </c>
      <c r="S291" s="235">
        <v>0</v>
      </c>
      <c r="T291" s="235">
        <v>0</v>
      </c>
      <c r="U291" s="235">
        <v>0</v>
      </c>
      <c r="V291" s="235">
        <v>0</v>
      </c>
    </row>
    <row r="292" spans="1:23" ht="24" customHeight="1">
      <c r="A292" s="421" t="s">
        <v>822</v>
      </c>
      <c r="B292" s="337"/>
      <c r="C292" s="337"/>
      <c r="D292" s="421" t="s">
        <v>228</v>
      </c>
      <c r="E292" s="337"/>
      <c r="F292" s="337"/>
      <c r="G292" s="337"/>
      <c r="H292" s="337"/>
      <c r="I292" s="337"/>
      <c r="J292" s="337"/>
      <c r="K292" s="337"/>
      <c r="L292" s="229"/>
      <c r="M292" s="263"/>
      <c r="N292" s="348">
        <v>2425</v>
      </c>
      <c r="O292" s="348">
        <v>0</v>
      </c>
      <c r="P292" s="349">
        <v>150</v>
      </c>
      <c r="Q292" s="236">
        <v>0</v>
      </c>
      <c r="R292" s="235">
        <v>0</v>
      </c>
      <c r="S292" s="235">
        <v>0</v>
      </c>
      <c r="T292" s="235">
        <v>0</v>
      </c>
      <c r="U292" s="235">
        <v>0</v>
      </c>
      <c r="V292" s="235">
        <v>0</v>
      </c>
    </row>
    <row r="293" spans="1:23" ht="24" customHeight="1">
      <c r="A293" s="421" t="s">
        <v>223</v>
      </c>
      <c r="B293" s="422"/>
      <c r="C293" s="422"/>
      <c r="D293" s="421" t="s">
        <v>227</v>
      </c>
      <c r="E293" s="422"/>
      <c r="F293" s="422"/>
      <c r="G293" s="422"/>
      <c r="H293" s="422"/>
      <c r="I293" s="422"/>
      <c r="J293" s="422"/>
      <c r="K293" s="422"/>
      <c r="L293" s="237"/>
      <c r="M293" s="263"/>
      <c r="N293" s="348">
        <v>77786</v>
      </c>
      <c r="O293" s="348">
        <v>91200</v>
      </c>
      <c r="P293" s="349">
        <v>47143</v>
      </c>
      <c r="Q293" s="236">
        <v>37000</v>
      </c>
      <c r="R293" s="235">
        <v>45000</v>
      </c>
      <c r="S293" s="235">
        <v>45000</v>
      </c>
      <c r="T293" s="235">
        <v>45000</v>
      </c>
      <c r="U293" s="235">
        <v>45000</v>
      </c>
      <c r="V293" s="235">
        <v>45000</v>
      </c>
    </row>
    <row r="294" spans="1:23" ht="24" customHeight="1">
      <c r="A294" s="421" t="s">
        <v>222</v>
      </c>
      <c r="B294" s="337"/>
      <c r="C294" s="337"/>
      <c r="D294" s="421" t="s">
        <v>300</v>
      </c>
      <c r="E294" s="337"/>
      <c r="F294" s="337"/>
      <c r="G294" s="337"/>
      <c r="H294" s="337"/>
      <c r="I294" s="337"/>
      <c r="J294" s="337"/>
      <c r="K294" s="421"/>
      <c r="L294" s="247"/>
      <c r="M294" s="263"/>
      <c r="N294" s="348">
        <v>325906</v>
      </c>
      <c r="O294" s="348">
        <v>308490</v>
      </c>
      <c r="P294" s="349">
        <v>332256</v>
      </c>
      <c r="Q294" s="236">
        <v>250000</v>
      </c>
      <c r="R294" s="235">
        <f>205502+42816+12984</f>
        <v>261302</v>
      </c>
      <c r="S294" s="235">
        <v>276980</v>
      </c>
      <c r="T294" s="235">
        <v>293599</v>
      </c>
      <c r="U294" s="235">
        <v>311215</v>
      </c>
      <c r="V294" s="235">
        <v>329888</v>
      </c>
    </row>
    <row r="295" spans="1:23" ht="24" customHeight="1">
      <c r="A295" s="421" t="s">
        <v>1029</v>
      </c>
      <c r="B295" s="337"/>
      <c r="C295" s="337"/>
      <c r="D295" s="423" t="s">
        <v>1032</v>
      </c>
      <c r="E295" s="337"/>
      <c r="F295" s="337"/>
      <c r="G295" s="337"/>
      <c r="H295" s="337"/>
      <c r="I295" s="337"/>
      <c r="J295" s="337"/>
      <c r="K295" s="337"/>
      <c r="L295" s="229"/>
      <c r="M295" s="247"/>
      <c r="N295" s="346">
        <v>0</v>
      </c>
      <c r="O295" s="348">
        <v>0</v>
      </c>
      <c r="P295" s="349">
        <v>104458</v>
      </c>
      <c r="Q295" s="236">
        <v>100000</v>
      </c>
      <c r="R295" s="235">
        <v>44723</v>
      </c>
      <c r="S295" s="241">
        <v>49195</v>
      </c>
      <c r="T295" s="241">
        <v>54115</v>
      </c>
      <c r="U295" s="241">
        <f>57362-20000</f>
        <v>37362</v>
      </c>
      <c r="V295" s="241">
        <v>39604</v>
      </c>
    </row>
    <row r="296" spans="1:23" ht="24" customHeight="1">
      <c r="A296" s="421" t="s">
        <v>1030</v>
      </c>
      <c r="B296" s="337"/>
      <c r="C296" s="337"/>
      <c r="D296" s="423" t="s">
        <v>1033</v>
      </c>
      <c r="E296" s="337"/>
      <c r="F296" s="337"/>
      <c r="G296" s="337"/>
      <c r="H296" s="337"/>
      <c r="I296" s="337"/>
      <c r="J296" s="337"/>
      <c r="K296" s="337"/>
      <c r="L296" s="229"/>
      <c r="M296" s="247"/>
      <c r="N296" s="346">
        <v>0</v>
      </c>
      <c r="O296" s="348">
        <v>0</v>
      </c>
      <c r="P296" s="349">
        <v>5246</v>
      </c>
      <c r="Q296" s="236">
        <v>5246</v>
      </c>
      <c r="R296" s="235">
        <v>1333</v>
      </c>
      <c r="S296" s="241">
        <v>1466</v>
      </c>
      <c r="T296" s="241">
        <v>1613</v>
      </c>
      <c r="U296" s="241">
        <v>1000</v>
      </c>
      <c r="V296" s="241">
        <v>1000</v>
      </c>
    </row>
    <row r="297" spans="1:23" ht="24" customHeight="1">
      <c r="A297" s="421" t="s">
        <v>1031</v>
      </c>
      <c r="B297" s="337"/>
      <c r="C297" s="337"/>
      <c r="D297" s="423" t="s">
        <v>1034</v>
      </c>
      <c r="E297" s="337"/>
      <c r="F297" s="337"/>
      <c r="G297" s="337"/>
      <c r="H297" s="337"/>
      <c r="I297" s="337"/>
      <c r="J297" s="337"/>
      <c r="K297" s="337"/>
      <c r="L297" s="229"/>
      <c r="M297" s="247"/>
      <c r="N297" s="346">
        <v>0</v>
      </c>
      <c r="O297" s="348">
        <v>0</v>
      </c>
      <c r="P297" s="349">
        <v>636</v>
      </c>
      <c r="Q297" s="236">
        <v>636</v>
      </c>
      <c r="R297" s="235">
        <v>160</v>
      </c>
      <c r="S297" s="241">
        <v>176</v>
      </c>
      <c r="T297" s="241">
        <v>194</v>
      </c>
      <c r="U297" s="241">
        <v>100</v>
      </c>
      <c r="V297" s="241">
        <v>100</v>
      </c>
    </row>
    <row r="298" spans="1:23" ht="24" customHeight="1">
      <c r="A298" s="421" t="s">
        <v>1035</v>
      </c>
      <c r="B298" s="337"/>
      <c r="C298" s="337"/>
      <c r="D298" s="423" t="s">
        <v>1038</v>
      </c>
      <c r="E298" s="337"/>
      <c r="F298" s="337"/>
      <c r="G298" s="337"/>
      <c r="H298" s="337"/>
      <c r="I298" s="337"/>
      <c r="J298" s="337"/>
      <c r="K298" s="337"/>
      <c r="L298" s="229"/>
      <c r="M298" s="247"/>
      <c r="N298" s="346">
        <v>0</v>
      </c>
      <c r="O298" s="348">
        <v>0</v>
      </c>
      <c r="P298" s="349">
        <v>11375</v>
      </c>
      <c r="Q298" s="236">
        <v>408</v>
      </c>
      <c r="R298" s="235">
        <v>0</v>
      </c>
      <c r="S298" s="235">
        <v>0</v>
      </c>
      <c r="T298" s="235">
        <v>0</v>
      </c>
      <c r="U298" s="235">
        <v>0</v>
      </c>
      <c r="V298" s="235">
        <v>0</v>
      </c>
    </row>
    <row r="299" spans="1:23" ht="24" customHeight="1">
      <c r="A299" s="421" t="s">
        <v>1036</v>
      </c>
      <c r="B299" s="337"/>
      <c r="C299" s="337"/>
      <c r="D299" s="423" t="s">
        <v>1039</v>
      </c>
      <c r="E299" s="337"/>
      <c r="F299" s="337"/>
      <c r="G299" s="337"/>
      <c r="H299" s="337"/>
      <c r="I299" s="337"/>
      <c r="J299" s="337"/>
      <c r="K299" s="337"/>
      <c r="L299" s="229"/>
      <c r="M299" s="247"/>
      <c r="N299" s="346">
        <v>0</v>
      </c>
      <c r="O299" s="348">
        <v>0</v>
      </c>
      <c r="P299" s="349">
        <v>1000</v>
      </c>
      <c r="Q299" s="236">
        <v>0</v>
      </c>
      <c r="R299" s="235">
        <v>0</v>
      </c>
      <c r="S299" s="235">
        <v>0</v>
      </c>
      <c r="T299" s="235">
        <v>0</v>
      </c>
      <c r="U299" s="235">
        <v>0</v>
      </c>
      <c r="V299" s="235">
        <v>0</v>
      </c>
    </row>
    <row r="300" spans="1:23" ht="24" customHeight="1">
      <c r="A300" s="421" t="s">
        <v>1037</v>
      </c>
      <c r="B300" s="337"/>
      <c r="C300" s="337"/>
      <c r="D300" s="423" t="s">
        <v>1040</v>
      </c>
      <c r="E300" s="337"/>
      <c r="F300" s="337"/>
      <c r="G300" s="337"/>
      <c r="H300" s="337"/>
      <c r="I300" s="337"/>
      <c r="J300" s="337"/>
      <c r="K300" s="337"/>
      <c r="L300" s="229"/>
      <c r="M300" s="247"/>
      <c r="N300" s="346">
        <v>0</v>
      </c>
      <c r="O300" s="348">
        <v>0</v>
      </c>
      <c r="P300" s="349">
        <v>125</v>
      </c>
      <c r="Q300" s="236">
        <v>0</v>
      </c>
      <c r="R300" s="235">
        <v>0</v>
      </c>
      <c r="S300" s="235">
        <v>0</v>
      </c>
      <c r="T300" s="235">
        <v>0</v>
      </c>
      <c r="U300" s="235">
        <v>0</v>
      </c>
      <c r="V300" s="235">
        <v>0</v>
      </c>
    </row>
    <row r="301" spans="1:23" ht="24" customHeight="1">
      <c r="A301" s="421" t="s">
        <v>1402</v>
      </c>
      <c r="B301" s="337"/>
      <c r="C301" s="337"/>
      <c r="D301" s="421" t="s">
        <v>1403</v>
      </c>
      <c r="E301" s="337"/>
      <c r="F301" s="337"/>
      <c r="G301" s="337"/>
      <c r="H301" s="337"/>
      <c r="I301" s="337"/>
      <c r="J301" s="337"/>
      <c r="K301" s="421"/>
      <c r="L301" s="247"/>
      <c r="M301" s="263"/>
      <c r="N301" s="348">
        <v>0</v>
      </c>
      <c r="O301" s="350">
        <v>0</v>
      </c>
      <c r="P301" s="353">
        <v>0</v>
      </c>
      <c r="Q301" s="243">
        <v>0</v>
      </c>
      <c r="R301" s="239">
        <v>25000</v>
      </c>
      <c r="S301" s="235">
        <v>50000</v>
      </c>
      <c r="T301" s="235">
        <v>50000</v>
      </c>
      <c r="U301" s="235">
        <v>50000</v>
      </c>
      <c r="V301" s="235">
        <f>25000+12500</f>
        <v>37500</v>
      </c>
    </row>
    <row r="302" spans="1:23" ht="24" customHeight="1">
      <c r="A302" s="421" t="s">
        <v>919</v>
      </c>
      <c r="B302" s="337"/>
      <c r="C302" s="337"/>
      <c r="D302" s="421" t="s">
        <v>918</v>
      </c>
      <c r="E302" s="337"/>
      <c r="F302" s="337"/>
      <c r="G302" s="337"/>
      <c r="H302" s="337"/>
      <c r="I302" s="337"/>
      <c r="J302" s="337"/>
      <c r="K302" s="421"/>
      <c r="L302" s="247"/>
      <c r="M302" s="263"/>
      <c r="N302" s="348">
        <v>0</v>
      </c>
      <c r="O302" s="350">
        <v>0</v>
      </c>
      <c r="P302" s="353">
        <v>0</v>
      </c>
      <c r="Q302" s="243">
        <v>22000</v>
      </c>
      <c r="R302" s="239">
        <v>26000</v>
      </c>
      <c r="S302" s="235">
        <v>150000</v>
      </c>
      <c r="T302" s="235">
        <v>200000</v>
      </c>
      <c r="U302" s="235">
        <v>250000</v>
      </c>
      <c r="V302" s="235">
        <v>300000</v>
      </c>
    </row>
    <row r="303" spans="1:23" ht="24" customHeight="1">
      <c r="A303" s="421" t="s">
        <v>927</v>
      </c>
      <c r="B303" s="424"/>
      <c r="C303" s="424"/>
      <c r="D303" s="423" t="s">
        <v>928</v>
      </c>
      <c r="E303" s="424"/>
      <c r="F303" s="424"/>
      <c r="G303" s="424"/>
      <c r="H303" s="424"/>
      <c r="I303" s="424"/>
      <c r="J303" s="424"/>
      <c r="K303" s="424"/>
      <c r="L303" s="253"/>
      <c r="M303" s="263"/>
      <c r="N303" s="348">
        <v>0</v>
      </c>
      <c r="O303" s="348">
        <f>55605-O307</f>
        <v>55155</v>
      </c>
      <c r="P303" s="349">
        <v>140000</v>
      </c>
      <c r="Q303" s="236">
        <v>140000</v>
      </c>
      <c r="R303" s="235">
        <v>90000</v>
      </c>
      <c r="S303" s="235">
        <v>94500</v>
      </c>
      <c r="T303" s="235">
        <v>99225</v>
      </c>
      <c r="U303" s="235">
        <v>104186</v>
      </c>
      <c r="V303" s="235">
        <v>109396</v>
      </c>
      <c r="W303" s="282"/>
    </row>
    <row r="304" spans="1:23" ht="24" customHeight="1">
      <c r="A304" s="421" t="s">
        <v>850</v>
      </c>
      <c r="B304" s="424"/>
      <c r="C304" s="424"/>
      <c r="D304" s="421" t="s">
        <v>849</v>
      </c>
      <c r="E304" s="424"/>
      <c r="F304" s="424"/>
      <c r="G304" s="424"/>
      <c r="H304" s="424"/>
      <c r="I304" s="424"/>
      <c r="J304" s="424"/>
      <c r="K304" s="424"/>
      <c r="L304" s="253"/>
      <c r="M304" s="263"/>
      <c r="N304" s="348">
        <v>0</v>
      </c>
      <c r="O304" s="350">
        <v>0</v>
      </c>
      <c r="P304" s="353">
        <v>0</v>
      </c>
      <c r="Q304" s="243">
        <v>0</v>
      </c>
      <c r="R304" s="239">
        <v>0</v>
      </c>
      <c r="S304" s="239">
        <v>50000</v>
      </c>
      <c r="T304" s="239">
        <v>50000</v>
      </c>
      <c r="U304" s="239">
        <v>50000</v>
      </c>
      <c r="V304" s="239">
        <v>50000</v>
      </c>
    </row>
    <row r="305" spans="1:22" ht="24" customHeight="1">
      <c r="A305" s="421" t="s">
        <v>270</v>
      </c>
      <c r="B305" s="424"/>
      <c r="C305" s="424"/>
      <c r="D305" s="421" t="s">
        <v>241</v>
      </c>
      <c r="E305" s="424"/>
      <c r="F305" s="424"/>
      <c r="G305" s="424"/>
      <c r="H305" s="424"/>
      <c r="I305" s="424"/>
      <c r="J305" s="424"/>
      <c r="K305" s="424"/>
      <c r="L305" s="253"/>
      <c r="M305" s="263"/>
      <c r="N305" s="348">
        <v>117960</v>
      </c>
      <c r="O305" s="348">
        <v>81998</v>
      </c>
      <c r="P305" s="349">
        <v>130000</v>
      </c>
      <c r="Q305" s="236">
        <v>110000</v>
      </c>
      <c r="R305" s="235">
        <v>110000</v>
      </c>
      <c r="S305" s="235">
        <v>115500</v>
      </c>
      <c r="T305" s="235">
        <v>121275</v>
      </c>
      <c r="U305" s="235">
        <v>127339</v>
      </c>
      <c r="V305" s="235">
        <v>133706</v>
      </c>
    </row>
    <row r="306" spans="1:22" ht="24" customHeight="1">
      <c r="A306" s="421" t="s">
        <v>236</v>
      </c>
      <c r="B306" s="424"/>
      <c r="C306" s="424"/>
      <c r="D306" s="421" t="s">
        <v>240</v>
      </c>
      <c r="E306" s="424"/>
      <c r="F306" s="424"/>
      <c r="G306" s="424"/>
      <c r="H306" s="424"/>
      <c r="I306" s="424"/>
      <c r="J306" s="424"/>
      <c r="K306" s="424"/>
      <c r="L306" s="253"/>
      <c r="M306" s="263"/>
      <c r="N306" s="348">
        <v>87544</v>
      </c>
      <c r="O306" s="348">
        <v>70469</v>
      </c>
      <c r="P306" s="349">
        <v>60000</v>
      </c>
      <c r="Q306" s="236">
        <v>60000</v>
      </c>
      <c r="R306" s="235">
        <v>60000</v>
      </c>
      <c r="S306" s="235">
        <v>60000</v>
      </c>
      <c r="T306" s="235">
        <v>60000</v>
      </c>
      <c r="U306" s="235">
        <v>60000</v>
      </c>
      <c r="V306" s="235">
        <v>60000</v>
      </c>
    </row>
    <row r="307" spans="1:22" ht="24" customHeight="1">
      <c r="A307" s="421" t="s">
        <v>958</v>
      </c>
      <c r="B307" s="424"/>
      <c r="C307" s="424"/>
      <c r="D307" s="421" t="s">
        <v>10</v>
      </c>
      <c r="E307" s="424"/>
      <c r="F307" s="424"/>
      <c r="G307" s="424"/>
      <c r="H307" s="424"/>
      <c r="I307" s="424"/>
      <c r="J307" s="424"/>
      <c r="K307" s="424"/>
      <c r="L307" s="253"/>
      <c r="M307" s="263"/>
      <c r="N307" s="348">
        <v>0</v>
      </c>
      <c r="O307" s="377">
        <f>450</f>
        <v>450</v>
      </c>
      <c r="P307" s="349">
        <v>500</v>
      </c>
      <c r="Q307" s="236">
        <f>451+450</f>
        <v>901</v>
      </c>
      <c r="R307" s="235">
        <v>500</v>
      </c>
      <c r="S307" s="235">
        <v>500</v>
      </c>
      <c r="T307" s="235">
        <v>500</v>
      </c>
      <c r="U307" s="235">
        <v>500</v>
      </c>
      <c r="V307" s="235">
        <v>500</v>
      </c>
    </row>
    <row r="308" spans="1:22" ht="24" customHeight="1">
      <c r="A308" s="421" t="s">
        <v>235</v>
      </c>
      <c r="B308" s="424"/>
      <c r="C308" s="424"/>
      <c r="D308" s="421" t="s">
        <v>239</v>
      </c>
      <c r="E308" s="424"/>
      <c r="F308" s="424"/>
      <c r="G308" s="424"/>
      <c r="H308" s="424"/>
      <c r="I308" s="424"/>
      <c r="J308" s="424"/>
      <c r="K308" s="424"/>
      <c r="L308" s="253"/>
      <c r="M308" s="263"/>
      <c r="N308" s="348">
        <v>59394</v>
      </c>
      <c r="O308" s="348">
        <v>25261</v>
      </c>
      <c r="P308" s="349">
        <v>25000</v>
      </c>
      <c r="Q308" s="236">
        <v>25000</v>
      </c>
      <c r="R308" s="235">
        <v>25000</v>
      </c>
      <c r="S308" s="235">
        <v>25000</v>
      </c>
      <c r="T308" s="235">
        <v>25000</v>
      </c>
      <c r="U308" s="235">
        <v>25000</v>
      </c>
      <c r="V308" s="235">
        <v>25000</v>
      </c>
    </row>
    <row r="309" spans="1:22" ht="24" customHeight="1">
      <c r="A309" s="421" t="s">
        <v>334</v>
      </c>
      <c r="B309" s="424"/>
      <c r="C309" s="424"/>
      <c r="D309" s="421" t="s">
        <v>335</v>
      </c>
      <c r="E309" s="424"/>
      <c r="F309" s="424"/>
      <c r="G309" s="424"/>
      <c r="H309" s="424"/>
      <c r="I309" s="424"/>
      <c r="J309" s="424"/>
      <c r="K309" s="424"/>
      <c r="L309" s="253"/>
      <c r="M309" s="269"/>
      <c r="N309" s="350">
        <v>0</v>
      </c>
      <c r="O309" s="350">
        <v>222269</v>
      </c>
      <c r="P309" s="353">
        <v>180000</v>
      </c>
      <c r="Q309" s="243">
        <v>180000</v>
      </c>
      <c r="R309" s="239">
        <v>180000</v>
      </c>
      <c r="S309" s="239">
        <v>180000</v>
      </c>
      <c r="T309" s="239">
        <v>180000</v>
      </c>
      <c r="U309" s="239">
        <v>180000</v>
      </c>
      <c r="V309" s="239">
        <v>180000</v>
      </c>
    </row>
    <row r="310" spans="1:22" ht="24" customHeight="1">
      <c r="A310" s="421" t="s">
        <v>234</v>
      </c>
      <c r="B310" s="424"/>
      <c r="C310" s="424"/>
      <c r="D310" s="421" t="s">
        <v>238</v>
      </c>
      <c r="E310" s="424"/>
      <c r="F310" s="424"/>
      <c r="G310" s="424"/>
      <c r="H310" s="424"/>
      <c r="I310" s="424"/>
      <c r="J310" s="424"/>
      <c r="K310" s="424"/>
      <c r="L310" s="253"/>
      <c r="M310" s="263"/>
      <c r="N310" s="348">
        <v>75262</v>
      </c>
      <c r="O310" s="348">
        <v>93150</v>
      </c>
      <c r="P310" s="349">
        <v>85000</v>
      </c>
      <c r="Q310" s="236">
        <v>85000</v>
      </c>
      <c r="R310" s="235">
        <v>85000</v>
      </c>
      <c r="S310" s="235">
        <v>85000</v>
      </c>
      <c r="T310" s="235">
        <v>85000</v>
      </c>
      <c r="U310" s="235">
        <v>85000</v>
      </c>
      <c r="V310" s="235">
        <v>85000</v>
      </c>
    </row>
    <row r="311" spans="1:22" ht="24" customHeight="1">
      <c r="A311" s="421" t="s">
        <v>976</v>
      </c>
      <c r="B311" s="424"/>
      <c r="C311" s="424"/>
      <c r="D311" s="421" t="s">
        <v>135</v>
      </c>
      <c r="E311" s="424"/>
      <c r="F311" s="424"/>
      <c r="G311" s="424"/>
      <c r="H311" s="424"/>
      <c r="I311" s="424"/>
      <c r="J311" s="424"/>
      <c r="K311" s="424"/>
      <c r="L311" s="253"/>
      <c r="M311" s="263"/>
      <c r="N311" s="348">
        <v>0</v>
      </c>
      <c r="O311" s="348">
        <v>440</v>
      </c>
      <c r="P311" s="349">
        <v>0</v>
      </c>
      <c r="Q311" s="236">
        <v>0</v>
      </c>
      <c r="R311" s="235">
        <v>0</v>
      </c>
      <c r="S311" s="235">
        <v>0</v>
      </c>
      <c r="T311" s="235">
        <v>0</v>
      </c>
      <c r="U311" s="235">
        <v>0</v>
      </c>
      <c r="V311" s="235">
        <v>0</v>
      </c>
    </row>
    <row r="312" spans="1:22" ht="24" customHeight="1">
      <c r="A312" s="421" t="s">
        <v>271</v>
      </c>
      <c r="B312" s="424"/>
      <c r="C312" s="424"/>
      <c r="D312" s="421" t="s">
        <v>972</v>
      </c>
      <c r="E312" s="424"/>
      <c r="F312" s="424"/>
      <c r="G312" s="424"/>
      <c r="H312" s="424"/>
      <c r="I312" s="424"/>
      <c r="J312" s="424"/>
      <c r="K312" s="424"/>
      <c r="L312" s="253"/>
      <c r="M312" s="263"/>
      <c r="N312" s="348">
        <v>33255</v>
      </c>
      <c r="O312" s="348">
        <v>45926</v>
      </c>
      <c r="P312" s="349">
        <v>45000</v>
      </c>
      <c r="Q312" s="236">
        <v>45000</v>
      </c>
      <c r="R312" s="235">
        <v>45000</v>
      </c>
      <c r="S312" s="235">
        <v>45000</v>
      </c>
      <c r="T312" s="235">
        <v>45000</v>
      </c>
      <c r="U312" s="235">
        <v>45000</v>
      </c>
      <c r="V312" s="235">
        <v>45000</v>
      </c>
    </row>
    <row r="313" spans="1:22" ht="24" customHeight="1">
      <c r="A313" s="421" t="s">
        <v>233</v>
      </c>
      <c r="B313" s="424"/>
      <c r="C313" s="424"/>
      <c r="D313" s="421" t="s">
        <v>321</v>
      </c>
      <c r="E313" s="424"/>
      <c r="F313" s="424"/>
      <c r="G313" s="424"/>
      <c r="H313" s="424"/>
      <c r="I313" s="424"/>
      <c r="J313" s="424"/>
      <c r="K313" s="424"/>
      <c r="L313" s="253"/>
      <c r="M313" s="247"/>
      <c r="N313" s="346">
        <v>812</v>
      </c>
      <c r="O313" s="346">
        <v>1532</v>
      </c>
      <c r="P313" s="347">
        <v>1500</v>
      </c>
      <c r="Q313" s="232">
        <v>1196</v>
      </c>
      <c r="R313" s="231">
        <v>1500</v>
      </c>
      <c r="S313" s="231">
        <v>1500</v>
      </c>
      <c r="T313" s="231">
        <v>1500</v>
      </c>
      <c r="U313" s="231">
        <v>1500</v>
      </c>
      <c r="V313" s="231">
        <v>1500</v>
      </c>
    </row>
    <row r="314" spans="1:22" ht="24" customHeight="1">
      <c r="A314" s="421" t="s">
        <v>232</v>
      </c>
      <c r="B314" s="424"/>
      <c r="C314" s="424"/>
      <c r="D314" s="421" t="s">
        <v>237</v>
      </c>
      <c r="E314" s="424"/>
      <c r="F314" s="424"/>
      <c r="G314" s="424"/>
      <c r="H314" s="424"/>
      <c r="I314" s="424"/>
      <c r="J314" s="424"/>
      <c r="K314" s="424"/>
      <c r="L314" s="253"/>
      <c r="M314" s="263"/>
      <c r="N314" s="348">
        <v>863793</v>
      </c>
      <c r="O314" s="346">
        <v>1024421</v>
      </c>
      <c r="P314" s="349">
        <v>824000</v>
      </c>
      <c r="Q314" s="236">
        <v>824000</v>
      </c>
      <c r="R314" s="235">
        <v>832240</v>
      </c>
      <c r="S314" s="235">
        <v>840562</v>
      </c>
      <c r="T314" s="235">
        <v>857374</v>
      </c>
      <c r="U314" s="235">
        <v>874521</v>
      </c>
      <c r="V314" s="235">
        <v>900757</v>
      </c>
    </row>
    <row r="315" spans="1:22" ht="24" customHeight="1">
      <c r="A315" s="421" t="s">
        <v>231</v>
      </c>
      <c r="B315" s="424"/>
      <c r="C315" s="424"/>
      <c r="D315" s="421" t="s">
        <v>1435</v>
      </c>
      <c r="E315" s="424"/>
      <c r="F315" s="424"/>
      <c r="G315" s="424"/>
      <c r="H315" s="424"/>
      <c r="I315" s="424"/>
      <c r="J315" s="424"/>
      <c r="K315" s="424"/>
      <c r="L315" s="253"/>
      <c r="M315" s="247"/>
      <c r="N315" s="346">
        <v>283777</v>
      </c>
      <c r="O315" s="346">
        <v>305908</v>
      </c>
      <c r="P315" s="347">
        <v>300000</v>
      </c>
      <c r="Q315" s="232">
        <f t="shared" ref="Q315:V315" si="22">Q22+Q23</f>
        <v>300000</v>
      </c>
      <c r="R315" s="231">
        <f>R22+R23</f>
        <v>300000</v>
      </c>
      <c r="S315" s="231">
        <f t="shared" si="22"/>
        <v>300000</v>
      </c>
      <c r="T315" s="231">
        <f t="shared" si="22"/>
        <v>300000</v>
      </c>
      <c r="U315" s="231">
        <f t="shared" si="22"/>
        <v>300000</v>
      </c>
      <c r="V315" s="231">
        <f t="shared" si="22"/>
        <v>300000</v>
      </c>
    </row>
    <row r="316" spans="1:22" ht="24" customHeight="1">
      <c r="A316" s="421" t="s">
        <v>230</v>
      </c>
      <c r="B316" s="424"/>
      <c r="C316" s="424"/>
      <c r="D316" s="421" t="s">
        <v>311</v>
      </c>
      <c r="E316" s="424"/>
      <c r="F316" s="424"/>
      <c r="G316" s="424"/>
      <c r="H316" s="424"/>
      <c r="I316" s="424"/>
      <c r="J316" s="424"/>
      <c r="K316" s="424"/>
      <c r="L316" s="253"/>
      <c r="M316" s="263"/>
      <c r="N316" s="348">
        <v>99959</v>
      </c>
      <c r="O316" s="348">
        <v>104845</v>
      </c>
      <c r="P316" s="349">
        <v>104500</v>
      </c>
      <c r="Q316" s="236">
        <f t="shared" ref="Q316:V316" si="23">Q21</f>
        <v>119199</v>
      </c>
      <c r="R316" s="235">
        <f t="shared" si="23"/>
        <v>104500</v>
      </c>
      <c r="S316" s="235">
        <f t="shared" si="23"/>
        <v>104500</v>
      </c>
      <c r="T316" s="235">
        <f t="shared" si="23"/>
        <v>104500</v>
      </c>
      <c r="U316" s="235">
        <f t="shared" si="23"/>
        <v>104500</v>
      </c>
      <c r="V316" s="235">
        <f t="shared" si="23"/>
        <v>104500</v>
      </c>
    </row>
    <row r="317" spans="1:22" ht="24" customHeight="1">
      <c r="A317" s="421" t="s">
        <v>242</v>
      </c>
      <c r="B317" s="337"/>
      <c r="C317" s="337"/>
      <c r="D317" s="421" t="s">
        <v>22</v>
      </c>
      <c r="E317" s="337"/>
      <c r="F317" s="337"/>
      <c r="G317" s="337"/>
      <c r="H317" s="337"/>
      <c r="I317" s="337"/>
      <c r="J317" s="337"/>
      <c r="K317" s="337"/>
      <c r="L317" s="229"/>
      <c r="M317" s="263"/>
      <c r="N317" s="348">
        <v>91278</v>
      </c>
      <c r="O317" s="348">
        <v>154569</v>
      </c>
      <c r="P317" s="349">
        <v>0</v>
      </c>
      <c r="Q317" s="236">
        <v>5000</v>
      </c>
      <c r="R317" s="235">
        <v>5000</v>
      </c>
      <c r="S317" s="235">
        <v>5000</v>
      </c>
      <c r="T317" s="235">
        <v>5000</v>
      </c>
      <c r="U317" s="235">
        <v>5000</v>
      </c>
      <c r="V317" s="235">
        <v>5000</v>
      </c>
    </row>
    <row r="318" spans="1:22" ht="24" customHeight="1">
      <c r="A318" s="421" t="s">
        <v>324</v>
      </c>
      <c r="B318" s="424"/>
      <c r="C318" s="424"/>
      <c r="D318" s="421" t="s">
        <v>325</v>
      </c>
      <c r="E318" s="337"/>
      <c r="F318" s="424"/>
      <c r="G318" s="424"/>
      <c r="H318" s="424"/>
      <c r="I318" s="424"/>
      <c r="J318" s="424"/>
      <c r="K318" s="424"/>
      <c r="L318" s="253"/>
      <c r="M318" s="263"/>
      <c r="N318" s="348">
        <v>0</v>
      </c>
      <c r="O318" s="348">
        <v>2910</v>
      </c>
      <c r="P318" s="349">
        <v>5000</v>
      </c>
      <c r="Q318" s="236">
        <v>12588</v>
      </c>
      <c r="R318" s="235">
        <f>R58</f>
        <v>5000</v>
      </c>
      <c r="S318" s="235">
        <f>S58</f>
        <v>5000</v>
      </c>
      <c r="T318" s="235">
        <f>T58</f>
        <v>5000</v>
      </c>
      <c r="U318" s="235">
        <f>U58</f>
        <v>5000</v>
      </c>
      <c r="V318" s="235">
        <f>V58</f>
        <v>5000</v>
      </c>
    </row>
    <row r="319" spans="1:22" ht="24" customHeight="1">
      <c r="A319" s="421" t="s">
        <v>243</v>
      </c>
      <c r="B319" s="337"/>
      <c r="C319" s="337"/>
      <c r="D319" s="421" t="s">
        <v>113</v>
      </c>
      <c r="E319" s="337"/>
      <c r="F319" s="337"/>
      <c r="G319" s="337"/>
      <c r="H319" s="337"/>
      <c r="I319" s="337"/>
      <c r="J319" s="337"/>
      <c r="K319" s="337"/>
      <c r="L319" s="229"/>
      <c r="M319" s="263"/>
      <c r="N319" s="348">
        <v>75000</v>
      </c>
      <c r="O319" s="348">
        <v>52075</v>
      </c>
      <c r="P319" s="349">
        <v>50000</v>
      </c>
      <c r="Q319" s="236">
        <v>50000</v>
      </c>
      <c r="R319" s="235">
        <v>50000</v>
      </c>
      <c r="S319" s="235">
        <v>50000</v>
      </c>
      <c r="T319" s="235">
        <v>50000</v>
      </c>
      <c r="U319" s="235">
        <v>50000</v>
      </c>
      <c r="V319" s="235">
        <v>50000</v>
      </c>
    </row>
    <row r="320" spans="1:22" ht="24" customHeight="1">
      <c r="A320" s="421" t="s">
        <v>1268</v>
      </c>
      <c r="B320" s="337"/>
      <c r="C320" s="337"/>
      <c r="D320" s="421" t="s">
        <v>1269</v>
      </c>
      <c r="E320" s="337"/>
      <c r="F320" s="337"/>
      <c r="G320" s="337"/>
      <c r="H320" s="337"/>
      <c r="I320" s="337"/>
      <c r="J320" s="337"/>
      <c r="K320" s="337"/>
      <c r="L320" s="229"/>
      <c r="M320" s="279"/>
      <c r="N320" s="351">
        <v>0</v>
      </c>
      <c r="O320" s="351">
        <v>0</v>
      </c>
      <c r="P320" s="352">
        <v>0</v>
      </c>
      <c r="Q320" s="242">
        <v>0</v>
      </c>
      <c r="R320" s="241">
        <f>R412</f>
        <v>573374</v>
      </c>
      <c r="S320" s="241">
        <v>0</v>
      </c>
      <c r="T320" s="241">
        <v>0</v>
      </c>
      <c r="U320" s="241">
        <v>0</v>
      </c>
      <c r="V320" s="241">
        <v>0</v>
      </c>
    </row>
    <row r="321" spans="1:23" ht="24" customHeight="1">
      <c r="A321" s="421" t="s">
        <v>248</v>
      </c>
      <c r="B321" s="337"/>
      <c r="C321" s="337"/>
      <c r="D321" s="421" t="s">
        <v>272</v>
      </c>
      <c r="E321" s="337"/>
      <c r="F321" s="337"/>
      <c r="G321" s="337"/>
      <c r="H321" s="337"/>
      <c r="I321" s="337"/>
      <c r="J321" s="337"/>
      <c r="K321" s="337"/>
      <c r="L321" s="229"/>
      <c r="M321" s="279"/>
      <c r="N321" s="351">
        <v>135484</v>
      </c>
      <c r="O321" s="351">
        <v>125000</v>
      </c>
      <c r="P321" s="352">
        <v>419332</v>
      </c>
      <c r="Q321" s="242">
        <f t="shared" ref="Q321:V321" si="24">Q443</f>
        <v>419332</v>
      </c>
      <c r="R321" s="241">
        <f t="shared" si="24"/>
        <v>270401</v>
      </c>
      <c r="S321" s="241">
        <f t="shared" si="24"/>
        <v>0</v>
      </c>
      <c r="T321" s="241">
        <f t="shared" si="24"/>
        <v>0</v>
      </c>
      <c r="U321" s="241">
        <f t="shared" si="24"/>
        <v>1117994</v>
      </c>
      <c r="V321" s="241">
        <f t="shared" si="24"/>
        <v>300890</v>
      </c>
    </row>
    <row r="322" spans="1:23" ht="24" customHeight="1">
      <c r="A322" s="421" t="s">
        <v>249</v>
      </c>
      <c r="B322" s="422"/>
      <c r="C322" s="422"/>
      <c r="D322" s="421" t="s">
        <v>273</v>
      </c>
      <c r="E322" s="422"/>
      <c r="F322" s="422"/>
      <c r="G322" s="422"/>
      <c r="H322" s="422"/>
      <c r="I322" s="422"/>
      <c r="J322" s="422"/>
      <c r="K322" s="422"/>
      <c r="L322" s="237"/>
      <c r="M322" s="269"/>
      <c r="N322" s="350">
        <v>429404</v>
      </c>
      <c r="O322" s="350">
        <v>103740</v>
      </c>
      <c r="P322" s="353">
        <v>99465</v>
      </c>
      <c r="Q322" s="243">
        <v>99465</v>
      </c>
      <c r="R322" s="239">
        <f>R561</f>
        <v>0</v>
      </c>
      <c r="S322" s="239">
        <f>S561</f>
        <v>0</v>
      </c>
      <c r="T322" s="239">
        <f>T561</f>
        <v>26386</v>
      </c>
      <c r="U322" s="239">
        <f>U561</f>
        <v>125232</v>
      </c>
      <c r="V322" s="239">
        <f>V561</f>
        <v>205852</v>
      </c>
      <c r="W322" s="289"/>
    </row>
    <row r="323" spans="1:23" ht="24" customHeight="1">
      <c r="A323" s="421" t="s">
        <v>250</v>
      </c>
      <c r="B323" s="422"/>
      <c r="C323" s="422"/>
      <c r="D323" s="421" t="s">
        <v>275</v>
      </c>
      <c r="E323" s="422"/>
      <c r="F323" s="422"/>
      <c r="G323" s="422"/>
      <c r="H323" s="422"/>
      <c r="I323" s="422"/>
      <c r="J323" s="422"/>
      <c r="K323" s="422"/>
      <c r="L323" s="237"/>
      <c r="M323" s="263"/>
      <c r="N323" s="348">
        <v>0</v>
      </c>
      <c r="O323" s="351">
        <v>0</v>
      </c>
      <c r="P323" s="349">
        <v>0</v>
      </c>
      <c r="Q323" s="236">
        <v>0</v>
      </c>
      <c r="R323" s="235">
        <f>R745+R746</f>
        <v>1137220</v>
      </c>
      <c r="S323" s="235">
        <f>S745+S746</f>
        <v>1133972</v>
      </c>
      <c r="T323" s="235">
        <f>T745+T746</f>
        <v>1134654</v>
      </c>
      <c r="U323" s="235">
        <f>U745+U746</f>
        <v>1134052</v>
      </c>
      <c r="V323" s="235">
        <f>V745+V746</f>
        <v>1137166</v>
      </c>
    </row>
    <row r="324" spans="1:23" ht="24" customHeight="1">
      <c r="A324" s="421" t="s">
        <v>251</v>
      </c>
      <c r="B324" s="422"/>
      <c r="C324" s="422"/>
      <c r="D324" s="421" t="s">
        <v>1266</v>
      </c>
      <c r="E324" s="422"/>
      <c r="F324" s="422"/>
      <c r="G324" s="422"/>
      <c r="H324" s="422"/>
      <c r="I324" s="422"/>
      <c r="J324" s="422"/>
      <c r="K324" s="422"/>
      <c r="L324" s="237"/>
      <c r="M324" s="263"/>
      <c r="N324" s="348">
        <v>951890</v>
      </c>
      <c r="O324" s="348">
        <v>736710</v>
      </c>
      <c r="P324" s="349">
        <v>955886</v>
      </c>
      <c r="Q324" s="236">
        <f t="shared" ref="Q324:V324" si="25">Q821</f>
        <v>955886</v>
      </c>
      <c r="R324" s="235">
        <f t="shared" si="25"/>
        <v>1765504</v>
      </c>
      <c r="S324" s="235">
        <f t="shared" si="25"/>
        <v>1110111</v>
      </c>
      <c r="T324" s="235">
        <f t="shared" si="25"/>
        <v>1192708</v>
      </c>
      <c r="U324" s="235">
        <f t="shared" si="25"/>
        <v>1217069</v>
      </c>
      <c r="V324" s="235">
        <f t="shared" si="25"/>
        <v>1229444</v>
      </c>
    </row>
    <row r="325" spans="1:23" ht="24" customHeight="1">
      <c r="A325" s="421" t="s">
        <v>765</v>
      </c>
      <c r="B325" s="422"/>
      <c r="C325" s="422"/>
      <c r="D325" s="421" t="s">
        <v>766</v>
      </c>
      <c r="E325" s="422"/>
      <c r="F325" s="422"/>
      <c r="G325" s="422"/>
      <c r="H325" s="422"/>
      <c r="I325" s="422"/>
      <c r="J325" s="422"/>
      <c r="K325" s="422"/>
      <c r="L325" s="237"/>
      <c r="M325" s="270"/>
      <c r="N325" s="369">
        <v>0</v>
      </c>
      <c r="O325" s="373">
        <v>332500</v>
      </c>
      <c r="P325" s="370">
        <v>41978</v>
      </c>
      <c r="Q325" s="272">
        <f t="shared" ref="Q325:V325" si="26">Q976</f>
        <v>30000</v>
      </c>
      <c r="R325" s="271">
        <f>R976+21490</f>
        <v>52174</v>
      </c>
      <c r="S325" s="271">
        <f t="shared" si="26"/>
        <v>32375</v>
      </c>
      <c r="T325" s="271">
        <f t="shared" si="26"/>
        <v>34168</v>
      </c>
      <c r="U325" s="271">
        <f t="shared" si="26"/>
        <v>36068</v>
      </c>
      <c r="V325" s="271">
        <f t="shared" si="26"/>
        <v>38082</v>
      </c>
    </row>
    <row r="326" spans="1:23" s="337" customFormat="1" ht="24" customHeight="1">
      <c r="A326" s="421"/>
      <c r="B326" s="422"/>
      <c r="C326" s="422"/>
      <c r="D326" s="421"/>
      <c r="E326" s="422"/>
      <c r="F326" s="422"/>
      <c r="G326" s="422"/>
      <c r="H326" s="422"/>
      <c r="I326" s="422"/>
      <c r="J326" s="422"/>
      <c r="K326" s="422"/>
      <c r="L326" s="455"/>
      <c r="M326" s="461"/>
      <c r="N326" s="382">
        <f t="shared" ref="N326:V326" si="27">SUM(N286:N325)</f>
        <v>4968723</v>
      </c>
      <c r="O326" s="363">
        <f t="shared" si="27"/>
        <v>5249123</v>
      </c>
      <c r="P326" s="375">
        <f t="shared" si="27"/>
        <v>4034550</v>
      </c>
      <c r="Q326" s="375">
        <f t="shared" si="27"/>
        <v>3877957</v>
      </c>
      <c r="R326" s="376">
        <f t="shared" si="27"/>
        <v>6096431</v>
      </c>
      <c r="S326" s="376">
        <f t="shared" si="27"/>
        <v>4811837</v>
      </c>
      <c r="T326" s="376">
        <f t="shared" si="27"/>
        <v>5022311</v>
      </c>
      <c r="U326" s="376">
        <f t="shared" si="27"/>
        <v>6343138</v>
      </c>
      <c r="V326" s="376">
        <f t="shared" si="27"/>
        <v>5720385</v>
      </c>
    </row>
    <row r="327" spans="1:23" s="337" customFormat="1" ht="15" customHeight="1">
      <c r="A327" s="421"/>
      <c r="B327" s="422"/>
      <c r="C327" s="422"/>
      <c r="D327" s="421"/>
      <c r="E327" s="422"/>
      <c r="F327" s="422"/>
      <c r="G327" s="422"/>
      <c r="H327" s="422"/>
      <c r="I327" s="422"/>
      <c r="J327" s="422"/>
      <c r="K327" s="422"/>
      <c r="L327" s="455"/>
      <c r="M327" s="462"/>
      <c r="N327" s="350"/>
      <c r="O327" s="350"/>
      <c r="P327" s="353"/>
      <c r="Q327" s="353"/>
      <c r="R327" s="350"/>
      <c r="S327" s="350"/>
      <c r="T327" s="350"/>
      <c r="U327" s="350"/>
      <c r="V327" s="350"/>
    </row>
    <row r="328" spans="1:23" s="337" customFormat="1" ht="15" customHeight="1">
      <c r="L328" s="451"/>
      <c r="M328" s="463"/>
      <c r="N328" s="359"/>
      <c r="O328" s="359"/>
      <c r="P328" s="360"/>
      <c r="Q328" s="360"/>
      <c r="R328" s="359"/>
      <c r="S328" s="359"/>
      <c r="T328" s="359"/>
      <c r="U328" s="359"/>
      <c r="V328" s="359"/>
    </row>
    <row r="329" spans="1:23" s="425" customFormat="1" ht="24" customHeight="1">
      <c r="K329" s="425" t="s">
        <v>761</v>
      </c>
      <c r="L329" s="449"/>
      <c r="M329" s="450"/>
      <c r="N329" s="361">
        <f t="shared" ref="N329:V329" si="28">N109+N132+N144+N168+N214+N244+N326+N283</f>
        <v>11296930</v>
      </c>
      <c r="O329" s="361">
        <f t="shared" si="28"/>
        <v>10969330</v>
      </c>
      <c r="P329" s="362">
        <f t="shared" si="28"/>
        <v>11379867</v>
      </c>
      <c r="Q329" s="362">
        <f t="shared" si="28"/>
        <v>10875236</v>
      </c>
      <c r="R329" s="361">
        <f t="shared" si="28"/>
        <v>13891560</v>
      </c>
      <c r="S329" s="361">
        <f t="shared" si="28"/>
        <v>12648275</v>
      </c>
      <c r="T329" s="361">
        <f t="shared" si="28"/>
        <v>13037173</v>
      </c>
      <c r="U329" s="361">
        <f t="shared" si="28"/>
        <v>14476325</v>
      </c>
      <c r="V329" s="361">
        <f t="shared" si="28"/>
        <v>13982166</v>
      </c>
      <c r="W329" s="337"/>
    </row>
    <row r="330" spans="1:23" s="425" customFormat="1" ht="15" customHeight="1">
      <c r="A330" s="428"/>
      <c r="L330" s="449"/>
      <c r="M330" s="464"/>
      <c r="N330" s="361"/>
      <c r="O330" s="361"/>
      <c r="P330" s="362"/>
      <c r="Q330" s="362"/>
      <c r="R330" s="361"/>
      <c r="S330" s="361"/>
      <c r="T330" s="361"/>
      <c r="U330" s="361"/>
      <c r="V330" s="361"/>
      <c r="W330" s="337"/>
    </row>
    <row r="331" spans="1:23" s="425" customFormat="1" ht="24" customHeight="1">
      <c r="A331" s="429"/>
      <c r="K331" s="425" t="s">
        <v>762</v>
      </c>
      <c r="L331" s="449"/>
      <c r="M331" s="450"/>
      <c r="N331" s="361">
        <f t="shared" ref="N331:V331" si="29">N69-N329</f>
        <v>221031</v>
      </c>
      <c r="O331" s="361">
        <f t="shared" si="29"/>
        <v>1542522</v>
      </c>
      <c r="P331" s="362">
        <f t="shared" si="29"/>
        <v>931242</v>
      </c>
      <c r="Q331" s="362">
        <f t="shared" si="29"/>
        <v>2153101</v>
      </c>
      <c r="R331" s="361">
        <f t="shared" si="29"/>
        <v>-882071</v>
      </c>
      <c r="S331" s="361">
        <f t="shared" si="29"/>
        <v>501513</v>
      </c>
      <c r="T331" s="361">
        <f t="shared" si="29"/>
        <v>293060</v>
      </c>
      <c r="U331" s="361">
        <f t="shared" si="29"/>
        <v>-984594</v>
      </c>
      <c r="V331" s="361">
        <f t="shared" si="29"/>
        <v>-261695</v>
      </c>
      <c r="W331" s="337"/>
    </row>
    <row r="332" spans="1:23" s="425" customFormat="1" ht="15" customHeight="1">
      <c r="A332" s="429"/>
      <c r="L332" s="449"/>
      <c r="M332" s="464"/>
      <c r="N332" s="361"/>
      <c r="O332" s="361"/>
      <c r="P332" s="362"/>
      <c r="Q332" s="362"/>
      <c r="R332" s="361"/>
      <c r="S332" s="361"/>
      <c r="T332" s="361"/>
      <c r="U332" s="361"/>
      <c r="V332" s="361"/>
      <c r="W332" s="337"/>
    </row>
    <row r="333" spans="1:23" s="430" customFormat="1" ht="24" customHeight="1">
      <c r="K333" s="430" t="s">
        <v>764</v>
      </c>
      <c r="L333" s="449"/>
      <c r="M333" s="449"/>
      <c r="N333" s="383">
        <v>-271900</v>
      </c>
      <c r="O333" s="383">
        <v>1270623</v>
      </c>
      <c r="P333" s="384">
        <v>1596094</v>
      </c>
      <c r="Q333" s="384">
        <f>O333+Q331</f>
        <v>3423724</v>
      </c>
      <c r="R333" s="383">
        <f>Q333+R331</f>
        <v>2541653</v>
      </c>
      <c r="S333" s="383">
        <f>R333+S331</f>
        <v>3043166</v>
      </c>
      <c r="T333" s="383">
        <f>S333+T331</f>
        <v>3336226</v>
      </c>
      <c r="U333" s="383">
        <f>T333+U331</f>
        <v>2351632</v>
      </c>
      <c r="V333" s="383">
        <f>U333+V331</f>
        <v>2089937</v>
      </c>
      <c r="W333" s="465"/>
    </row>
    <row r="334" spans="1:23" s="431" customFormat="1" ht="24" customHeight="1">
      <c r="L334" s="466"/>
      <c r="M334" s="467"/>
      <c r="N334" s="385">
        <f t="shared" ref="N334:V334" si="30">N333/N329</f>
        <v>-2.4068485862973391E-2</v>
      </c>
      <c r="O334" s="385">
        <f t="shared" si="30"/>
        <v>0.11583414848491203</v>
      </c>
      <c r="P334" s="386">
        <f t="shared" si="30"/>
        <v>0.14025594499478772</v>
      </c>
      <c r="Q334" s="386">
        <f t="shared" si="30"/>
        <v>0.31481836348195108</v>
      </c>
      <c r="R334" s="385">
        <f t="shared" si="30"/>
        <v>0.18296382839652278</v>
      </c>
      <c r="S334" s="385">
        <f t="shared" si="30"/>
        <v>0.24059929120769433</v>
      </c>
      <c r="T334" s="385">
        <f t="shared" si="30"/>
        <v>0.25590103007760961</v>
      </c>
      <c r="U334" s="385">
        <f t="shared" si="30"/>
        <v>0.16244675357868796</v>
      </c>
      <c r="V334" s="385">
        <f t="shared" si="30"/>
        <v>0.14947161977622064</v>
      </c>
      <c r="W334" s="434"/>
    </row>
    <row r="335" spans="1:23" s="256" customFormat="1" ht="15" customHeight="1">
      <c r="A335" s="425"/>
      <c r="B335" s="425"/>
      <c r="C335" s="425"/>
      <c r="D335" s="425"/>
      <c r="E335" s="425"/>
      <c r="F335" s="425"/>
      <c r="G335" s="425"/>
      <c r="H335" s="425"/>
      <c r="I335" s="425"/>
      <c r="J335" s="425"/>
      <c r="K335" s="425"/>
      <c r="L335" s="257"/>
      <c r="M335" s="291"/>
      <c r="N335" s="361"/>
      <c r="O335" s="361"/>
      <c r="P335" s="362"/>
      <c r="Q335" s="260"/>
      <c r="R335" s="259"/>
      <c r="S335" s="259"/>
      <c r="T335" s="259"/>
      <c r="U335" s="259"/>
      <c r="V335" s="259"/>
      <c r="W335" s="335"/>
    </row>
    <row r="336" spans="1:23" s="256" customFormat="1" ht="24" customHeight="1">
      <c r="A336" s="432" t="s">
        <v>779</v>
      </c>
      <c r="B336" s="425"/>
      <c r="C336" s="425"/>
      <c r="D336" s="425"/>
      <c r="E336" s="425"/>
      <c r="F336" s="425"/>
      <c r="G336" s="425"/>
      <c r="H336" s="425"/>
      <c r="I336" s="425"/>
      <c r="J336" s="425"/>
      <c r="K336" s="425"/>
      <c r="L336" s="257"/>
      <c r="M336" s="291"/>
      <c r="N336" s="361"/>
      <c r="O336" s="361"/>
      <c r="P336" s="362"/>
      <c r="Q336" s="260"/>
      <c r="R336" s="259"/>
      <c r="S336" s="259"/>
      <c r="T336" s="259"/>
      <c r="U336" s="259"/>
      <c r="V336" s="259"/>
      <c r="W336" s="335"/>
    </row>
    <row r="337" spans="1:23" s="256" customFormat="1" ht="15" customHeight="1">
      <c r="A337" s="425"/>
      <c r="B337" s="425"/>
      <c r="C337" s="425"/>
      <c r="D337" s="425"/>
      <c r="E337" s="425"/>
      <c r="F337" s="425"/>
      <c r="G337" s="425"/>
      <c r="H337" s="425"/>
      <c r="I337" s="425"/>
      <c r="J337" s="425"/>
      <c r="K337" s="425"/>
      <c r="L337" s="257"/>
      <c r="M337" s="291"/>
      <c r="N337" s="361"/>
      <c r="O337" s="361"/>
      <c r="P337" s="362"/>
      <c r="Q337" s="260"/>
      <c r="R337" s="259"/>
      <c r="S337" s="259"/>
      <c r="T337" s="259"/>
      <c r="U337" s="259"/>
      <c r="V337" s="259"/>
      <c r="W337" s="335"/>
    </row>
    <row r="338" spans="1:23" s="256" customFormat="1" ht="24" customHeight="1">
      <c r="A338" s="337" t="s">
        <v>340</v>
      </c>
      <c r="B338" s="337"/>
      <c r="C338" s="337"/>
      <c r="D338" s="337" t="s">
        <v>341</v>
      </c>
      <c r="E338" s="337"/>
      <c r="F338" s="337"/>
      <c r="G338" s="337"/>
      <c r="H338" s="337"/>
      <c r="I338" s="337"/>
      <c r="J338" s="337"/>
      <c r="K338" s="337"/>
      <c r="L338" s="229"/>
      <c r="M338" s="234"/>
      <c r="N338" s="348">
        <v>19894</v>
      </c>
      <c r="O338" s="348">
        <v>3786</v>
      </c>
      <c r="P338" s="349">
        <v>3786</v>
      </c>
      <c r="Q338" s="236">
        <v>3786</v>
      </c>
      <c r="R338" s="235">
        <v>3786</v>
      </c>
      <c r="S338" s="235">
        <v>8536</v>
      </c>
      <c r="T338" s="235">
        <v>8536</v>
      </c>
      <c r="U338" s="235">
        <v>8536</v>
      </c>
      <c r="V338" s="235">
        <v>8536</v>
      </c>
      <c r="W338" s="335"/>
    </row>
    <row r="339" spans="1:23" s="256" customFormat="1" ht="24" customHeight="1">
      <c r="A339" s="337" t="s">
        <v>912</v>
      </c>
      <c r="B339" s="337"/>
      <c r="C339" s="337"/>
      <c r="D339" s="337" t="s">
        <v>6</v>
      </c>
      <c r="E339" s="337"/>
      <c r="F339" s="337"/>
      <c r="G339" s="337"/>
      <c r="H339" s="337"/>
      <c r="I339" s="337"/>
      <c r="J339" s="337"/>
      <c r="K339" s="337"/>
      <c r="L339" s="229"/>
      <c r="M339" s="262"/>
      <c r="N339" s="357">
        <v>0</v>
      </c>
      <c r="O339" s="357">
        <v>7</v>
      </c>
      <c r="P339" s="358">
        <v>0</v>
      </c>
      <c r="Q339" s="252">
        <v>10</v>
      </c>
      <c r="R339" s="251">
        <v>0</v>
      </c>
      <c r="S339" s="251">
        <v>0</v>
      </c>
      <c r="T339" s="251">
        <v>0</v>
      </c>
      <c r="U339" s="251">
        <v>0</v>
      </c>
      <c r="V339" s="251">
        <v>0</v>
      </c>
      <c r="W339" s="335"/>
    </row>
    <row r="340" spans="1:23" s="256" customFormat="1" ht="15" customHeight="1">
      <c r="A340" s="337"/>
      <c r="B340" s="337"/>
      <c r="C340" s="337"/>
      <c r="D340" s="337"/>
      <c r="E340" s="337"/>
      <c r="F340" s="337"/>
      <c r="G340" s="337"/>
      <c r="H340" s="337"/>
      <c r="I340" s="337"/>
      <c r="J340" s="337"/>
      <c r="K340" s="337"/>
      <c r="L340" s="229"/>
      <c r="M340" s="238"/>
      <c r="N340" s="350"/>
      <c r="O340" s="350"/>
      <c r="P340" s="353"/>
      <c r="Q340" s="243"/>
      <c r="R340" s="239"/>
      <c r="S340" s="239"/>
      <c r="T340" s="239"/>
      <c r="U340" s="239"/>
      <c r="V340" s="239"/>
      <c r="W340" s="335"/>
    </row>
    <row r="341" spans="1:23" s="425" customFormat="1" ht="24" customHeight="1">
      <c r="K341" s="425" t="s">
        <v>758</v>
      </c>
      <c r="L341" s="449"/>
      <c r="M341" s="450"/>
      <c r="N341" s="361">
        <f t="shared" ref="N341:U341" si="31">SUM(N338:N340)</f>
        <v>19894</v>
      </c>
      <c r="O341" s="361">
        <f t="shared" si="31"/>
        <v>3793</v>
      </c>
      <c r="P341" s="362">
        <f t="shared" si="31"/>
        <v>3786</v>
      </c>
      <c r="Q341" s="362">
        <f>SUM(Q338:Q340)</f>
        <v>3796</v>
      </c>
      <c r="R341" s="361">
        <f t="shared" si="31"/>
        <v>3786</v>
      </c>
      <c r="S341" s="361">
        <f t="shared" si="31"/>
        <v>8536</v>
      </c>
      <c r="T341" s="361">
        <f t="shared" si="31"/>
        <v>8536</v>
      </c>
      <c r="U341" s="361">
        <f t="shared" si="31"/>
        <v>8536</v>
      </c>
      <c r="V341" s="361">
        <f>SUM(V338:V340)</f>
        <v>8536</v>
      </c>
      <c r="W341" s="337"/>
    </row>
    <row r="342" spans="1:23" s="256" customFormat="1" ht="15" customHeight="1">
      <c r="A342" s="425"/>
      <c r="B342" s="425"/>
      <c r="C342" s="425"/>
      <c r="D342" s="425"/>
      <c r="E342" s="425"/>
      <c r="F342" s="425"/>
      <c r="G342" s="425"/>
      <c r="H342" s="425"/>
      <c r="I342" s="425"/>
      <c r="J342" s="425"/>
      <c r="K342" s="425"/>
      <c r="L342" s="257"/>
      <c r="M342" s="290"/>
      <c r="N342" s="382"/>
      <c r="O342" s="382"/>
      <c r="P342" s="362"/>
      <c r="Q342" s="260"/>
      <c r="R342" s="259"/>
      <c r="S342" s="259"/>
      <c r="T342" s="259"/>
      <c r="U342" s="259"/>
      <c r="V342" s="259"/>
      <c r="W342" s="335"/>
    </row>
    <row r="343" spans="1:23" s="256" customFormat="1" ht="24" customHeight="1">
      <c r="A343" s="421" t="s">
        <v>1393</v>
      </c>
      <c r="B343" s="433"/>
      <c r="C343" s="433"/>
      <c r="D343" s="423" t="s">
        <v>1392</v>
      </c>
      <c r="E343" s="433"/>
      <c r="F343" s="433"/>
      <c r="G343" s="433"/>
      <c r="H343" s="433"/>
      <c r="I343" s="433"/>
      <c r="J343" s="433"/>
      <c r="K343" s="433"/>
      <c r="L343" s="295"/>
      <c r="M343" s="296"/>
      <c r="N343" s="372">
        <v>0</v>
      </c>
      <c r="O343" s="372">
        <v>0</v>
      </c>
      <c r="P343" s="379">
        <v>0</v>
      </c>
      <c r="Q343" s="285">
        <v>0</v>
      </c>
      <c r="R343" s="276">
        <v>0</v>
      </c>
      <c r="S343" s="276">
        <v>15000</v>
      </c>
      <c r="T343" s="276">
        <v>15000</v>
      </c>
      <c r="U343" s="276">
        <v>0</v>
      </c>
      <c r="V343" s="276">
        <v>0</v>
      </c>
      <c r="W343" s="335"/>
    </row>
    <row r="344" spans="1:23" s="256" customFormat="1" ht="24" customHeight="1">
      <c r="A344" s="421" t="s">
        <v>342</v>
      </c>
      <c r="B344" s="422"/>
      <c r="C344" s="422"/>
      <c r="D344" s="421" t="s">
        <v>1491</v>
      </c>
      <c r="E344" s="422"/>
      <c r="F344" s="422"/>
      <c r="G344" s="422"/>
      <c r="H344" s="422"/>
      <c r="I344" s="422"/>
      <c r="J344" s="422"/>
      <c r="K344" s="422"/>
      <c r="L344" s="237"/>
      <c r="M344" s="297"/>
      <c r="N344" s="387">
        <v>4178</v>
      </c>
      <c r="O344" s="387">
        <v>4664</v>
      </c>
      <c r="P344" s="388">
        <v>4500</v>
      </c>
      <c r="Q344" s="299">
        <v>5476</v>
      </c>
      <c r="R344" s="298">
        <f>4500+3000</f>
        <v>7500</v>
      </c>
      <c r="S344" s="298">
        <v>4603</v>
      </c>
      <c r="T344" s="298">
        <v>4603</v>
      </c>
      <c r="U344" s="298">
        <v>4603</v>
      </c>
      <c r="V344" s="298">
        <v>4603</v>
      </c>
      <c r="W344" s="335"/>
    </row>
    <row r="345" spans="1:23" s="256" customFormat="1" ht="15" customHeight="1">
      <c r="A345" s="421"/>
      <c r="B345" s="422"/>
      <c r="C345" s="422"/>
      <c r="D345" s="421"/>
      <c r="E345" s="422"/>
      <c r="F345" s="422"/>
      <c r="G345" s="422"/>
      <c r="H345" s="422"/>
      <c r="I345" s="422"/>
      <c r="J345" s="422"/>
      <c r="K345" s="422"/>
      <c r="L345" s="237"/>
      <c r="M345" s="275"/>
      <c r="N345" s="372"/>
      <c r="O345" s="372"/>
      <c r="P345" s="379"/>
      <c r="Q345" s="285"/>
      <c r="R345" s="276"/>
      <c r="S345" s="276"/>
      <c r="T345" s="276"/>
      <c r="U345" s="276"/>
      <c r="V345" s="276"/>
      <c r="W345" s="335"/>
    </row>
    <row r="346" spans="1:23" s="425" customFormat="1" ht="24" customHeight="1">
      <c r="A346" s="421"/>
      <c r="B346" s="422"/>
      <c r="C346" s="422"/>
      <c r="D346" s="421"/>
      <c r="E346" s="422"/>
      <c r="F346" s="422"/>
      <c r="G346" s="422"/>
      <c r="H346" s="422"/>
      <c r="I346" s="422"/>
      <c r="J346" s="422"/>
      <c r="K346" s="425" t="s">
        <v>761</v>
      </c>
      <c r="L346" s="449"/>
      <c r="M346" s="450"/>
      <c r="N346" s="361">
        <f>SUM(N343:N345)</f>
        <v>4178</v>
      </c>
      <c r="O346" s="361">
        <f t="shared" ref="O346:V346" si="32">SUM(O343:O345)</f>
        <v>4664</v>
      </c>
      <c r="P346" s="362">
        <f t="shared" si="32"/>
        <v>4500</v>
      </c>
      <c r="Q346" s="362">
        <f t="shared" si="32"/>
        <v>5476</v>
      </c>
      <c r="R346" s="361">
        <f t="shared" si="32"/>
        <v>7500</v>
      </c>
      <c r="S346" s="361">
        <f t="shared" si="32"/>
        <v>19603</v>
      </c>
      <c r="T346" s="361">
        <f t="shared" si="32"/>
        <v>19603</v>
      </c>
      <c r="U346" s="361">
        <f t="shared" si="32"/>
        <v>4603</v>
      </c>
      <c r="V346" s="361">
        <f t="shared" si="32"/>
        <v>4603</v>
      </c>
      <c r="W346" s="361"/>
    </row>
    <row r="347" spans="1:23" s="425" customFormat="1" ht="15" customHeight="1">
      <c r="L347" s="449"/>
      <c r="M347" s="464"/>
      <c r="N347" s="361"/>
      <c r="O347" s="361"/>
      <c r="P347" s="362"/>
      <c r="Q347" s="362"/>
      <c r="R347" s="361"/>
      <c r="S347" s="361"/>
      <c r="T347" s="361"/>
      <c r="U347" s="361"/>
      <c r="V347" s="361"/>
      <c r="W347" s="337"/>
    </row>
    <row r="348" spans="1:23" s="425" customFormat="1" ht="24" customHeight="1">
      <c r="K348" s="425" t="s">
        <v>762</v>
      </c>
      <c r="L348" s="449"/>
      <c r="M348" s="450"/>
      <c r="N348" s="361">
        <f t="shared" ref="N348:V348" si="33">N341-N346</f>
        <v>15716</v>
      </c>
      <c r="O348" s="361">
        <f t="shared" si="33"/>
        <v>-871</v>
      </c>
      <c r="P348" s="362">
        <f t="shared" si="33"/>
        <v>-714</v>
      </c>
      <c r="Q348" s="362">
        <f t="shared" si="33"/>
        <v>-1680</v>
      </c>
      <c r="R348" s="361">
        <f t="shared" si="33"/>
        <v>-3714</v>
      </c>
      <c r="S348" s="361">
        <f t="shared" si="33"/>
        <v>-11067</v>
      </c>
      <c r="T348" s="361">
        <f t="shared" si="33"/>
        <v>-11067</v>
      </c>
      <c r="U348" s="361">
        <f t="shared" si="33"/>
        <v>3933</v>
      </c>
      <c r="V348" s="361">
        <f t="shared" si="33"/>
        <v>3933</v>
      </c>
      <c r="W348" s="337"/>
    </row>
    <row r="349" spans="1:23" s="425" customFormat="1" ht="15" customHeight="1">
      <c r="L349" s="449"/>
      <c r="M349" s="464"/>
      <c r="N349" s="361"/>
      <c r="O349" s="361"/>
      <c r="P349" s="362"/>
      <c r="Q349" s="362"/>
      <c r="R349" s="361"/>
      <c r="S349" s="361"/>
      <c r="T349" s="361"/>
      <c r="U349" s="361"/>
      <c r="V349" s="361"/>
      <c r="W349" s="337"/>
    </row>
    <row r="350" spans="1:23" s="425" customFormat="1" ht="24" customHeight="1">
      <c r="K350" s="430" t="s">
        <v>764</v>
      </c>
      <c r="L350" s="449"/>
      <c r="M350" s="449"/>
      <c r="N350" s="383">
        <v>17942</v>
      </c>
      <c r="O350" s="383">
        <v>17071</v>
      </c>
      <c r="P350" s="384">
        <v>16719</v>
      </c>
      <c r="Q350" s="384">
        <f>O350+Q348</f>
        <v>15391</v>
      </c>
      <c r="R350" s="383">
        <f>Q350+R348</f>
        <v>11677</v>
      </c>
      <c r="S350" s="383">
        <f>R350+S348</f>
        <v>610</v>
      </c>
      <c r="T350" s="383">
        <f>S350+T348</f>
        <v>-10457</v>
      </c>
      <c r="U350" s="383">
        <f>T350+U348</f>
        <v>-6524</v>
      </c>
      <c r="V350" s="383">
        <f>U350+V348</f>
        <v>-2591</v>
      </c>
      <c r="W350" s="337"/>
    </row>
    <row r="351" spans="1:23" s="431" customFormat="1" ht="24" customHeight="1">
      <c r="L351" s="466"/>
      <c r="M351" s="467"/>
      <c r="N351" s="385">
        <f t="shared" ref="N351:V351" si="34">N350/N346</f>
        <v>4.2943992340832935</v>
      </c>
      <c r="O351" s="385">
        <f t="shared" si="34"/>
        <v>3.6601629502572899</v>
      </c>
      <c r="P351" s="386">
        <f t="shared" si="34"/>
        <v>3.7153333333333332</v>
      </c>
      <c r="Q351" s="386">
        <f t="shared" si="34"/>
        <v>2.8106281957633308</v>
      </c>
      <c r="R351" s="385">
        <f t="shared" si="34"/>
        <v>1.5569333333333333</v>
      </c>
      <c r="S351" s="385">
        <f t="shared" si="34"/>
        <v>3.1117686068458911E-2</v>
      </c>
      <c r="T351" s="385">
        <f t="shared" si="34"/>
        <v>-0.53343875937356522</v>
      </c>
      <c r="U351" s="385">
        <f t="shared" si="34"/>
        <v>-1.4173365196610905</v>
      </c>
      <c r="V351" s="385">
        <f t="shared" si="34"/>
        <v>-0.56289376493591137</v>
      </c>
      <c r="W351" s="434"/>
    </row>
    <row r="352" spans="1:23" ht="15" customHeight="1">
      <c r="A352" s="337"/>
      <c r="B352" s="337"/>
      <c r="C352" s="337"/>
      <c r="D352" s="337"/>
      <c r="E352" s="337"/>
      <c r="F352" s="337"/>
      <c r="G352" s="337"/>
      <c r="H352" s="337"/>
      <c r="I352" s="337"/>
      <c r="J352" s="337"/>
      <c r="K352" s="337"/>
      <c r="L352" s="229"/>
      <c r="N352" s="359"/>
      <c r="O352" s="359"/>
      <c r="P352" s="360"/>
      <c r="Q352" s="255"/>
      <c r="R352" s="254"/>
      <c r="S352" s="254"/>
      <c r="T352" s="254"/>
      <c r="U352" s="254"/>
      <c r="V352" s="254"/>
    </row>
    <row r="353" spans="1:22" ht="24" customHeight="1">
      <c r="A353" s="432" t="s">
        <v>780</v>
      </c>
      <c r="B353" s="337"/>
      <c r="C353" s="337"/>
      <c r="D353" s="337"/>
      <c r="E353" s="337"/>
      <c r="F353" s="337"/>
      <c r="G353" s="337"/>
      <c r="H353" s="337"/>
      <c r="I353" s="337"/>
      <c r="J353" s="337"/>
      <c r="K353" s="337"/>
      <c r="L353" s="229"/>
      <c r="N353" s="359"/>
      <c r="O353" s="359"/>
      <c r="P353" s="360"/>
      <c r="Q353" s="255"/>
      <c r="R353" s="254"/>
      <c r="S353" s="254"/>
      <c r="T353" s="254"/>
      <c r="U353" s="254"/>
      <c r="V353" s="254"/>
    </row>
    <row r="354" spans="1:22" ht="15" customHeight="1">
      <c r="A354" s="337"/>
      <c r="B354" s="337"/>
      <c r="C354" s="337"/>
      <c r="D354" s="337"/>
      <c r="E354" s="337"/>
      <c r="F354" s="337"/>
      <c r="G354" s="337"/>
      <c r="H354" s="337"/>
      <c r="I354" s="337"/>
      <c r="J354" s="337"/>
      <c r="K354" s="337"/>
      <c r="L354" s="229"/>
      <c r="N354" s="359"/>
      <c r="O354" s="359"/>
      <c r="P354" s="360"/>
      <c r="Q354" s="255"/>
      <c r="R354" s="254"/>
      <c r="S354" s="254"/>
      <c r="T354" s="254"/>
      <c r="U354" s="254"/>
      <c r="V354" s="254"/>
    </row>
    <row r="355" spans="1:22" ht="24" customHeight="1">
      <c r="A355" s="337" t="s">
        <v>337</v>
      </c>
      <c r="B355" s="337"/>
      <c r="C355" s="337"/>
      <c r="D355" s="337" t="s">
        <v>338</v>
      </c>
      <c r="E355" s="337"/>
      <c r="F355" s="337"/>
      <c r="G355" s="337"/>
      <c r="H355" s="337"/>
      <c r="I355" s="337"/>
      <c r="J355" s="337"/>
      <c r="K355" s="337"/>
      <c r="L355" s="229"/>
      <c r="M355" s="234"/>
      <c r="N355" s="348">
        <v>13871</v>
      </c>
      <c r="O355" s="350">
        <v>7530</v>
      </c>
      <c r="P355" s="379">
        <v>7531</v>
      </c>
      <c r="Q355" s="285">
        <v>7530</v>
      </c>
      <c r="R355" s="276">
        <v>7531</v>
      </c>
      <c r="S355" s="276">
        <v>17416</v>
      </c>
      <c r="T355" s="276">
        <v>17416</v>
      </c>
      <c r="U355" s="276">
        <v>17416</v>
      </c>
      <c r="V355" s="276">
        <v>17416</v>
      </c>
    </row>
    <row r="356" spans="1:22" ht="24" customHeight="1">
      <c r="A356" s="337" t="s">
        <v>913</v>
      </c>
      <c r="B356" s="337"/>
      <c r="C356" s="337"/>
      <c r="D356" s="337" t="s">
        <v>6</v>
      </c>
      <c r="E356" s="337"/>
      <c r="F356" s="337"/>
      <c r="G356" s="337"/>
      <c r="H356" s="337"/>
      <c r="I356" s="337"/>
      <c r="J356" s="337"/>
      <c r="K356" s="337"/>
      <c r="L356" s="229"/>
      <c r="M356" s="262"/>
      <c r="N356" s="357">
        <v>0</v>
      </c>
      <c r="O356" s="357">
        <v>7</v>
      </c>
      <c r="P356" s="358">
        <v>0</v>
      </c>
      <c r="Q356" s="252">
        <v>10</v>
      </c>
      <c r="R356" s="251">
        <v>0</v>
      </c>
      <c r="S356" s="251">
        <v>0</v>
      </c>
      <c r="T356" s="251">
        <v>0</v>
      </c>
      <c r="U356" s="251">
        <v>0</v>
      </c>
      <c r="V356" s="251">
        <v>0</v>
      </c>
    </row>
    <row r="357" spans="1:22" ht="15" customHeight="1">
      <c r="A357" s="337"/>
      <c r="B357" s="337"/>
      <c r="C357" s="337"/>
      <c r="D357" s="337"/>
      <c r="E357" s="337"/>
      <c r="F357" s="337"/>
      <c r="G357" s="337"/>
      <c r="H357" s="337"/>
      <c r="I357" s="337"/>
      <c r="J357" s="337"/>
      <c r="K357" s="337"/>
      <c r="L357" s="229"/>
      <c r="M357" s="238"/>
      <c r="N357" s="350"/>
      <c r="O357" s="350"/>
      <c r="P357" s="353"/>
      <c r="Q357" s="243"/>
      <c r="R357" s="239"/>
      <c r="S357" s="239"/>
      <c r="T357" s="239"/>
      <c r="U357" s="239"/>
      <c r="V357" s="239"/>
    </row>
    <row r="358" spans="1:22" s="337" customFormat="1" ht="24" customHeight="1">
      <c r="K358" s="425" t="s">
        <v>758</v>
      </c>
      <c r="L358" s="449"/>
      <c r="M358" s="450"/>
      <c r="N358" s="361">
        <f t="shared" ref="N358:U358" si="35">SUM(N355:N357)</f>
        <v>13871</v>
      </c>
      <c r="O358" s="361">
        <f t="shared" si="35"/>
        <v>7537</v>
      </c>
      <c r="P358" s="362">
        <f t="shared" si="35"/>
        <v>7531</v>
      </c>
      <c r="Q358" s="362">
        <f>SUM(Q355:Q357)</f>
        <v>7540</v>
      </c>
      <c r="R358" s="361">
        <f t="shared" si="35"/>
        <v>7531</v>
      </c>
      <c r="S358" s="361">
        <f t="shared" si="35"/>
        <v>17416</v>
      </c>
      <c r="T358" s="361">
        <f t="shared" si="35"/>
        <v>17416</v>
      </c>
      <c r="U358" s="361">
        <f t="shared" si="35"/>
        <v>17416</v>
      </c>
      <c r="V358" s="361">
        <f>SUM(V355:V357)</f>
        <v>17416</v>
      </c>
    </row>
    <row r="359" spans="1:22" ht="15" customHeight="1">
      <c r="A359" s="337"/>
      <c r="B359" s="337"/>
      <c r="C359" s="337"/>
      <c r="D359" s="337"/>
      <c r="E359" s="337"/>
      <c r="F359" s="337"/>
      <c r="G359" s="337"/>
      <c r="H359" s="337"/>
      <c r="I359" s="337"/>
      <c r="J359" s="337"/>
      <c r="K359" s="425"/>
      <c r="L359" s="257"/>
      <c r="M359" s="258"/>
      <c r="N359" s="361"/>
      <c r="O359" s="361"/>
      <c r="P359" s="362"/>
      <c r="Q359" s="260"/>
      <c r="R359" s="259"/>
      <c r="S359" s="259"/>
      <c r="T359" s="259"/>
      <c r="U359" s="259"/>
      <c r="V359" s="259"/>
    </row>
    <row r="360" spans="1:22" ht="24" customHeight="1">
      <c r="A360" s="421" t="s">
        <v>1390</v>
      </c>
      <c r="B360" s="433"/>
      <c r="C360" s="433"/>
      <c r="D360" s="423" t="s">
        <v>1391</v>
      </c>
      <c r="E360" s="433"/>
      <c r="F360" s="433"/>
      <c r="G360" s="433"/>
      <c r="H360" s="433"/>
      <c r="I360" s="433"/>
      <c r="J360" s="433"/>
      <c r="K360" s="433"/>
      <c r="L360" s="295"/>
      <c r="M360" s="296"/>
      <c r="N360" s="372">
        <v>0</v>
      </c>
      <c r="O360" s="372">
        <v>0</v>
      </c>
      <c r="P360" s="379">
        <v>0</v>
      </c>
      <c r="Q360" s="285">
        <v>0</v>
      </c>
      <c r="R360" s="276">
        <v>0</v>
      </c>
      <c r="S360" s="276">
        <v>25000</v>
      </c>
      <c r="T360" s="276">
        <v>25000</v>
      </c>
      <c r="U360" s="276">
        <v>0</v>
      </c>
      <c r="V360" s="276">
        <v>0</v>
      </c>
    </row>
    <row r="361" spans="1:22" ht="24" customHeight="1">
      <c r="A361" s="421" t="s">
        <v>339</v>
      </c>
      <c r="B361" s="422"/>
      <c r="C361" s="422"/>
      <c r="D361" s="421" t="s">
        <v>1491</v>
      </c>
      <c r="E361" s="422"/>
      <c r="F361" s="422"/>
      <c r="G361" s="422"/>
      <c r="H361" s="422"/>
      <c r="I361" s="422"/>
      <c r="J361" s="422"/>
      <c r="K361" s="422"/>
      <c r="L361" s="237"/>
      <c r="M361" s="297"/>
      <c r="N361" s="387">
        <v>8136</v>
      </c>
      <c r="O361" s="387">
        <v>7272</v>
      </c>
      <c r="P361" s="388">
        <v>9986</v>
      </c>
      <c r="Q361" s="299">
        <v>11714</v>
      </c>
      <c r="R361" s="298">
        <f>10985+4000</f>
        <v>14985</v>
      </c>
      <c r="S361" s="298">
        <v>10985</v>
      </c>
      <c r="T361" s="298">
        <v>10985</v>
      </c>
      <c r="U361" s="298">
        <v>10985</v>
      </c>
      <c r="V361" s="298">
        <v>10985</v>
      </c>
    </row>
    <row r="362" spans="1:22" ht="15" customHeight="1">
      <c r="A362" s="421"/>
      <c r="B362" s="422"/>
      <c r="C362" s="422"/>
      <c r="D362" s="421"/>
      <c r="E362" s="422"/>
      <c r="F362" s="422"/>
      <c r="G362" s="422"/>
      <c r="H362" s="422"/>
      <c r="I362" s="422"/>
      <c r="J362" s="422"/>
      <c r="K362" s="422"/>
      <c r="L362" s="237"/>
      <c r="M362" s="275"/>
      <c r="N362" s="372"/>
      <c r="O362" s="372"/>
      <c r="P362" s="379"/>
      <c r="Q362" s="285"/>
      <c r="R362" s="276"/>
      <c r="S362" s="276"/>
      <c r="T362" s="276"/>
      <c r="U362" s="276"/>
      <c r="V362" s="276"/>
    </row>
    <row r="363" spans="1:22" s="337" customFormat="1" ht="24" customHeight="1">
      <c r="A363" s="421"/>
      <c r="B363" s="422"/>
      <c r="C363" s="422"/>
      <c r="D363" s="421"/>
      <c r="E363" s="422"/>
      <c r="F363" s="422"/>
      <c r="G363" s="422"/>
      <c r="H363" s="422"/>
      <c r="I363" s="422"/>
      <c r="J363" s="422"/>
      <c r="K363" s="425" t="s">
        <v>761</v>
      </c>
      <c r="L363" s="449"/>
      <c r="M363" s="450"/>
      <c r="N363" s="361">
        <f>SUM(N360:N362)</f>
        <v>8136</v>
      </c>
      <c r="O363" s="361">
        <f t="shared" ref="O363:V363" si="36">SUM(O360:O362)</f>
        <v>7272</v>
      </c>
      <c r="P363" s="362">
        <f t="shared" si="36"/>
        <v>9986</v>
      </c>
      <c r="Q363" s="362">
        <f t="shared" si="36"/>
        <v>11714</v>
      </c>
      <c r="R363" s="361">
        <f t="shared" si="36"/>
        <v>14985</v>
      </c>
      <c r="S363" s="361">
        <f t="shared" si="36"/>
        <v>35985</v>
      </c>
      <c r="T363" s="361">
        <f t="shared" si="36"/>
        <v>35985</v>
      </c>
      <c r="U363" s="361">
        <f t="shared" si="36"/>
        <v>10985</v>
      </c>
      <c r="V363" s="361">
        <f t="shared" si="36"/>
        <v>10985</v>
      </c>
    </row>
    <row r="364" spans="1:22" s="337" customFormat="1" ht="15" customHeight="1">
      <c r="L364" s="451"/>
      <c r="M364" s="463"/>
      <c r="N364" s="359"/>
      <c r="O364" s="359"/>
      <c r="P364" s="360"/>
      <c r="Q364" s="360"/>
      <c r="R364" s="359"/>
      <c r="S364" s="359"/>
      <c r="T364" s="359"/>
      <c r="U364" s="359"/>
      <c r="V364" s="359"/>
    </row>
    <row r="365" spans="1:22" s="337" customFormat="1" ht="24" customHeight="1">
      <c r="K365" s="425" t="s">
        <v>762</v>
      </c>
      <c r="L365" s="449"/>
      <c r="M365" s="449"/>
      <c r="N365" s="383">
        <f t="shared" ref="N365:V365" si="37">N358-N363</f>
        <v>5735</v>
      </c>
      <c r="O365" s="383">
        <f t="shared" si="37"/>
        <v>265</v>
      </c>
      <c r="P365" s="384">
        <f t="shared" si="37"/>
        <v>-2455</v>
      </c>
      <c r="Q365" s="384">
        <f t="shared" si="37"/>
        <v>-4174</v>
      </c>
      <c r="R365" s="383">
        <f t="shared" si="37"/>
        <v>-7454</v>
      </c>
      <c r="S365" s="383">
        <f t="shared" si="37"/>
        <v>-18569</v>
      </c>
      <c r="T365" s="383">
        <f t="shared" si="37"/>
        <v>-18569</v>
      </c>
      <c r="U365" s="383">
        <f t="shared" si="37"/>
        <v>6431</v>
      </c>
      <c r="V365" s="383">
        <f t="shared" si="37"/>
        <v>6431</v>
      </c>
    </row>
    <row r="366" spans="1:22" s="337" customFormat="1" ht="15" customHeight="1">
      <c r="L366" s="451"/>
      <c r="M366" s="449"/>
      <c r="N366" s="383"/>
      <c r="O366" s="383"/>
      <c r="P366" s="384"/>
      <c r="Q366" s="384"/>
      <c r="R366" s="383"/>
      <c r="S366" s="383"/>
      <c r="T366" s="383"/>
      <c r="U366" s="383"/>
      <c r="V366" s="383"/>
    </row>
    <row r="367" spans="1:22" s="337" customFormat="1" ht="24" customHeight="1">
      <c r="K367" s="430" t="s">
        <v>764</v>
      </c>
      <c r="L367" s="449"/>
      <c r="M367" s="449"/>
      <c r="N367" s="383">
        <v>11922</v>
      </c>
      <c r="O367" s="383">
        <v>12188</v>
      </c>
      <c r="P367" s="384">
        <v>10007</v>
      </c>
      <c r="Q367" s="384">
        <f>O367+Q365</f>
        <v>8014</v>
      </c>
      <c r="R367" s="383">
        <f>Q367+R365</f>
        <v>560</v>
      </c>
      <c r="S367" s="383">
        <f>R367+S365</f>
        <v>-18009</v>
      </c>
      <c r="T367" s="383">
        <f>S367+T365</f>
        <v>-36578</v>
      </c>
      <c r="U367" s="383">
        <f>T367+U365</f>
        <v>-30147</v>
      </c>
      <c r="V367" s="383">
        <f>U367+V365</f>
        <v>-23716</v>
      </c>
    </row>
    <row r="368" spans="1:22" s="434" customFormat="1" ht="24" customHeight="1">
      <c r="L368" s="468"/>
      <c r="M368" s="467"/>
      <c r="N368" s="385">
        <f t="shared" ref="N368:V368" si="38">N367/N363</f>
        <v>1.4653392330383481</v>
      </c>
      <c r="O368" s="385">
        <f t="shared" si="38"/>
        <v>1.676017601760176</v>
      </c>
      <c r="P368" s="386">
        <f t="shared" si="38"/>
        <v>1.0021029441217706</v>
      </c>
      <c r="Q368" s="386">
        <f t="shared" si="38"/>
        <v>0.68413863752774462</v>
      </c>
      <c r="R368" s="385">
        <f t="shared" si="38"/>
        <v>3.7370704037370701E-2</v>
      </c>
      <c r="S368" s="385">
        <f t="shared" si="38"/>
        <v>-0.50045852438516047</v>
      </c>
      <c r="T368" s="385">
        <f t="shared" si="38"/>
        <v>-1.0164790885091011</v>
      </c>
      <c r="U368" s="385">
        <f t="shared" si="38"/>
        <v>-2.7443786982248519</v>
      </c>
      <c r="V368" s="385">
        <f t="shared" si="38"/>
        <v>-2.1589440145653165</v>
      </c>
    </row>
    <row r="369" spans="1:22" ht="15" customHeight="1">
      <c r="A369" s="337"/>
      <c r="B369" s="337"/>
      <c r="C369" s="337"/>
      <c r="D369" s="337"/>
      <c r="E369" s="337"/>
      <c r="F369" s="337"/>
      <c r="G369" s="337"/>
      <c r="H369" s="337"/>
      <c r="I369" s="337"/>
      <c r="J369" s="337"/>
      <c r="K369" s="337"/>
      <c r="L369" s="229"/>
      <c r="N369" s="359"/>
      <c r="O369" s="359"/>
      <c r="P369" s="360"/>
      <c r="Q369" s="255"/>
      <c r="R369" s="254"/>
      <c r="S369" s="254"/>
      <c r="T369" s="254"/>
      <c r="U369" s="254"/>
      <c r="V369" s="254"/>
    </row>
    <row r="370" spans="1:22" ht="24" customHeight="1">
      <c r="A370" s="432" t="s">
        <v>1186</v>
      </c>
      <c r="B370" s="337"/>
      <c r="C370" s="337"/>
      <c r="D370" s="337"/>
      <c r="E370" s="337"/>
      <c r="F370" s="337"/>
      <c r="G370" s="337"/>
      <c r="H370" s="337"/>
      <c r="I370" s="337"/>
      <c r="J370" s="337"/>
      <c r="K370" s="337"/>
      <c r="L370" s="229"/>
      <c r="N370" s="359"/>
      <c r="O370" s="359"/>
      <c r="P370" s="360"/>
      <c r="Q370" s="255"/>
      <c r="R370" s="254"/>
      <c r="S370" s="254"/>
      <c r="T370" s="254"/>
      <c r="U370" s="254"/>
      <c r="V370" s="254"/>
    </row>
    <row r="371" spans="1:22" ht="15" customHeight="1">
      <c r="A371" s="337"/>
      <c r="B371" s="337"/>
      <c r="C371" s="337"/>
      <c r="D371" s="337"/>
      <c r="E371" s="337"/>
      <c r="F371" s="337"/>
      <c r="G371" s="337"/>
      <c r="H371" s="337"/>
      <c r="I371" s="337"/>
      <c r="J371" s="337"/>
      <c r="K371" s="337"/>
      <c r="L371" s="229"/>
      <c r="N371" s="359"/>
      <c r="O371" s="359"/>
      <c r="P371" s="360"/>
      <c r="Q371" s="255"/>
      <c r="R371" s="254"/>
      <c r="S371" s="254"/>
      <c r="T371" s="254"/>
      <c r="U371" s="254"/>
      <c r="V371" s="254"/>
    </row>
    <row r="372" spans="1:22" ht="24" customHeight="1">
      <c r="A372" s="421" t="s">
        <v>343</v>
      </c>
      <c r="B372" s="337"/>
      <c r="C372" s="337"/>
      <c r="D372" s="421" t="s">
        <v>344</v>
      </c>
      <c r="E372" s="337"/>
      <c r="F372" s="337"/>
      <c r="G372" s="337"/>
      <c r="H372" s="337"/>
      <c r="I372" s="337"/>
      <c r="J372" s="337"/>
      <c r="K372" s="337"/>
      <c r="L372" s="229">
        <v>292372</v>
      </c>
      <c r="M372" s="247">
        <v>409576</v>
      </c>
      <c r="N372" s="346">
        <v>425971</v>
      </c>
      <c r="O372" s="350">
        <v>417416</v>
      </c>
      <c r="P372" s="353">
        <v>415000</v>
      </c>
      <c r="Q372" s="243">
        <v>410000</v>
      </c>
      <c r="R372" s="239">
        <v>410000</v>
      </c>
      <c r="S372" s="239">
        <v>415000</v>
      </c>
      <c r="T372" s="239">
        <v>415000</v>
      </c>
      <c r="U372" s="239">
        <v>420000</v>
      </c>
      <c r="V372" s="239">
        <v>420000</v>
      </c>
    </row>
    <row r="373" spans="1:22" ht="24" customHeight="1">
      <c r="A373" s="421" t="s">
        <v>345</v>
      </c>
      <c r="B373" s="337"/>
      <c r="C373" s="337"/>
      <c r="D373" s="199" t="s">
        <v>346</v>
      </c>
      <c r="E373" s="337"/>
      <c r="F373" s="337"/>
      <c r="G373" s="337"/>
      <c r="H373" s="337"/>
      <c r="I373" s="337"/>
      <c r="J373" s="337"/>
      <c r="K373" s="337"/>
      <c r="L373" s="229">
        <v>15510</v>
      </c>
      <c r="M373" s="234">
        <v>24687</v>
      </c>
      <c r="N373" s="348">
        <v>24674</v>
      </c>
      <c r="O373" s="348">
        <v>39197</v>
      </c>
      <c r="P373" s="349">
        <v>39197</v>
      </c>
      <c r="Q373" s="236">
        <v>39164</v>
      </c>
      <c r="R373" s="235">
        <v>40000</v>
      </c>
      <c r="S373" s="235">
        <v>40000</v>
      </c>
      <c r="T373" s="235">
        <v>40000</v>
      </c>
      <c r="U373" s="235">
        <v>40000</v>
      </c>
      <c r="V373" s="235">
        <v>40000</v>
      </c>
    </row>
    <row r="374" spans="1:22" ht="24" customHeight="1">
      <c r="A374" s="421" t="s">
        <v>1256</v>
      </c>
      <c r="B374" s="337"/>
      <c r="C374" s="337"/>
      <c r="D374" s="199" t="s">
        <v>48</v>
      </c>
      <c r="E374" s="337"/>
      <c r="F374" s="337"/>
      <c r="G374" s="337"/>
      <c r="H374" s="337"/>
      <c r="I374" s="337"/>
      <c r="J374" s="337"/>
      <c r="K374" s="337"/>
      <c r="L374" s="229"/>
      <c r="M374" s="247"/>
      <c r="N374" s="346">
        <v>11580</v>
      </c>
      <c r="O374" s="350">
        <v>30293</v>
      </c>
      <c r="P374" s="353">
        <v>0</v>
      </c>
      <c r="Q374" s="243">
        <v>0</v>
      </c>
      <c r="R374" s="239">
        <v>492000</v>
      </c>
      <c r="S374" s="239">
        <v>0</v>
      </c>
      <c r="T374" s="239">
        <v>0</v>
      </c>
      <c r="U374" s="239">
        <v>0</v>
      </c>
      <c r="V374" s="239">
        <v>0</v>
      </c>
    </row>
    <row r="375" spans="1:22" ht="24" customHeight="1">
      <c r="A375" s="421" t="s">
        <v>347</v>
      </c>
      <c r="B375" s="337"/>
      <c r="C375" s="337"/>
      <c r="D375" s="199" t="s">
        <v>348</v>
      </c>
      <c r="E375" s="337"/>
      <c r="F375" s="337"/>
      <c r="G375" s="337"/>
      <c r="H375" s="337"/>
      <c r="I375" s="337"/>
      <c r="J375" s="337"/>
      <c r="K375" s="337"/>
      <c r="L375" s="229"/>
      <c r="M375" s="240"/>
      <c r="N375" s="351">
        <v>73122</v>
      </c>
      <c r="O375" s="351">
        <v>73122</v>
      </c>
      <c r="P375" s="352">
        <v>0</v>
      </c>
      <c r="Q375" s="242">
        <v>73122</v>
      </c>
      <c r="R375" s="241">
        <v>0</v>
      </c>
      <c r="S375" s="241">
        <v>0</v>
      </c>
      <c r="T375" s="241">
        <v>0</v>
      </c>
      <c r="U375" s="241">
        <v>0</v>
      </c>
      <c r="V375" s="241">
        <v>0</v>
      </c>
    </row>
    <row r="376" spans="1:22" ht="24" customHeight="1">
      <c r="A376" s="421" t="s">
        <v>349</v>
      </c>
      <c r="B376" s="422"/>
      <c r="C376" s="422"/>
      <c r="D376" s="535" t="s">
        <v>6</v>
      </c>
      <c r="E376" s="535"/>
      <c r="F376" s="535"/>
      <c r="G376" s="535"/>
      <c r="H376" s="535"/>
      <c r="I376" s="535"/>
      <c r="J376" s="535"/>
      <c r="K376" s="535"/>
      <c r="L376" s="237"/>
      <c r="M376" s="269"/>
      <c r="N376" s="350">
        <v>837</v>
      </c>
      <c r="O376" s="350">
        <v>570</v>
      </c>
      <c r="P376" s="353">
        <v>350</v>
      </c>
      <c r="Q376" s="243">
        <v>3200</v>
      </c>
      <c r="R376" s="239">
        <v>2000</v>
      </c>
      <c r="S376" s="239">
        <v>1000</v>
      </c>
      <c r="T376" s="239">
        <v>500</v>
      </c>
      <c r="U376" s="239">
        <v>500</v>
      </c>
      <c r="V376" s="239">
        <v>500</v>
      </c>
    </row>
    <row r="377" spans="1:22" ht="24" customHeight="1">
      <c r="A377" s="421" t="s">
        <v>350</v>
      </c>
      <c r="B377" s="337"/>
      <c r="C377" s="337"/>
      <c r="D377" s="421" t="s">
        <v>351</v>
      </c>
      <c r="E377" s="337"/>
      <c r="F377" s="337"/>
      <c r="G377" s="337"/>
      <c r="H377" s="337"/>
      <c r="I377" s="337"/>
      <c r="J377" s="337"/>
      <c r="K377" s="337"/>
      <c r="L377" s="229"/>
      <c r="M377" s="247"/>
      <c r="N377" s="346">
        <v>151000</v>
      </c>
      <c r="O377" s="350">
        <v>0</v>
      </c>
      <c r="P377" s="353">
        <v>0</v>
      </c>
      <c r="Q377" s="243">
        <v>0</v>
      </c>
      <c r="R377" s="239">
        <v>0</v>
      </c>
      <c r="S377" s="239">
        <v>0</v>
      </c>
      <c r="T377" s="239">
        <v>0</v>
      </c>
      <c r="U377" s="239">
        <v>0</v>
      </c>
      <c r="V377" s="239">
        <v>0</v>
      </c>
    </row>
    <row r="378" spans="1:22" ht="24" customHeight="1">
      <c r="A378" s="421" t="s">
        <v>1359</v>
      </c>
      <c r="B378" s="337"/>
      <c r="C378" s="337"/>
      <c r="D378" s="421" t="s">
        <v>73</v>
      </c>
      <c r="E378" s="337"/>
      <c r="F378" s="337"/>
      <c r="G378" s="337"/>
      <c r="H378" s="337"/>
      <c r="I378" s="337"/>
      <c r="J378" s="337"/>
      <c r="K378" s="337"/>
      <c r="L378" s="229"/>
      <c r="M378" s="247"/>
      <c r="N378" s="346">
        <v>0</v>
      </c>
      <c r="O378" s="350">
        <v>0</v>
      </c>
      <c r="P378" s="353">
        <v>0</v>
      </c>
      <c r="Q378" s="243">
        <v>257</v>
      </c>
      <c r="R378" s="239">
        <v>0</v>
      </c>
      <c r="S378" s="239">
        <v>0</v>
      </c>
      <c r="T378" s="239">
        <v>0</v>
      </c>
      <c r="U378" s="239">
        <v>0</v>
      </c>
      <c r="V378" s="239">
        <v>0</v>
      </c>
    </row>
    <row r="379" spans="1:22" ht="24" customHeight="1">
      <c r="A379" s="421" t="s">
        <v>352</v>
      </c>
      <c r="B379" s="337"/>
      <c r="C379" s="337"/>
      <c r="D379" s="421" t="s">
        <v>7</v>
      </c>
      <c r="E379" s="337"/>
      <c r="F379" s="337"/>
      <c r="G379" s="337"/>
      <c r="H379" s="337"/>
      <c r="I379" s="337"/>
      <c r="J379" s="337"/>
      <c r="K379" s="337"/>
      <c r="L379" s="229"/>
      <c r="M379" s="249"/>
      <c r="N379" s="356">
        <v>85</v>
      </c>
      <c r="O379" s="357">
        <v>0</v>
      </c>
      <c r="P379" s="358">
        <v>0</v>
      </c>
      <c r="Q379" s="252">
        <v>0</v>
      </c>
      <c r="R379" s="251">
        <v>0</v>
      </c>
      <c r="S379" s="251">
        <v>0</v>
      </c>
      <c r="T379" s="251">
        <v>0</v>
      </c>
      <c r="U379" s="251">
        <v>0</v>
      </c>
      <c r="V379" s="251">
        <v>0</v>
      </c>
    </row>
    <row r="380" spans="1:22" ht="15" customHeight="1">
      <c r="A380" s="337"/>
      <c r="B380" s="337"/>
      <c r="C380" s="337"/>
      <c r="D380" s="337"/>
      <c r="E380" s="337"/>
      <c r="F380" s="337"/>
      <c r="G380" s="337"/>
      <c r="H380" s="337"/>
      <c r="I380" s="337"/>
      <c r="J380" s="337"/>
      <c r="K380" s="337"/>
      <c r="L380" s="229"/>
      <c r="N380" s="359"/>
      <c r="O380" s="359"/>
      <c r="P380" s="360"/>
      <c r="Q380" s="255"/>
      <c r="R380" s="254"/>
      <c r="S380" s="254"/>
      <c r="T380" s="254"/>
      <c r="U380" s="254"/>
      <c r="V380" s="254"/>
    </row>
    <row r="381" spans="1:22" s="337" customFormat="1" ht="24" customHeight="1">
      <c r="K381" s="425" t="s">
        <v>758</v>
      </c>
      <c r="L381" s="449"/>
      <c r="M381" s="469"/>
      <c r="N381" s="361">
        <f t="shared" ref="N381:U381" si="39">SUM(N372:N380)</f>
        <v>687269</v>
      </c>
      <c r="O381" s="361">
        <f t="shared" si="39"/>
        <v>560598</v>
      </c>
      <c r="P381" s="362">
        <f t="shared" si="39"/>
        <v>454547</v>
      </c>
      <c r="Q381" s="362">
        <f>SUM(Q372:Q380)</f>
        <v>525743</v>
      </c>
      <c r="R381" s="361">
        <f t="shared" si="39"/>
        <v>944000</v>
      </c>
      <c r="S381" s="361">
        <f t="shared" si="39"/>
        <v>456000</v>
      </c>
      <c r="T381" s="361">
        <f t="shared" si="39"/>
        <v>455500</v>
      </c>
      <c r="U381" s="361">
        <f t="shared" si="39"/>
        <v>460500</v>
      </c>
      <c r="V381" s="361">
        <f>SUM(V372:V380)</f>
        <v>460500</v>
      </c>
    </row>
    <row r="382" spans="1:22" ht="15" customHeight="1">
      <c r="A382" s="337"/>
      <c r="B382" s="337"/>
      <c r="C382" s="337"/>
      <c r="D382" s="337"/>
      <c r="E382" s="337"/>
      <c r="F382" s="337"/>
      <c r="G382" s="337"/>
      <c r="H382" s="337"/>
      <c r="I382" s="337"/>
      <c r="J382" s="337"/>
      <c r="K382" s="337"/>
      <c r="L382" s="229"/>
      <c r="M382" s="300"/>
      <c r="N382" s="361"/>
      <c r="O382" s="361"/>
      <c r="P382" s="362"/>
      <c r="Q382" s="260"/>
      <c r="R382" s="259"/>
      <c r="S382" s="259"/>
      <c r="T382" s="259"/>
      <c r="U382" s="259"/>
      <c r="V382" s="259"/>
    </row>
    <row r="383" spans="1:22" ht="24" customHeight="1">
      <c r="A383" s="421" t="s">
        <v>1336</v>
      </c>
      <c r="B383" s="422"/>
      <c r="C383" s="422"/>
      <c r="D383" s="421" t="s">
        <v>1337</v>
      </c>
      <c r="E383" s="422"/>
      <c r="F383" s="422"/>
      <c r="G383" s="424"/>
      <c r="H383" s="424"/>
      <c r="I383" s="424"/>
      <c r="J383" s="424"/>
      <c r="K383" s="424"/>
      <c r="L383" s="253"/>
      <c r="M383" s="275"/>
      <c r="N383" s="372">
        <v>0</v>
      </c>
      <c r="O383" s="372">
        <v>0</v>
      </c>
      <c r="P383" s="379">
        <v>0</v>
      </c>
      <c r="Q383" s="285">
        <v>7500</v>
      </c>
      <c r="R383" s="276">
        <v>7500</v>
      </c>
      <c r="S383" s="276">
        <v>7500</v>
      </c>
      <c r="T383" s="276">
        <v>7500</v>
      </c>
      <c r="U383" s="276">
        <v>7500</v>
      </c>
      <c r="V383" s="276">
        <v>7500</v>
      </c>
    </row>
    <row r="384" spans="1:22" ht="24" customHeight="1">
      <c r="A384" s="421" t="s">
        <v>354</v>
      </c>
      <c r="B384" s="422"/>
      <c r="C384" s="422"/>
      <c r="D384" s="421" t="s">
        <v>10</v>
      </c>
      <c r="E384" s="422"/>
      <c r="F384" s="422"/>
      <c r="G384" s="424"/>
      <c r="H384" s="424"/>
      <c r="I384" s="424"/>
      <c r="J384" s="424"/>
      <c r="K384" s="424"/>
      <c r="L384" s="253"/>
      <c r="M384" s="275"/>
      <c r="N384" s="372">
        <v>2587</v>
      </c>
      <c r="O384" s="372">
        <v>0</v>
      </c>
      <c r="P384" s="379">
        <v>0</v>
      </c>
      <c r="Q384" s="285">
        <v>0</v>
      </c>
      <c r="R384" s="276">
        <v>0</v>
      </c>
      <c r="S384" s="276">
        <v>0</v>
      </c>
      <c r="T384" s="276">
        <v>0</v>
      </c>
      <c r="U384" s="276">
        <v>0</v>
      </c>
      <c r="V384" s="276">
        <v>0</v>
      </c>
    </row>
    <row r="385" spans="1:23" ht="24" customHeight="1">
      <c r="A385" s="421" t="s">
        <v>355</v>
      </c>
      <c r="B385" s="422"/>
      <c r="C385" s="422"/>
      <c r="D385" s="421" t="s">
        <v>1491</v>
      </c>
      <c r="E385" s="422"/>
      <c r="F385" s="422"/>
      <c r="G385" s="422"/>
      <c r="H385" s="422"/>
      <c r="I385" s="422"/>
      <c r="J385" s="422"/>
      <c r="K385" s="422"/>
      <c r="L385" s="237"/>
      <c r="M385" s="275"/>
      <c r="N385" s="372">
        <v>30929</v>
      </c>
      <c r="O385" s="372">
        <v>0</v>
      </c>
      <c r="P385" s="379">
        <v>0</v>
      </c>
      <c r="Q385" s="285">
        <v>0</v>
      </c>
      <c r="R385" s="276">
        <v>16000</v>
      </c>
      <c r="S385" s="276">
        <v>0</v>
      </c>
      <c r="T385" s="276">
        <v>0</v>
      </c>
      <c r="U385" s="276">
        <v>0</v>
      </c>
      <c r="V385" s="276">
        <v>0</v>
      </c>
    </row>
    <row r="386" spans="1:23" ht="24" customHeight="1">
      <c r="A386" s="421" t="s">
        <v>356</v>
      </c>
      <c r="B386" s="422"/>
      <c r="C386" s="422"/>
      <c r="D386" s="421" t="s">
        <v>357</v>
      </c>
      <c r="E386" s="422"/>
      <c r="F386" s="422"/>
      <c r="G386" s="422"/>
      <c r="H386" s="422"/>
      <c r="I386" s="422"/>
      <c r="J386" s="422"/>
      <c r="K386" s="422"/>
      <c r="L386" s="237"/>
      <c r="M386" s="247"/>
      <c r="N386" s="346">
        <v>132777</v>
      </c>
      <c r="O386" s="350">
        <v>129391</v>
      </c>
      <c r="P386" s="353">
        <v>231000</v>
      </c>
      <c r="Q386" s="243">
        <v>115000</v>
      </c>
      <c r="R386" s="239">
        <v>126000</v>
      </c>
      <c r="S386" s="239">
        <v>132300</v>
      </c>
      <c r="T386" s="239">
        <v>138915</v>
      </c>
      <c r="U386" s="239">
        <v>145861</v>
      </c>
      <c r="V386" s="239">
        <f>153154-1</f>
        <v>153153</v>
      </c>
    </row>
    <row r="387" spans="1:23" ht="24" customHeight="1">
      <c r="A387" s="421" t="s">
        <v>358</v>
      </c>
      <c r="B387" s="422"/>
      <c r="C387" s="422"/>
      <c r="D387" s="421" t="s">
        <v>359</v>
      </c>
      <c r="E387" s="422"/>
      <c r="F387" s="422"/>
      <c r="G387" s="422"/>
      <c r="H387" s="422"/>
      <c r="I387" s="422"/>
      <c r="J387" s="422"/>
      <c r="K387" s="422"/>
      <c r="L387" s="237"/>
      <c r="M387" s="247"/>
      <c r="N387" s="346">
        <v>1232</v>
      </c>
      <c r="O387" s="350">
        <v>6732</v>
      </c>
      <c r="P387" s="353">
        <v>35000</v>
      </c>
      <c r="Q387" s="243">
        <v>20000</v>
      </c>
      <c r="R387" s="239">
        <v>15000</v>
      </c>
      <c r="S387" s="239">
        <v>15000</v>
      </c>
      <c r="T387" s="239">
        <v>15000</v>
      </c>
      <c r="U387" s="239">
        <v>15000</v>
      </c>
      <c r="V387" s="239">
        <v>15000</v>
      </c>
      <c r="W387" s="289"/>
    </row>
    <row r="388" spans="1:23" ht="24" customHeight="1">
      <c r="A388" s="421" t="s">
        <v>360</v>
      </c>
      <c r="B388" s="422"/>
      <c r="C388" s="422"/>
      <c r="D388" s="421" t="s">
        <v>361</v>
      </c>
      <c r="E388" s="422"/>
      <c r="F388" s="422"/>
      <c r="G388" s="422"/>
      <c r="H388" s="422"/>
      <c r="I388" s="422"/>
      <c r="J388" s="422"/>
      <c r="K388" s="422"/>
      <c r="L388" s="237"/>
      <c r="M388" s="247"/>
      <c r="N388" s="346">
        <v>52481</v>
      </c>
      <c r="O388" s="350">
        <v>47093</v>
      </c>
      <c r="P388" s="353">
        <v>50000</v>
      </c>
      <c r="Q388" s="243">
        <v>47007</v>
      </c>
      <c r="R388" s="239">
        <v>50000</v>
      </c>
      <c r="S388" s="239">
        <v>50000</v>
      </c>
      <c r="T388" s="239">
        <v>50000</v>
      </c>
      <c r="U388" s="239">
        <v>50000</v>
      </c>
      <c r="V388" s="239">
        <v>50000</v>
      </c>
    </row>
    <row r="389" spans="1:23" ht="24" customHeight="1">
      <c r="A389" s="421" t="s">
        <v>362</v>
      </c>
      <c r="B389" s="422"/>
      <c r="C389" s="422"/>
      <c r="D389" s="421" t="s">
        <v>363</v>
      </c>
      <c r="E389" s="422"/>
      <c r="F389" s="422"/>
      <c r="G389" s="422"/>
      <c r="H389" s="422"/>
      <c r="I389" s="422"/>
      <c r="J389" s="422"/>
      <c r="K389" s="422"/>
      <c r="L389" s="237"/>
      <c r="M389" s="247"/>
      <c r="N389" s="346">
        <v>9892</v>
      </c>
      <c r="O389" s="346">
        <v>5855</v>
      </c>
      <c r="P389" s="353">
        <v>11660</v>
      </c>
      <c r="Q389" s="243">
        <v>6441</v>
      </c>
      <c r="R389" s="231">
        <v>12826</v>
      </c>
      <c r="S389" s="231">
        <v>14109</v>
      </c>
      <c r="T389" s="231">
        <v>15519</v>
      </c>
      <c r="U389" s="231">
        <v>17071</v>
      </c>
      <c r="V389" s="231">
        <v>18779</v>
      </c>
    </row>
    <row r="390" spans="1:23" ht="24" customHeight="1">
      <c r="A390" s="421" t="s">
        <v>364</v>
      </c>
      <c r="B390" s="422"/>
      <c r="C390" s="422"/>
      <c r="D390" s="421" t="s">
        <v>365</v>
      </c>
      <c r="E390" s="422"/>
      <c r="F390" s="422"/>
      <c r="G390" s="422"/>
      <c r="H390" s="422"/>
      <c r="I390" s="422"/>
      <c r="J390" s="422"/>
      <c r="K390" s="422"/>
      <c r="L390" s="237"/>
      <c r="M390" s="247"/>
      <c r="N390" s="346">
        <v>7658</v>
      </c>
      <c r="O390" s="346">
        <v>11284</v>
      </c>
      <c r="P390" s="353">
        <v>14300</v>
      </c>
      <c r="Q390" s="243">
        <v>12412</v>
      </c>
      <c r="R390" s="231">
        <v>15730</v>
      </c>
      <c r="S390" s="231">
        <v>17303</v>
      </c>
      <c r="T390" s="231">
        <v>19033</v>
      </c>
      <c r="U390" s="231">
        <v>20937</v>
      </c>
      <c r="V390" s="231">
        <v>23030</v>
      </c>
    </row>
    <row r="391" spans="1:23" ht="24" customHeight="1">
      <c r="A391" s="421" t="s">
        <v>366</v>
      </c>
      <c r="B391" s="422"/>
      <c r="C391" s="422"/>
      <c r="D391" s="421" t="s">
        <v>1490</v>
      </c>
      <c r="E391" s="422"/>
      <c r="F391" s="422"/>
      <c r="G391" s="422"/>
      <c r="H391" s="422"/>
      <c r="I391" s="422"/>
      <c r="J391" s="422"/>
      <c r="K391" s="422"/>
      <c r="L391" s="237"/>
      <c r="M391" s="247"/>
      <c r="N391" s="346">
        <v>23128</v>
      </c>
      <c r="O391" s="350">
        <v>0</v>
      </c>
      <c r="P391" s="353">
        <v>0</v>
      </c>
      <c r="Q391" s="243">
        <v>0</v>
      </c>
      <c r="R391" s="239">
        <v>0</v>
      </c>
      <c r="S391" s="239">
        <v>0</v>
      </c>
      <c r="T391" s="239">
        <v>0</v>
      </c>
      <c r="U391" s="239">
        <v>0</v>
      </c>
      <c r="V391" s="239">
        <v>0</v>
      </c>
    </row>
    <row r="392" spans="1:23" ht="24" customHeight="1">
      <c r="A392" s="421" t="s">
        <v>1374</v>
      </c>
      <c r="B392" s="422"/>
      <c r="C392" s="422"/>
      <c r="D392" s="421" t="s">
        <v>1375</v>
      </c>
      <c r="E392" s="422"/>
      <c r="F392" s="422"/>
      <c r="G392" s="422"/>
      <c r="H392" s="422"/>
      <c r="I392" s="422"/>
      <c r="J392" s="422"/>
      <c r="K392" s="422"/>
      <c r="L392" s="237"/>
      <c r="M392" s="247"/>
      <c r="N392" s="346">
        <v>0</v>
      </c>
      <c r="O392" s="350">
        <v>0</v>
      </c>
      <c r="P392" s="353">
        <v>0</v>
      </c>
      <c r="Q392" s="243">
        <v>0</v>
      </c>
      <c r="R392" s="239">
        <v>75000</v>
      </c>
      <c r="S392" s="239">
        <v>0</v>
      </c>
      <c r="T392" s="239">
        <v>0</v>
      </c>
      <c r="U392" s="239">
        <v>0</v>
      </c>
      <c r="V392" s="239">
        <v>0</v>
      </c>
    </row>
    <row r="393" spans="1:23" ht="24" customHeight="1">
      <c r="A393" s="421" t="s">
        <v>1376</v>
      </c>
      <c r="B393" s="422"/>
      <c r="C393" s="422"/>
      <c r="D393" s="423" t="s">
        <v>1501</v>
      </c>
      <c r="E393" s="422"/>
      <c r="F393" s="422"/>
      <c r="G393" s="422"/>
      <c r="H393" s="422"/>
      <c r="I393" s="422"/>
      <c r="J393" s="422"/>
      <c r="K393" s="422"/>
      <c r="L393" s="237"/>
      <c r="M393" s="247"/>
      <c r="N393" s="346">
        <v>0</v>
      </c>
      <c r="O393" s="350">
        <v>0</v>
      </c>
      <c r="P393" s="353">
        <v>0</v>
      </c>
      <c r="Q393" s="243">
        <v>0</v>
      </c>
      <c r="R393" s="239">
        <v>250000</v>
      </c>
      <c r="S393" s="239">
        <v>250000</v>
      </c>
      <c r="T393" s="239">
        <v>250000</v>
      </c>
      <c r="U393" s="239">
        <f>175000+30000</f>
        <v>205000</v>
      </c>
      <c r="V393" s="239">
        <f>55000-178+10000+30000+200+25000-16000</f>
        <v>104022</v>
      </c>
    </row>
    <row r="394" spans="1:23" ht="24" customHeight="1">
      <c r="A394" s="421" t="s">
        <v>367</v>
      </c>
      <c r="B394" s="424"/>
      <c r="C394" s="424"/>
      <c r="D394" s="421" t="s">
        <v>368</v>
      </c>
      <c r="E394" s="424"/>
      <c r="F394" s="424"/>
      <c r="G394" s="424"/>
      <c r="H394" s="424"/>
      <c r="I394" s="424"/>
      <c r="J394" s="424"/>
      <c r="K394" s="424"/>
      <c r="L394" s="253"/>
      <c r="M394" s="247"/>
      <c r="N394" s="346">
        <v>42420</v>
      </c>
      <c r="O394" s="350">
        <v>875</v>
      </c>
      <c r="P394" s="353">
        <v>0</v>
      </c>
      <c r="Q394" s="243">
        <v>0</v>
      </c>
      <c r="R394" s="239">
        <v>492000</v>
      </c>
      <c r="S394" s="239">
        <v>0</v>
      </c>
      <c r="T394" s="239">
        <v>0</v>
      </c>
      <c r="U394" s="239">
        <v>0</v>
      </c>
      <c r="V394" s="239">
        <v>0</v>
      </c>
    </row>
    <row r="395" spans="1:23" ht="24" customHeight="1">
      <c r="A395" s="421" t="s">
        <v>369</v>
      </c>
      <c r="B395" s="424"/>
      <c r="C395" s="424"/>
      <c r="D395" s="421" t="s">
        <v>370</v>
      </c>
      <c r="E395" s="424"/>
      <c r="F395" s="424"/>
      <c r="G395" s="424"/>
      <c r="H395" s="424"/>
      <c r="I395" s="424"/>
      <c r="J395" s="424"/>
      <c r="K395" s="424"/>
      <c r="L395" s="253"/>
      <c r="M395" s="247"/>
      <c r="N395" s="346">
        <v>31456</v>
      </c>
      <c r="O395" s="350">
        <v>68086</v>
      </c>
      <c r="P395" s="353">
        <v>110000</v>
      </c>
      <c r="Q395" s="243">
        <v>110000</v>
      </c>
      <c r="R395" s="239">
        <v>212500</v>
      </c>
      <c r="S395" s="239">
        <v>0</v>
      </c>
      <c r="T395" s="239">
        <v>0</v>
      </c>
      <c r="U395" s="239">
        <v>0</v>
      </c>
      <c r="V395" s="239">
        <v>0</v>
      </c>
    </row>
    <row r="396" spans="1:23" ht="24" customHeight="1">
      <c r="A396" s="421" t="s">
        <v>371</v>
      </c>
      <c r="B396" s="424"/>
      <c r="C396" s="424"/>
      <c r="D396" s="421" t="s">
        <v>372</v>
      </c>
      <c r="E396" s="424"/>
      <c r="F396" s="424"/>
      <c r="G396" s="424"/>
      <c r="H396" s="424"/>
      <c r="I396" s="424"/>
      <c r="J396" s="424"/>
      <c r="K396" s="424"/>
      <c r="L396" s="253"/>
      <c r="M396" s="247"/>
      <c r="N396" s="346">
        <v>21930</v>
      </c>
      <c r="O396" s="350">
        <v>0</v>
      </c>
      <c r="P396" s="353">
        <v>0</v>
      </c>
      <c r="Q396" s="243">
        <v>0</v>
      </c>
      <c r="R396" s="239">
        <v>0</v>
      </c>
      <c r="S396" s="239">
        <v>0</v>
      </c>
      <c r="T396" s="239">
        <v>0</v>
      </c>
      <c r="U396" s="239">
        <v>0</v>
      </c>
      <c r="V396" s="239">
        <v>0</v>
      </c>
    </row>
    <row r="397" spans="1:23" ht="24" customHeight="1">
      <c r="A397" s="421" t="s">
        <v>906</v>
      </c>
      <c r="B397" s="424"/>
      <c r="C397" s="424"/>
      <c r="D397" s="421" t="s">
        <v>407</v>
      </c>
      <c r="E397" s="424"/>
      <c r="F397" s="424"/>
      <c r="G397" s="424"/>
      <c r="H397" s="424"/>
      <c r="I397" s="424"/>
      <c r="J397" s="424"/>
      <c r="K397" s="424"/>
      <c r="L397" s="253"/>
      <c r="M397" s="247"/>
      <c r="N397" s="346">
        <v>0</v>
      </c>
      <c r="O397" s="350">
        <v>6825</v>
      </c>
      <c r="P397" s="353">
        <v>0</v>
      </c>
      <c r="Q397" s="243">
        <v>0</v>
      </c>
      <c r="R397" s="239">
        <v>0</v>
      </c>
      <c r="S397" s="239">
        <v>0</v>
      </c>
      <c r="T397" s="239">
        <v>0</v>
      </c>
      <c r="U397" s="239">
        <v>0</v>
      </c>
      <c r="V397" s="239">
        <v>0</v>
      </c>
    </row>
    <row r="398" spans="1:23" ht="24" customHeight="1">
      <c r="A398" s="421" t="s">
        <v>373</v>
      </c>
      <c r="B398" s="424"/>
      <c r="C398" s="424"/>
      <c r="D398" s="421" t="s">
        <v>374</v>
      </c>
      <c r="E398" s="424"/>
      <c r="F398" s="424"/>
      <c r="G398" s="424"/>
      <c r="H398" s="424"/>
      <c r="I398" s="424"/>
      <c r="J398" s="424"/>
      <c r="K398" s="424"/>
      <c r="L398" s="253"/>
      <c r="M398" s="247"/>
      <c r="N398" s="346">
        <v>0</v>
      </c>
      <c r="O398" s="346">
        <v>0</v>
      </c>
      <c r="P398" s="347">
        <v>121900</v>
      </c>
      <c r="Q398" s="232">
        <v>76652</v>
      </c>
      <c r="R398" s="231">
        <v>121900</v>
      </c>
      <c r="S398" s="231">
        <v>121900</v>
      </c>
      <c r="T398" s="231">
        <v>121900</v>
      </c>
      <c r="U398" s="231">
        <v>121900</v>
      </c>
      <c r="V398" s="231">
        <v>121900</v>
      </c>
      <c r="W398" s="267"/>
    </row>
    <row r="399" spans="1:23" ht="24" customHeight="1">
      <c r="A399" s="421" t="s">
        <v>1377</v>
      </c>
      <c r="B399" s="424"/>
      <c r="C399" s="424"/>
      <c r="D399" s="421" t="s">
        <v>1378</v>
      </c>
      <c r="E399" s="424"/>
      <c r="F399" s="424"/>
      <c r="G399" s="424"/>
      <c r="H399" s="424"/>
      <c r="I399" s="424"/>
      <c r="J399" s="424"/>
      <c r="K399" s="424"/>
      <c r="L399" s="253"/>
      <c r="M399" s="247"/>
      <c r="N399" s="346">
        <v>0</v>
      </c>
      <c r="O399" s="346">
        <v>0</v>
      </c>
      <c r="P399" s="347">
        <v>0</v>
      </c>
      <c r="Q399" s="232">
        <v>0</v>
      </c>
      <c r="R399" s="231">
        <v>0</v>
      </c>
      <c r="S399" s="231">
        <v>0</v>
      </c>
      <c r="T399" s="231">
        <v>35000</v>
      </c>
      <c r="U399" s="231">
        <v>100000</v>
      </c>
      <c r="V399" s="231">
        <v>0</v>
      </c>
      <c r="W399" s="267"/>
    </row>
    <row r="400" spans="1:23" ht="24" customHeight="1">
      <c r="A400" s="421" t="s">
        <v>375</v>
      </c>
      <c r="B400" s="337"/>
      <c r="C400" s="337"/>
      <c r="D400" s="421" t="s">
        <v>376</v>
      </c>
      <c r="E400" s="337"/>
      <c r="F400" s="337"/>
      <c r="G400" s="337"/>
      <c r="H400" s="337"/>
      <c r="I400" s="337"/>
      <c r="J400" s="337"/>
      <c r="K400" s="337"/>
      <c r="L400" s="253"/>
      <c r="M400" s="247"/>
      <c r="N400" s="356">
        <v>96000</v>
      </c>
      <c r="O400" s="356">
        <v>0</v>
      </c>
      <c r="P400" s="367">
        <v>0</v>
      </c>
      <c r="Q400" s="268">
        <v>0</v>
      </c>
      <c r="R400" s="250">
        <v>0</v>
      </c>
      <c r="S400" s="250">
        <v>0</v>
      </c>
      <c r="T400" s="250">
        <v>0</v>
      </c>
      <c r="U400" s="250">
        <v>0</v>
      </c>
      <c r="V400" s="250">
        <v>0</v>
      </c>
    </row>
    <row r="401" spans="1:22" ht="15" customHeight="1">
      <c r="A401" s="421"/>
      <c r="B401" s="337"/>
      <c r="C401" s="337"/>
      <c r="D401" s="421"/>
      <c r="E401" s="337"/>
      <c r="F401" s="337"/>
      <c r="G401" s="337"/>
      <c r="H401" s="337"/>
      <c r="I401" s="337"/>
      <c r="J401" s="337"/>
      <c r="K401" s="337"/>
      <c r="L401" s="253"/>
      <c r="M401" s="247"/>
      <c r="N401" s="346"/>
      <c r="O401" s="346"/>
      <c r="P401" s="347"/>
      <c r="Q401" s="232"/>
      <c r="R401" s="231"/>
      <c r="S401" s="231"/>
      <c r="T401" s="231"/>
      <c r="U401" s="231"/>
      <c r="V401" s="231"/>
    </row>
    <row r="402" spans="1:22" s="337" customFormat="1" ht="24" customHeight="1">
      <c r="K402" s="425" t="s">
        <v>761</v>
      </c>
      <c r="L402" s="449"/>
      <c r="M402" s="470"/>
      <c r="N402" s="383">
        <f>SUM(N383:N401)</f>
        <v>452490</v>
      </c>
      <c r="O402" s="383">
        <f t="shared" ref="O402:V402" si="40">SUM(O383:O401)</f>
        <v>276141</v>
      </c>
      <c r="P402" s="384">
        <f t="shared" si="40"/>
        <v>573860</v>
      </c>
      <c r="Q402" s="384">
        <f t="shared" si="40"/>
        <v>395012</v>
      </c>
      <c r="R402" s="383">
        <f t="shared" si="40"/>
        <v>1394456</v>
      </c>
      <c r="S402" s="383">
        <f t="shared" si="40"/>
        <v>608112</v>
      </c>
      <c r="T402" s="383">
        <f t="shared" si="40"/>
        <v>652867</v>
      </c>
      <c r="U402" s="383">
        <f t="shared" si="40"/>
        <v>683269</v>
      </c>
      <c r="V402" s="383">
        <f t="shared" si="40"/>
        <v>493384</v>
      </c>
    </row>
    <row r="403" spans="1:22" s="337" customFormat="1" ht="15" customHeight="1">
      <c r="L403" s="451"/>
      <c r="M403" s="449"/>
      <c r="N403" s="383"/>
      <c r="O403" s="383"/>
      <c r="P403" s="384"/>
      <c r="Q403" s="384"/>
      <c r="R403" s="383"/>
      <c r="S403" s="383"/>
      <c r="T403" s="383"/>
      <c r="U403" s="383"/>
      <c r="V403" s="383"/>
    </row>
    <row r="404" spans="1:22" s="337" customFormat="1" ht="24" customHeight="1">
      <c r="K404" s="425" t="s">
        <v>762</v>
      </c>
      <c r="L404" s="449"/>
      <c r="M404" s="449"/>
      <c r="N404" s="383">
        <f t="shared" ref="N404:V404" si="41">N381-N402</f>
        <v>234779</v>
      </c>
      <c r="O404" s="383">
        <f t="shared" si="41"/>
        <v>284457</v>
      </c>
      <c r="P404" s="384">
        <f t="shared" si="41"/>
        <v>-119313</v>
      </c>
      <c r="Q404" s="384">
        <f t="shared" si="41"/>
        <v>130731</v>
      </c>
      <c r="R404" s="383">
        <f t="shared" si="41"/>
        <v>-450456</v>
      </c>
      <c r="S404" s="383">
        <f t="shared" si="41"/>
        <v>-152112</v>
      </c>
      <c r="T404" s="383">
        <f t="shared" si="41"/>
        <v>-197367</v>
      </c>
      <c r="U404" s="383">
        <f t="shared" si="41"/>
        <v>-222769</v>
      </c>
      <c r="V404" s="383">
        <f t="shared" si="41"/>
        <v>-32884</v>
      </c>
    </row>
    <row r="405" spans="1:22" s="337" customFormat="1" ht="15" customHeight="1">
      <c r="L405" s="451"/>
      <c r="M405" s="449"/>
      <c r="N405" s="383"/>
      <c r="O405" s="383"/>
      <c r="P405" s="384"/>
      <c r="Q405" s="384"/>
      <c r="R405" s="383"/>
      <c r="S405" s="383"/>
      <c r="T405" s="383"/>
      <c r="U405" s="383"/>
      <c r="V405" s="383"/>
    </row>
    <row r="406" spans="1:22" s="337" customFormat="1" ht="24" customHeight="1">
      <c r="K406" s="430" t="s">
        <v>764</v>
      </c>
      <c r="L406" s="449"/>
      <c r="M406" s="449"/>
      <c r="N406" s="383">
        <v>640399</v>
      </c>
      <c r="O406" s="383">
        <v>924857</v>
      </c>
      <c r="P406" s="384">
        <v>465255</v>
      </c>
      <c r="Q406" s="384">
        <f>O406+Q404</f>
        <v>1055588</v>
      </c>
      <c r="R406" s="383">
        <f>Q406+R404</f>
        <v>605132</v>
      </c>
      <c r="S406" s="383">
        <f>R406+S404</f>
        <v>453020</v>
      </c>
      <c r="T406" s="383">
        <f>S406+T404</f>
        <v>255653</v>
      </c>
      <c r="U406" s="383">
        <f>T406+U404</f>
        <v>32884</v>
      </c>
      <c r="V406" s="383">
        <f>U406+V404</f>
        <v>0</v>
      </c>
    </row>
    <row r="407" spans="1:22" ht="15" customHeight="1">
      <c r="A407" s="337"/>
      <c r="B407" s="337"/>
      <c r="C407" s="337"/>
      <c r="D407" s="337"/>
      <c r="E407" s="337"/>
      <c r="F407" s="337"/>
      <c r="G407" s="337"/>
      <c r="H407" s="337"/>
      <c r="I407" s="337"/>
      <c r="J407" s="337"/>
      <c r="K407" s="337"/>
      <c r="L407" s="229"/>
      <c r="M407" s="257"/>
      <c r="N407" s="383"/>
      <c r="O407" s="383"/>
      <c r="P407" s="384"/>
      <c r="Q407" s="293"/>
      <c r="R407" s="292"/>
      <c r="S407" s="292"/>
      <c r="T407" s="292"/>
      <c r="U407" s="292"/>
      <c r="V407" s="292"/>
    </row>
    <row r="408" spans="1:22" ht="24" customHeight="1">
      <c r="A408" s="432" t="s">
        <v>781</v>
      </c>
      <c r="B408" s="337"/>
      <c r="C408" s="337"/>
      <c r="D408" s="337"/>
      <c r="E408" s="337"/>
      <c r="F408" s="337"/>
      <c r="G408" s="337"/>
      <c r="H408" s="337"/>
      <c r="I408" s="337"/>
      <c r="J408" s="337"/>
      <c r="K408" s="337"/>
      <c r="L408" s="229"/>
      <c r="M408" s="257"/>
      <c r="N408" s="383"/>
      <c r="O408" s="383"/>
      <c r="P408" s="384"/>
      <c r="Q408" s="293"/>
      <c r="R408" s="292"/>
      <c r="S408" s="292"/>
      <c r="T408" s="292"/>
      <c r="U408" s="292"/>
      <c r="V408" s="292"/>
    </row>
    <row r="409" spans="1:22" ht="15" customHeight="1">
      <c r="A409" s="337"/>
      <c r="B409" s="337"/>
      <c r="C409" s="337"/>
      <c r="D409" s="337"/>
      <c r="E409" s="337"/>
      <c r="F409" s="337"/>
      <c r="G409" s="337"/>
      <c r="H409" s="337"/>
      <c r="I409" s="337"/>
      <c r="J409" s="337"/>
      <c r="K409" s="337"/>
      <c r="L409" s="229"/>
      <c r="M409" s="257"/>
      <c r="N409" s="383"/>
      <c r="O409" s="383"/>
      <c r="P409" s="384"/>
      <c r="Q409" s="293"/>
      <c r="R409" s="292"/>
      <c r="S409" s="292"/>
      <c r="T409" s="292"/>
      <c r="U409" s="292"/>
      <c r="V409" s="292"/>
    </row>
    <row r="410" spans="1:22" ht="24" customHeight="1">
      <c r="A410" s="421" t="s">
        <v>377</v>
      </c>
      <c r="B410" s="422"/>
      <c r="C410" s="422"/>
      <c r="D410" s="421" t="s">
        <v>64</v>
      </c>
      <c r="E410" s="422"/>
      <c r="F410" s="422"/>
      <c r="G410" s="422"/>
      <c r="H410" s="337"/>
      <c r="I410" s="337"/>
      <c r="J410" s="337"/>
      <c r="K410" s="337"/>
      <c r="L410" s="229"/>
      <c r="M410" s="247"/>
      <c r="N410" s="346">
        <v>20700</v>
      </c>
      <c r="O410" s="346">
        <v>7650</v>
      </c>
      <c r="P410" s="347">
        <v>5250</v>
      </c>
      <c r="Q410" s="232">
        <v>6000</v>
      </c>
      <c r="R410" s="231">
        <v>0</v>
      </c>
      <c r="S410" s="231">
        <v>0</v>
      </c>
      <c r="T410" s="231">
        <v>0</v>
      </c>
      <c r="U410" s="231">
        <v>0</v>
      </c>
      <c r="V410" s="231">
        <v>0</v>
      </c>
    </row>
    <row r="411" spans="1:22" ht="24" customHeight="1">
      <c r="A411" s="421" t="s">
        <v>1179</v>
      </c>
      <c r="B411" s="422"/>
      <c r="C411" s="422"/>
      <c r="D411" s="421" t="s">
        <v>1215</v>
      </c>
      <c r="E411" s="422"/>
      <c r="F411" s="422"/>
      <c r="G411" s="422"/>
      <c r="H411" s="337"/>
      <c r="I411" s="337"/>
      <c r="J411" s="337"/>
      <c r="K411" s="337"/>
      <c r="L411" s="229"/>
      <c r="M411" s="247"/>
      <c r="N411" s="346">
        <v>0</v>
      </c>
      <c r="O411" s="346">
        <v>750</v>
      </c>
      <c r="P411" s="347">
        <v>0</v>
      </c>
      <c r="Q411" s="232">
        <v>3150</v>
      </c>
      <c r="R411" s="231">
        <v>0</v>
      </c>
      <c r="S411" s="231">
        <v>0</v>
      </c>
      <c r="T411" s="231">
        <v>0</v>
      </c>
      <c r="U411" s="231">
        <v>0</v>
      </c>
      <c r="V411" s="231">
        <v>0</v>
      </c>
    </row>
    <row r="412" spans="1:22" ht="24" customHeight="1">
      <c r="A412" s="421" t="s">
        <v>1267</v>
      </c>
      <c r="B412" s="422"/>
      <c r="C412" s="422"/>
      <c r="D412" s="421" t="s">
        <v>353</v>
      </c>
      <c r="E412" s="422"/>
      <c r="F412" s="422"/>
      <c r="G412" s="422"/>
      <c r="H412" s="337"/>
      <c r="I412" s="337"/>
      <c r="J412" s="337"/>
      <c r="K412" s="337"/>
      <c r="L412" s="229"/>
      <c r="M412" s="286"/>
      <c r="N412" s="357">
        <v>0</v>
      </c>
      <c r="O412" s="357">
        <v>0</v>
      </c>
      <c r="P412" s="358">
        <v>0</v>
      </c>
      <c r="Q412" s="252">
        <v>0</v>
      </c>
      <c r="R412" s="251">
        <f>573565-191</f>
        <v>573374</v>
      </c>
      <c r="S412" s="251">
        <v>0</v>
      </c>
      <c r="T412" s="251">
        <v>0</v>
      </c>
      <c r="U412" s="251">
        <v>0</v>
      </c>
      <c r="V412" s="251">
        <v>0</v>
      </c>
    </row>
    <row r="413" spans="1:22" ht="15" customHeight="1">
      <c r="A413" s="421"/>
      <c r="B413" s="422"/>
      <c r="C413" s="422"/>
      <c r="D413" s="421"/>
      <c r="E413" s="422"/>
      <c r="F413" s="422"/>
      <c r="G413" s="422"/>
      <c r="H413" s="337"/>
      <c r="I413" s="337"/>
      <c r="J413" s="337"/>
      <c r="K413" s="337"/>
      <c r="L413" s="229"/>
      <c r="M413" s="247"/>
      <c r="N413" s="346"/>
      <c r="O413" s="346"/>
      <c r="P413" s="347"/>
      <c r="Q413" s="232"/>
      <c r="R413" s="231"/>
      <c r="S413" s="231"/>
      <c r="T413" s="231"/>
      <c r="U413" s="231"/>
      <c r="V413" s="231"/>
    </row>
    <row r="414" spans="1:22" s="337" customFormat="1" ht="24" customHeight="1">
      <c r="K414" s="425" t="s">
        <v>758</v>
      </c>
      <c r="L414" s="449"/>
      <c r="M414" s="469"/>
      <c r="N414" s="361">
        <f>N410+N411+N412</f>
        <v>20700</v>
      </c>
      <c r="O414" s="361">
        <f t="shared" ref="O414:V414" si="42">O410+O411+O412</f>
        <v>8400</v>
      </c>
      <c r="P414" s="362">
        <f t="shared" si="42"/>
        <v>5250</v>
      </c>
      <c r="Q414" s="362">
        <f t="shared" si="42"/>
        <v>9150</v>
      </c>
      <c r="R414" s="361">
        <f t="shared" si="42"/>
        <v>573374</v>
      </c>
      <c r="S414" s="361">
        <f t="shared" si="42"/>
        <v>0</v>
      </c>
      <c r="T414" s="361">
        <f t="shared" si="42"/>
        <v>0</v>
      </c>
      <c r="U414" s="361">
        <f t="shared" si="42"/>
        <v>0</v>
      </c>
      <c r="V414" s="361">
        <f t="shared" si="42"/>
        <v>0</v>
      </c>
    </row>
    <row r="415" spans="1:22" ht="15" customHeight="1">
      <c r="A415" s="337"/>
      <c r="B415" s="337"/>
      <c r="C415" s="337"/>
      <c r="D415" s="337"/>
      <c r="E415" s="337"/>
      <c r="F415" s="337"/>
      <c r="G415" s="337"/>
      <c r="H415" s="337"/>
      <c r="I415" s="337"/>
      <c r="J415" s="337"/>
      <c r="K415" s="425"/>
      <c r="L415" s="257"/>
      <c r="M415" s="300"/>
      <c r="N415" s="361"/>
      <c r="O415" s="361"/>
      <c r="P415" s="362"/>
      <c r="Q415" s="260"/>
      <c r="R415" s="259"/>
      <c r="S415" s="259"/>
      <c r="T415" s="259"/>
      <c r="U415" s="259"/>
      <c r="V415" s="259"/>
    </row>
    <row r="416" spans="1:22" ht="24" customHeight="1">
      <c r="A416" s="421" t="s">
        <v>1181</v>
      </c>
      <c r="B416" s="337"/>
      <c r="C416" s="337"/>
      <c r="D416" s="337" t="s">
        <v>1180</v>
      </c>
      <c r="E416" s="337"/>
      <c r="F416" s="337"/>
      <c r="G416" s="337"/>
      <c r="H416" s="337"/>
      <c r="I416" s="337"/>
      <c r="J416" s="337"/>
      <c r="K416" s="425"/>
      <c r="L416" s="301"/>
      <c r="M416" s="302"/>
      <c r="N416" s="389">
        <v>0</v>
      </c>
      <c r="O416" s="390">
        <v>750</v>
      </c>
      <c r="P416" s="391">
        <v>0</v>
      </c>
      <c r="Q416" s="304">
        <f t="shared" ref="Q416:V416" si="43">Q411</f>
        <v>3150</v>
      </c>
      <c r="R416" s="303">
        <f t="shared" si="43"/>
        <v>0</v>
      </c>
      <c r="S416" s="303">
        <f t="shared" si="43"/>
        <v>0</v>
      </c>
      <c r="T416" s="303">
        <f t="shared" si="43"/>
        <v>0</v>
      </c>
      <c r="U416" s="303">
        <f t="shared" si="43"/>
        <v>0</v>
      </c>
      <c r="V416" s="303">
        <f t="shared" si="43"/>
        <v>0</v>
      </c>
    </row>
    <row r="417" spans="1:22" ht="15" customHeight="1">
      <c r="A417" s="421"/>
      <c r="B417" s="337"/>
      <c r="C417" s="337"/>
      <c r="D417" s="337"/>
      <c r="E417" s="337"/>
      <c r="F417" s="337"/>
      <c r="G417" s="337"/>
      <c r="H417" s="337"/>
      <c r="I417" s="337"/>
      <c r="J417" s="337"/>
      <c r="K417" s="425"/>
      <c r="L417" s="257"/>
      <c r="M417" s="247"/>
      <c r="N417" s="346"/>
      <c r="O417" s="346"/>
      <c r="P417" s="347"/>
      <c r="Q417" s="232"/>
      <c r="R417" s="231"/>
      <c r="S417" s="231"/>
      <c r="T417" s="231"/>
      <c r="U417" s="231"/>
      <c r="V417" s="231"/>
    </row>
    <row r="418" spans="1:22" s="337" customFormat="1" ht="24" customHeight="1">
      <c r="K418" s="425" t="s">
        <v>761</v>
      </c>
      <c r="L418" s="449"/>
      <c r="M418" s="449"/>
      <c r="N418" s="383">
        <f t="shared" ref="N418:V418" si="44">N416</f>
        <v>0</v>
      </c>
      <c r="O418" s="383">
        <f t="shared" si="44"/>
        <v>750</v>
      </c>
      <c r="P418" s="384">
        <f t="shared" si="44"/>
        <v>0</v>
      </c>
      <c r="Q418" s="384">
        <f t="shared" si="44"/>
        <v>3150</v>
      </c>
      <c r="R418" s="383">
        <f t="shared" si="44"/>
        <v>0</v>
      </c>
      <c r="S418" s="383">
        <f t="shared" si="44"/>
        <v>0</v>
      </c>
      <c r="T418" s="383">
        <f t="shared" si="44"/>
        <v>0</v>
      </c>
      <c r="U418" s="383">
        <f t="shared" si="44"/>
        <v>0</v>
      </c>
      <c r="V418" s="383">
        <f t="shared" si="44"/>
        <v>0</v>
      </c>
    </row>
    <row r="419" spans="1:22" s="337" customFormat="1" ht="15" customHeight="1">
      <c r="K419" s="425"/>
      <c r="L419" s="449"/>
      <c r="M419" s="449"/>
      <c r="N419" s="383"/>
      <c r="O419" s="383"/>
      <c r="P419" s="384"/>
      <c r="Q419" s="384"/>
      <c r="R419" s="383"/>
      <c r="S419" s="383"/>
      <c r="T419" s="383"/>
      <c r="U419" s="383"/>
      <c r="V419" s="383"/>
    </row>
    <row r="420" spans="1:22" s="337" customFormat="1" ht="24" customHeight="1">
      <c r="K420" s="425" t="s">
        <v>762</v>
      </c>
      <c r="L420" s="449"/>
      <c r="M420" s="449"/>
      <c r="N420" s="383">
        <f t="shared" ref="N420:V420" si="45">N414-N418</f>
        <v>20700</v>
      </c>
      <c r="O420" s="383">
        <f t="shared" si="45"/>
        <v>7650</v>
      </c>
      <c r="P420" s="384">
        <f t="shared" si="45"/>
        <v>5250</v>
      </c>
      <c r="Q420" s="384">
        <f t="shared" si="45"/>
        <v>6000</v>
      </c>
      <c r="R420" s="383">
        <f t="shared" si="45"/>
        <v>573374</v>
      </c>
      <c r="S420" s="383">
        <f t="shared" si="45"/>
        <v>0</v>
      </c>
      <c r="T420" s="383">
        <f t="shared" si="45"/>
        <v>0</v>
      </c>
      <c r="U420" s="383">
        <f t="shared" si="45"/>
        <v>0</v>
      </c>
      <c r="V420" s="383">
        <f t="shared" si="45"/>
        <v>0</v>
      </c>
    </row>
    <row r="421" spans="1:22" s="337" customFormat="1" ht="15" customHeight="1">
      <c r="L421" s="451"/>
      <c r="M421" s="449"/>
      <c r="N421" s="383"/>
      <c r="O421" s="383"/>
      <c r="P421" s="384"/>
      <c r="Q421" s="384"/>
      <c r="R421" s="383"/>
      <c r="S421" s="383"/>
      <c r="T421" s="383"/>
      <c r="U421" s="383"/>
      <c r="V421" s="383"/>
    </row>
    <row r="422" spans="1:22" s="337" customFormat="1" ht="24" customHeight="1">
      <c r="K422" s="430" t="s">
        <v>764</v>
      </c>
      <c r="L422" s="449"/>
      <c r="M422" s="449"/>
      <c r="N422" s="383">
        <v>-587024</v>
      </c>
      <c r="O422" s="383">
        <v>-579374</v>
      </c>
      <c r="P422" s="384">
        <v>-575774</v>
      </c>
      <c r="Q422" s="384">
        <f>O422+Q420</f>
        <v>-573374</v>
      </c>
      <c r="R422" s="383">
        <f>Q422+R420</f>
        <v>0</v>
      </c>
      <c r="S422" s="383">
        <f>R422+S420</f>
        <v>0</v>
      </c>
      <c r="T422" s="383">
        <f>S422+T420</f>
        <v>0</v>
      </c>
      <c r="U422" s="383">
        <f>T422+U420</f>
        <v>0</v>
      </c>
      <c r="V422" s="383">
        <f>U422+V420</f>
        <v>0</v>
      </c>
    </row>
    <row r="423" spans="1:22" ht="15" customHeight="1">
      <c r="A423" s="337"/>
      <c r="B423" s="337"/>
      <c r="C423" s="337"/>
      <c r="D423" s="337"/>
      <c r="E423" s="337"/>
      <c r="F423" s="337"/>
      <c r="G423" s="337"/>
      <c r="H423" s="337"/>
      <c r="I423" s="337"/>
      <c r="J423" s="337"/>
      <c r="K423" s="337"/>
      <c r="L423" s="229"/>
      <c r="M423" s="257"/>
      <c r="N423" s="383"/>
      <c r="O423" s="383"/>
      <c r="P423" s="384"/>
      <c r="Q423" s="293"/>
      <c r="R423" s="292"/>
      <c r="S423" s="292"/>
      <c r="T423" s="292"/>
      <c r="U423" s="292"/>
      <c r="V423" s="292"/>
    </row>
    <row r="424" spans="1:22" ht="24" customHeight="1">
      <c r="A424" s="432" t="s">
        <v>782</v>
      </c>
      <c r="B424" s="337"/>
      <c r="C424" s="337"/>
      <c r="D424" s="337"/>
      <c r="E424" s="337"/>
      <c r="F424" s="337"/>
      <c r="G424" s="337"/>
      <c r="H424" s="337"/>
      <c r="I424" s="337"/>
      <c r="J424" s="337"/>
      <c r="K424" s="337"/>
      <c r="L424" s="229"/>
      <c r="N424" s="359"/>
      <c r="O424" s="359"/>
      <c r="P424" s="360"/>
      <c r="Q424" s="255"/>
      <c r="R424" s="254"/>
      <c r="S424" s="254"/>
      <c r="T424" s="254"/>
      <c r="U424" s="254"/>
      <c r="V424" s="254"/>
    </row>
    <row r="425" spans="1:22" ht="15" customHeight="1">
      <c r="A425" s="337"/>
      <c r="B425" s="337"/>
      <c r="C425" s="337"/>
      <c r="D425" s="337"/>
      <c r="E425" s="337"/>
      <c r="F425" s="337"/>
      <c r="G425" s="337"/>
      <c r="H425" s="337"/>
      <c r="I425" s="337"/>
      <c r="J425" s="337"/>
      <c r="K425" s="337"/>
      <c r="L425" s="229"/>
      <c r="N425" s="359"/>
      <c r="O425" s="359"/>
      <c r="P425" s="360"/>
      <c r="Q425" s="255"/>
      <c r="R425" s="254"/>
      <c r="S425" s="254"/>
      <c r="T425" s="254"/>
      <c r="U425" s="254"/>
      <c r="V425" s="254"/>
    </row>
    <row r="426" spans="1:22" ht="24" customHeight="1">
      <c r="A426" s="421" t="s">
        <v>936</v>
      </c>
      <c r="B426" s="422"/>
      <c r="C426" s="422"/>
      <c r="D426" s="421" t="s">
        <v>985</v>
      </c>
      <c r="E426" s="337"/>
      <c r="F426" s="337"/>
      <c r="G426" s="337"/>
      <c r="H426" s="337"/>
      <c r="I426" s="337"/>
      <c r="J426" s="337"/>
      <c r="K426" s="337"/>
      <c r="L426" s="229"/>
      <c r="M426" s="305"/>
      <c r="N426" s="365">
        <v>0</v>
      </c>
      <c r="O426" s="377">
        <v>0</v>
      </c>
      <c r="P426" s="378">
        <v>231000</v>
      </c>
      <c r="Q426" s="284">
        <v>0</v>
      </c>
      <c r="R426" s="283">
        <v>280000</v>
      </c>
      <c r="S426" s="239">
        <v>0</v>
      </c>
      <c r="T426" s="239">
        <v>0</v>
      </c>
      <c r="U426" s="239">
        <v>0</v>
      </c>
      <c r="V426" s="239">
        <v>0</v>
      </c>
    </row>
    <row r="427" spans="1:22" ht="24" customHeight="1">
      <c r="A427" s="421" t="s">
        <v>986</v>
      </c>
      <c r="B427" s="422"/>
      <c r="C427" s="422"/>
      <c r="D427" s="421" t="s">
        <v>1442</v>
      </c>
      <c r="E427" s="337"/>
      <c r="F427" s="337"/>
      <c r="G427" s="337"/>
      <c r="H427" s="337"/>
      <c r="I427" s="337"/>
      <c r="J427" s="337"/>
      <c r="K427" s="337"/>
      <c r="L427" s="229"/>
      <c r="M427" s="305"/>
      <c r="N427" s="365">
        <v>0</v>
      </c>
      <c r="O427" s="377">
        <v>0</v>
      </c>
      <c r="P427" s="378">
        <v>0</v>
      </c>
      <c r="Q427" s="284">
        <v>0</v>
      </c>
      <c r="R427" s="283">
        <v>47600</v>
      </c>
      <c r="S427" s="239">
        <v>73960</v>
      </c>
      <c r="T427" s="239">
        <v>7000</v>
      </c>
      <c r="U427" s="239">
        <v>114160</v>
      </c>
      <c r="V427" s="239">
        <v>12720</v>
      </c>
    </row>
    <row r="428" spans="1:22" ht="24" customHeight="1">
      <c r="A428" s="421" t="s">
        <v>990</v>
      </c>
      <c r="B428" s="422"/>
      <c r="C428" s="422"/>
      <c r="D428" s="421" t="s">
        <v>991</v>
      </c>
      <c r="E428" s="337"/>
      <c r="F428" s="337"/>
      <c r="G428" s="337"/>
      <c r="H428" s="337"/>
      <c r="I428" s="337"/>
      <c r="J428" s="337"/>
      <c r="K428" s="337"/>
      <c r="L428" s="229"/>
      <c r="M428" s="305"/>
      <c r="N428" s="365">
        <v>64000</v>
      </c>
      <c r="O428" s="377">
        <v>0</v>
      </c>
      <c r="P428" s="378">
        <v>0</v>
      </c>
      <c r="Q428" s="284">
        <v>0</v>
      </c>
      <c r="R428" s="283">
        <v>0</v>
      </c>
      <c r="S428" s="265">
        <v>0</v>
      </c>
      <c r="T428" s="265">
        <v>0</v>
      </c>
      <c r="U428" s="265">
        <v>0</v>
      </c>
      <c r="V428" s="265">
        <v>0</v>
      </c>
    </row>
    <row r="429" spans="1:22" ht="24" customHeight="1">
      <c r="A429" s="421" t="s">
        <v>1440</v>
      </c>
      <c r="B429" s="422"/>
      <c r="C429" s="422"/>
      <c r="D429" s="421" t="s">
        <v>1441</v>
      </c>
      <c r="E429" s="337"/>
      <c r="F429" s="337"/>
      <c r="G429" s="337"/>
      <c r="H429" s="337"/>
      <c r="I429" s="337"/>
      <c r="J429" s="337"/>
      <c r="K429" s="337"/>
      <c r="L429" s="229"/>
      <c r="M429" s="305"/>
      <c r="N429" s="365">
        <v>0</v>
      </c>
      <c r="O429" s="377">
        <v>0</v>
      </c>
      <c r="P429" s="378">
        <v>0</v>
      </c>
      <c r="Q429" s="284">
        <v>0</v>
      </c>
      <c r="R429" s="283">
        <v>0</v>
      </c>
      <c r="S429" s="265">
        <v>19800</v>
      </c>
      <c r="T429" s="265">
        <v>211200</v>
      </c>
      <c r="U429" s="265">
        <v>33000</v>
      </c>
      <c r="V429" s="265">
        <v>0</v>
      </c>
    </row>
    <row r="430" spans="1:22" ht="24" customHeight="1">
      <c r="A430" s="421" t="s">
        <v>1467</v>
      </c>
      <c r="B430" s="422"/>
      <c r="C430" s="422"/>
      <c r="D430" s="421" t="s">
        <v>1466</v>
      </c>
      <c r="E430" s="337"/>
      <c r="F430" s="337"/>
      <c r="G430" s="337"/>
      <c r="H430" s="337"/>
      <c r="I430" s="337"/>
      <c r="J430" s="337"/>
      <c r="K430" s="337"/>
      <c r="L430" s="229"/>
      <c r="M430" s="305"/>
      <c r="N430" s="365">
        <v>0</v>
      </c>
      <c r="O430" s="377">
        <v>0</v>
      </c>
      <c r="P430" s="378">
        <v>0</v>
      </c>
      <c r="Q430" s="284">
        <v>0</v>
      </c>
      <c r="R430" s="283">
        <v>0</v>
      </c>
      <c r="S430" s="265">
        <v>0</v>
      </c>
      <c r="T430" s="265">
        <v>0</v>
      </c>
      <c r="U430" s="265">
        <v>0</v>
      </c>
      <c r="V430" s="265">
        <v>500000</v>
      </c>
    </row>
    <row r="431" spans="1:22" ht="24" customHeight="1">
      <c r="A431" s="421" t="s">
        <v>388</v>
      </c>
      <c r="B431" s="422"/>
      <c r="C431" s="422"/>
      <c r="D431" s="421" t="s">
        <v>55</v>
      </c>
      <c r="E431" s="422"/>
      <c r="F431" s="337"/>
      <c r="G431" s="424"/>
      <c r="H431" s="424"/>
      <c r="I431" s="424"/>
      <c r="J431" s="424"/>
      <c r="K431" s="424"/>
      <c r="L431" s="253"/>
      <c r="M431" s="305"/>
      <c r="N431" s="365">
        <v>0</v>
      </c>
      <c r="O431" s="365">
        <v>30993</v>
      </c>
      <c r="P431" s="366">
        <v>13400</v>
      </c>
      <c r="Q431" s="266">
        <v>13400</v>
      </c>
      <c r="R431" s="265">
        <v>0</v>
      </c>
      <c r="S431" s="265">
        <v>0</v>
      </c>
      <c r="T431" s="265">
        <v>0</v>
      </c>
      <c r="U431" s="265">
        <v>0</v>
      </c>
      <c r="V431" s="265">
        <v>0</v>
      </c>
    </row>
    <row r="432" spans="1:22" ht="24" customHeight="1">
      <c r="A432" s="421" t="s">
        <v>389</v>
      </c>
      <c r="B432" s="422"/>
      <c r="C432" s="422"/>
      <c r="D432" s="421" t="s">
        <v>390</v>
      </c>
      <c r="E432" s="422"/>
      <c r="F432" s="337"/>
      <c r="G432" s="337"/>
      <c r="H432" s="337"/>
      <c r="I432" s="337"/>
      <c r="J432" s="337"/>
      <c r="K432" s="337"/>
      <c r="L432" s="229"/>
      <c r="M432" s="305"/>
      <c r="N432" s="365">
        <v>3100</v>
      </c>
      <c r="O432" s="365">
        <v>4700</v>
      </c>
      <c r="P432" s="366">
        <v>0</v>
      </c>
      <c r="Q432" s="266">
        <v>0</v>
      </c>
      <c r="R432" s="265">
        <v>0</v>
      </c>
      <c r="S432" s="265">
        <v>0</v>
      </c>
      <c r="T432" s="265">
        <v>0</v>
      </c>
      <c r="U432" s="265">
        <v>0</v>
      </c>
      <c r="V432" s="265">
        <v>0</v>
      </c>
    </row>
    <row r="433" spans="1:22" ht="24" customHeight="1">
      <c r="A433" s="421" t="s">
        <v>391</v>
      </c>
      <c r="B433" s="422"/>
      <c r="C433" s="422"/>
      <c r="D433" s="421" t="s">
        <v>988</v>
      </c>
      <c r="E433" s="422"/>
      <c r="F433" s="337"/>
      <c r="G433" s="337"/>
      <c r="H433" s="337"/>
      <c r="I433" s="337"/>
      <c r="J433" s="337"/>
      <c r="K433" s="337"/>
      <c r="L433" s="229"/>
      <c r="M433" s="305"/>
      <c r="N433" s="365">
        <v>0</v>
      </c>
      <c r="O433" s="365">
        <v>7944</v>
      </c>
      <c r="P433" s="366">
        <v>20000</v>
      </c>
      <c r="Q433" s="266">
        <v>5000</v>
      </c>
      <c r="R433" s="265">
        <v>5000</v>
      </c>
      <c r="S433" s="265">
        <v>5000</v>
      </c>
      <c r="T433" s="265">
        <v>5000</v>
      </c>
      <c r="U433" s="265">
        <v>5000</v>
      </c>
      <c r="V433" s="265">
        <v>5000</v>
      </c>
    </row>
    <row r="434" spans="1:22" ht="24" customHeight="1">
      <c r="A434" s="421" t="s">
        <v>1214</v>
      </c>
      <c r="B434" s="422"/>
      <c r="C434" s="422"/>
      <c r="D434" s="421" t="s">
        <v>1215</v>
      </c>
      <c r="E434" s="422"/>
      <c r="F434" s="337"/>
      <c r="G434" s="337"/>
      <c r="H434" s="337"/>
      <c r="I434" s="337"/>
      <c r="J434" s="337"/>
      <c r="K434" s="337"/>
      <c r="L434" s="229"/>
      <c r="M434" s="305"/>
      <c r="N434" s="365">
        <v>0</v>
      </c>
      <c r="O434" s="365">
        <v>14780</v>
      </c>
      <c r="P434" s="366">
        <v>0</v>
      </c>
      <c r="Q434" s="266">
        <v>44220</v>
      </c>
      <c r="R434" s="265">
        <v>0</v>
      </c>
      <c r="S434" s="265">
        <v>0</v>
      </c>
      <c r="T434" s="265">
        <v>0</v>
      </c>
      <c r="U434" s="265">
        <v>0</v>
      </c>
      <c r="V434" s="265">
        <v>0</v>
      </c>
    </row>
    <row r="435" spans="1:22" ht="24" customHeight="1">
      <c r="A435" s="421" t="s">
        <v>1270</v>
      </c>
      <c r="B435" s="422"/>
      <c r="C435" s="422"/>
      <c r="D435" s="421" t="s">
        <v>1271</v>
      </c>
      <c r="E435" s="422"/>
      <c r="F435" s="337"/>
      <c r="G435" s="337"/>
      <c r="H435" s="337"/>
      <c r="I435" s="337"/>
      <c r="J435" s="337"/>
      <c r="K435" s="337"/>
      <c r="L435" s="229"/>
      <c r="M435" s="305"/>
      <c r="N435" s="365">
        <v>0</v>
      </c>
      <c r="O435" s="365">
        <v>0</v>
      </c>
      <c r="P435" s="366">
        <v>0</v>
      </c>
      <c r="Q435" s="266">
        <v>0</v>
      </c>
      <c r="R435" s="265">
        <v>5250</v>
      </c>
      <c r="S435" s="265">
        <v>5250</v>
      </c>
      <c r="T435" s="265">
        <v>5250</v>
      </c>
      <c r="U435" s="265">
        <v>5250</v>
      </c>
      <c r="V435" s="265">
        <v>5250</v>
      </c>
    </row>
    <row r="436" spans="1:22" ht="24" customHeight="1">
      <c r="A436" s="421" t="s">
        <v>392</v>
      </c>
      <c r="B436" s="337"/>
      <c r="C436" s="337"/>
      <c r="D436" s="421" t="s">
        <v>393</v>
      </c>
      <c r="E436" s="337"/>
      <c r="F436" s="337"/>
      <c r="G436" s="337"/>
      <c r="H436" s="337"/>
      <c r="I436" s="337"/>
      <c r="J436" s="337"/>
      <c r="K436" s="337"/>
      <c r="L436" s="229"/>
      <c r="M436" s="305"/>
      <c r="N436" s="365">
        <v>22000</v>
      </c>
      <c r="O436" s="365">
        <v>34000</v>
      </c>
      <c r="P436" s="366">
        <v>20000</v>
      </c>
      <c r="Q436" s="266">
        <v>0</v>
      </c>
      <c r="R436" s="265">
        <v>10000</v>
      </c>
      <c r="S436" s="265">
        <v>10000</v>
      </c>
      <c r="T436" s="265">
        <v>10000</v>
      </c>
      <c r="U436" s="265">
        <v>10000</v>
      </c>
      <c r="V436" s="265">
        <v>10000</v>
      </c>
    </row>
    <row r="437" spans="1:22" ht="24" customHeight="1">
      <c r="A437" s="421" t="s">
        <v>1418</v>
      </c>
      <c r="B437" s="337"/>
      <c r="C437" s="337"/>
      <c r="D437" s="421" t="s">
        <v>1419</v>
      </c>
      <c r="E437" s="337"/>
      <c r="F437" s="337"/>
      <c r="G437" s="337"/>
      <c r="H437" s="337"/>
      <c r="I437" s="337"/>
      <c r="J437" s="337"/>
      <c r="K437" s="337"/>
      <c r="L437" s="229"/>
      <c r="M437" s="305"/>
      <c r="N437" s="365">
        <v>0</v>
      </c>
      <c r="O437" s="365">
        <v>0</v>
      </c>
      <c r="P437" s="366">
        <v>0</v>
      </c>
      <c r="Q437" s="266">
        <v>0</v>
      </c>
      <c r="R437" s="265">
        <v>669120</v>
      </c>
      <c r="S437" s="265">
        <v>669120</v>
      </c>
      <c r="T437" s="265">
        <v>669120</v>
      </c>
      <c r="U437" s="265">
        <v>669120</v>
      </c>
      <c r="V437" s="265">
        <v>669120</v>
      </c>
    </row>
    <row r="438" spans="1:22" ht="24" customHeight="1">
      <c r="A438" s="421" t="s">
        <v>394</v>
      </c>
      <c r="B438" s="422"/>
      <c r="C438" s="422"/>
      <c r="D438" s="337" t="s">
        <v>6</v>
      </c>
      <c r="E438" s="337"/>
      <c r="F438" s="337"/>
      <c r="G438" s="337"/>
      <c r="H438" s="337"/>
      <c r="I438" s="337"/>
      <c r="J438" s="337"/>
      <c r="K438" s="337"/>
      <c r="L438" s="229"/>
      <c r="M438" s="234"/>
      <c r="N438" s="348">
        <v>19</v>
      </c>
      <c r="O438" s="350">
        <v>114</v>
      </c>
      <c r="P438" s="353">
        <v>0</v>
      </c>
      <c r="Q438" s="243">
        <v>250</v>
      </c>
      <c r="R438" s="239">
        <v>250</v>
      </c>
      <c r="S438" s="239">
        <v>500</v>
      </c>
      <c r="T438" s="239">
        <v>250</v>
      </c>
      <c r="U438" s="239">
        <v>100</v>
      </c>
      <c r="V438" s="239">
        <v>0</v>
      </c>
    </row>
    <row r="439" spans="1:22" ht="24" customHeight="1">
      <c r="A439" s="421" t="s">
        <v>395</v>
      </c>
      <c r="B439" s="422"/>
      <c r="C439" s="422"/>
      <c r="D439" s="535" t="s">
        <v>73</v>
      </c>
      <c r="E439" s="535"/>
      <c r="F439" s="535"/>
      <c r="G439" s="535"/>
      <c r="H439" s="535"/>
      <c r="I439" s="535"/>
      <c r="J439" s="535"/>
      <c r="K439" s="535"/>
      <c r="L439" s="237"/>
      <c r="M439" s="234"/>
      <c r="N439" s="348">
        <v>1200</v>
      </c>
      <c r="O439" s="350">
        <v>9586</v>
      </c>
      <c r="P439" s="353">
        <v>0</v>
      </c>
      <c r="Q439" s="243">
        <v>0</v>
      </c>
      <c r="R439" s="239">
        <v>0</v>
      </c>
      <c r="S439" s="239">
        <v>0</v>
      </c>
      <c r="T439" s="239">
        <v>0</v>
      </c>
      <c r="U439" s="239">
        <v>0</v>
      </c>
      <c r="V439" s="239">
        <v>0</v>
      </c>
    </row>
    <row r="440" spans="1:22" ht="24" customHeight="1">
      <c r="A440" s="421" t="s">
        <v>1428</v>
      </c>
      <c r="B440" s="422"/>
      <c r="C440" s="422"/>
      <c r="D440" s="422" t="s">
        <v>1429</v>
      </c>
      <c r="E440" s="422"/>
      <c r="F440" s="422"/>
      <c r="G440" s="422"/>
      <c r="H440" s="422"/>
      <c r="I440" s="422"/>
      <c r="J440" s="422"/>
      <c r="K440" s="422"/>
      <c r="L440" s="237"/>
      <c r="M440" s="234"/>
      <c r="N440" s="348">
        <v>0</v>
      </c>
      <c r="O440" s="350">
        <v>0</v>
      </c>
      <c r="P440" s="353">
        <v>0</v>
      </c>
      <c r="Q440" s="243">
        <v>0</v>
      </c>
      <c r="R440" s="239">
        <v>126441</v>
      </c>
      <c r="S440" s="239">
        <v>0</v>
      </c>
      <c r="T440" s="239">
        <v>0</v>
      </c>
      <c r="U440" s="239">
        <v>0</v>
      </c>
      <c r="V440" s="239">
        <v>0</v>
      </c>
    </row>
    <row r="441" spans="1:22" ht="24" customHeight="1">
      <c r="A441" s="421" t="s">
        <v>1411</v>
      </c>
      <c r="B441" s="422"/>
      <c r="C441" s="422"/>
      <c r="D441" s="422" t="s">
        <v>1412</v>
      </c>
      <c r="E441" s="422"/>
      <c r="F441" s="422"/>
      <c r="G441" s="422"/>
      <c r="H441" s="422"/>
      <c r="I441" s="422"/>
      <c r="J441" s="422"/>
      <c r="K441" s="422"/>
      <c r="L441" s="237"/>
      <c r="M441" s="234"/>
      <c r="N441" s="348">
        <v>0</v>
      </c>
      <c r="O441" s="350">
        <v>0</v>
      </c>
      <c r="P441" s="353">
        <v>0</v>
      </c>
      <c r="Q441" s="243">
        <v>13500</v>
      </c>
      <c r="R441" s="239">
        <v>0</v>
      </c>
      <c r="S441" s="239">
        <v>0</v>
      </c>
      <c r="T441" s="239">
        <v>0</v>
      </c>
      <c r="U441" s="239">
        <v>0</v>
      </c>
      <c r="V441" s="239">
        <v>0</v>
      </c>
    </row>
    <row r="442" spans="1:22" ht="24" customHeight="1">
      <c r="A442" s="421" t="s">
        <v>396</v>
      </c>
      <c r="B442" s="337"/>
      <c r="C442" s="337"/>
      <c r="D442" s="421" t="s">
        <v>397</v>
      </c>
      <c r="E442" s="337"/>
      <c r="F442" s="337"/>
      <c r="G442" s="337"/>
      <c r="H442" s="337"/>
      <c r="I442" s="337"/>
      <c r="J442" s="337"/>
      <c r="K442" s="337"/>
      <c r="L442" s="229"/>
      <c r="M442" s="234"/>
      <c r="N442" s="348">
        <v>0</v>
      </c>
      <c r="O442" s="350">
        <v>0</v>
      </c>
      <c r="P442" s="353">
        <v>0</v>
      </c>
      <c r="Q442" s="243">
        <v>0</v>
      </c>
      <c r="R442" s="239">
        <v>0</v>
      </c>
      <c r="S442" s="239">
        <v>4750000</v>
      </c>
      <c r="T442" s="239">
        <v>0</v>
      </c>
      <c r="U442" s="239">
        <v>0</v>
      </c>
      <c r="V442" s="239">
        <v>0</v>
      </c>
    </row>
    <row r="443" spans="1:22" ht="24" customHeight="1">
      <c r="A443" s="421" t="s">
        <v>398</v>
      </c>
      <c r="B443" s="337"/>
      <c r="C443" s="337"/>
      <c r="D443" s="421" t="s">
        <v>353</v>
      </c>
      <c r="E443" s="337"/>
      <c r="F443" s="337"/>
      <c r="G443" s="337"/>
      <c r="H443" s="337"/>
      <c r="I443" s="337"/>
      <c r="J443" s="337"/>
      <c r="K443" s="337"/>
      <c r="L443" s="229"/>
      <c r="M443" s="234"/>
      <c r="N443" s="348">
        <v>135484</v>
      </c>
      <c r="O443" s="350">
        <v>125000</v>
      </c>
      <c r="P443" s="353">
        <v>419332</v>
      </c>
      <c r="Q443" s="243">
        <v>419332</v>
      </c>
      <c r="R443" s="239">
        <f>352500+196114-66000+186664+20000-206788+268350+5250-185000-224569-76120</f>
        <v>270401</v>
      </c>
      <c r="S443" s="239">
        <v>0</v>
      </c>
      <c r="T443" s="239">
        <v>0</v>
      </c>
      <c r="U443" s="239">
        <f>646943+249278+169545-29166-788632+100000+221276+312756-7000+224569+413060-141441+90000+6600+425-30000+20000+450000-110000-680219</f>
        <v>1117994</v>
      </c>
      <c r="V443" s="239">
        <f>65000+568495+4440-1200+52884-147880-7000-25000+1105-200+9953+50000+147880-25000-50000+16000-358587</f>
        <v>300890</v>
      </c>
    </row>
    <row r="444" spans="1:22" ht="24" customHeight="1">
      <c r="A444" s="421" t="s">
        <v>1201</v>
      </c>
      <c r="B444" s="337"/>
      <c r="C444" s="337"/>
      <c r="D444" s="421" t="s">
        <v>1202</v>
      </c>
      <c r="E444" s="337"/>
      <c r="F444" s="337"/>
      <c r="G444" s="337"/>
      <c r="H444" s="337"/>
      <c r="I444" s="337"/>
      <c r="J444" s="337"/>
      <c r="K444" s="337"/>
      <c r="L444" s="229"/>
      <c r="M444" s="234"/>
      <c r="N444" s="348">
        <v>0</v>
      </c>
      <c r="O444" s="350">
        <v>0</v>
      </c>
      <c r="P444" s="353">
        <v>600000</v>
      </c>
      <c r="Q444" s="243">
        <f t="shared" ref="Q444:V444" si="46">Q465</f>
        <v>335000</v>
      </c>
      <c r="R444" s="239">
        <f t="shared" si="46"/>
        <v>165000</v>
      </c>
      <c r="S444" s="239">
        <f t="shared" si="46"/>
        <v>0</v>
      </c>
      <c r="T444" s="239">
        <f t="shared" si="46"/>
        <v>0</v>
      </c>
      <c r="U444" s="239">
        <f t="shared" si="46"/>
        <v>0</v>
      </c>
      <c r="V444" s="239">
        <f t="shared" si="46"/>
        <v>0</v>
      </c>
    </row>
    <row r="445" spans="1:22" ht="24" customHeight="1">
      <c r="A445" s="421" t="s">
        <v>399</v>
      </c>
      <c r="B445" s="337"/>
      <c r="C445" s="337"/>
      <c r="D445" s="421" t="s">
        <v>400</v>
      </c>
      <c r="E445" s="337"/>
      <c r="F445" s="337"/>
      <c r="G445" s="337"/>
      <c r="H445" s="337"/>
      <c r="I445" s="337"/>
      <c r="J445" s="337"/>
      <c r="K445" s="337"/>
      <c r="L445" s="229"/>
      <c r="M445" s="306"/>
      <c r="N445" s="373">
        <v>96000</v>
      </c>
      <c r="O445" s="357">
        <v>0</v>
      </c>
      <c r="P445" s="358">
        <v>0</v>
      </c>
      <c r="Q445" s="252">
        <v>0</v>
      </c>
      <c r="R445" s="251">
        <v>0</v>
      </c>
      <c r="S445" s="251">
        <v>0</v>
      </c>
      <c r="T445" s="251">
        <v>0</v>
      </c>
      <c r="U445" s="251">
        <v>0</v>
      </c>
      <c r="V445" s="251">
        <v>0</v>
      </c>
    </row>
    <row r="446" spans="1:22" ht="15" customHeight="1">
      <c r="A446" s="337"/>
      <c r="B446" s="337"/>
      <c r="C446" s="337"/>
      <c r="D446" s="337"/>
      <c r="E446" s="337"/>
      <c r="F446" s="337"/>
      <c r="G446" s="337"/>
      <c r="H446" s="337"/>
      <c r="I446" s="337"/>
      <c r="J446" s="337"/>
      <c r="K446" s="337"/>
      <c r="L446" s="229"/>
      <c r="N446" s="359"/>
      <c r="O446" s="359"/>
      <c r="P446" s="360"/>
      <c r="Q446" s="255"/>
      <c r="R446" s="254"/>
      <c r="S446" s="254"/>
      <c r="T446" s="254"/>
      <c r="U446" s="254"/>
      <c r="V446" s="254"/>
    </row>
    <row r="447" spans="1:22" s="337" customFormat="1" ht="24" customHeight="1">
      <c r="K447" s="425" t="s">
        <v>758</v>
      </c>
      <c r="L447" s="449"/>
      <c r="M447" s="450"/>
      <c r="N447" s="361">
        <f t="shared" ref="N447:V447" si="47">SUM(N426:N446)</f>
        <v>321803</v>
      </c>
      <c r="O447" s="361">
        <f t="shared" si="47"/>
        <v>227117</v>
      </c>
      <c r="P447" s="362">
        <f t="shared" si="47"/>
        <v>1303732</v>
      </c>
      <c r="Q447" s="362">
        <f t="shared" si="47"/>
        <v>830702</v>
      </c>
      <c r="R447" s="361">
        <f t="shared" si="47"/>
        <v>1579062</v>
      </c>
      <c r="S447" s="361">
        <f t="shared" si="47"/>
        <v>5533630</v>
      </c>
      <c r="T447" s="361">
        <f t="shared" si="47"/>
        <v>907820</v>
      </c>
      <c r="U447" s="361">
        <f t="shared" si="47"/>
        <v>1954624</v>
      </c>
      <c r="V447" s="361">
        <f t="shared" si="47"/>
        <v>1502980</v>
      </c>
    </row>
    <row r="448" spans="1:22" ht="15" customHeight="1">
      <c r="A448" s="337"/>
      <c r="B448" s="337"/>
      <c r="C448" s="337"/>
      <c r="D448" s="337"/>
      <c r="E448" s="337"/>
      <c r="F448" s="337"/>
      <c r="G448" s="337"/>
      <c r="H448" s="337"/>
      <c r="I448" s="337"/>
      <c r="J448" s="337"/>
      <c r="K448" s="337"/>
      <c r="L448" s="229"/>
      <c r="N448" s="359"/>
      <c r="O448" s="359"/>
      <c r="P448" s="360"/>
      <c r="Q448" s="255"/>
      <c r="R448" s="254"/>
      <c r="S448" s="254"/>
      <c r="T448" s="254"/>
      <c r="U448" s="254"/>
      <c r="V448" s="254"/>
    </row>
    <row r="449" spans="1:22" ht="24" customHeight="1">
      <c r="A449" s="425" t="s">
        <v>1416</v>
      </c>
      <c r="B449" s="337"/>
      <c r="C449" s="337"/>
      <c r="D449" s="337"/>
      <c r="E449" s="337"/>
      <c r="F449" s="337"/>
      <c r="G449" s="337"/>
      <c r="H449" s="337"/>
      <c r="I449" s="337"/>
      <c r="J449" s="337"/>
      <c r="K449" s="337"/>
      <c r="L449" s="229"/>
      <c r="N449" s="359"/>
      <c r="O449" s="359"/>
      <c r="P449" s="360"/>
      <c r="Q449" s="255"/>
      <c r="R449" s="254"/>
      <c r="S449" s="254"/>
      <c r="T449" s="254"/>
      <c r="U449" s="254"/>
      <c r="V449" s="254"/>
    </row>
    <row r="450" spans="1:22" ht="24" customHeight="1">
      <c r="A450" s="422" t="s">
        <v>1414</v>
      </c>
      <c r="B450" s="424"/>
      <c r="C450" s="424"/>
      <c r="D450" s="421" t="s">
        <v>982</v>
      </c>
      <c r="E450" s="424"/>
      <c r="F450" s="424"/>
      <c r="G450" s="424"/>
      <c r="H450" s="424"/>
      <c r="I450" s="424"/>
      <c r="J450" s="424"/>
      <c r="K450" s="424"/>
      <c r="L450" s="253"/>
      <c r="M450" s="307"/>
      <c r="N450" s="365">
        <v>0</v>
      </c>
      <c r="O450" s="365">
        <v>0</v>
      </c>
      <c r="P450" s="366">
        <v>0</v>
      </c>
      <c r="Q450" s="266">
        <v>0</v>
      </c>
      <c r="R450" s="265">
        <v>0</v>
      </c>
      <c r="S450" s="265">
        <v>0</v>
      </c>
      <c r="T450" s="265">
        <v>0</v>
      </c>
      <c r="U450" s="265">
        <v>0</v>
      </c>
      <c r="V450" s="265">
        <v>0</v>
      </c>
    </row>
    <row r="451" spans="1:22" ht="24" customHeight="1">
      <c r="A451" s="422" t="s">
        <v>1415</v>
      </c>
      <c r="B451" s="424"/>
      <c r="C451" s="424"/>
      <c r="D451" s="421" t="s">
        <v>489</v>
      </c>
      <c r="E451" s="424"/>
      <c r="F451" s="424"/>
      <c r="G451" s="424"/>
      <c r="H451" s="424"/>
      <c r="I451" s="424"/>
      <c r="J451" s="424"/>
      <c r="K451" s="424"/>
      <c r="L451" s="253"/>
      <c r="M451" s="307"/>
      <c r="N451" s="392">
        <v>0</v>
      </c>
      <c r="O451" s="392">
        <v>0</v>
      </c>
      <c r="P451" s="393">
        <v>0</v>
      </c>
      <c r="Q451" s="309">
        <v>0</v>
      </c>
      <c r="R451" s="308">
        <f>R435</f>
        <v>5250</v>
      </c>
      <c r="S451" s="308">
        <f>S435</f>
        <v>5250</v>
      </c>
      <c r="T451" s="308">
        <f>T435</f>
        <v>5250</v>
      </c>
      <c r="U451" s="308">
        <f>U435</f>
        <v>5250</v>
      </c>
      <c r="V451" s="308">
        <f>V435</f>
        <v>5250</v>
      </c>
    </row>
    <row r="452" spans="1:22" s="337" customFormat="1" ht="24" customHeight="1">
      <c r="A452" s="435"/>
      <c r="L452" s="451"/>
      <c r="M452" s="469"/>
      <c r="N452" s="361">
        <f>SUM(N450:N451)</f>
        <v>0</v>
      </c>
      <c r="O452" s="361">
        <f t="shared" ref="O452:V452" si="48">SUM(O450:O451)</f>
        <v>0</v>
      </c>
      <c r="P452" s="362">
        <f t="shared" si="48"/>
        <v>0</v>
      </c>
      <c r="Q452" s="362">
        <f t="shared" si="48"/>
        <v>0</v>
      </c>
      <c r="R452" s="361">
        <f t="shared" si="48"/>
        <v>5250</v>
      </c>
      <c r="S452" s="361">
        <f t="shared" si="48"/>
        <v>5250</v>
      </c>
      <c r="T452" s="361">
        <f t="shared" si="48"/>
        <v>5250</v>
      </c>
      <c r="U452" s="361">
        <f t="shared" si="48"/>
        <v>5250</v>
      </c>
      <c r="V452" s="361">
        <f t="shared" si="48"/>
        <v>5250</v>
      </c>
    </row>
    <row r="453" spans="1:22" ht="15" customHeight="1">
      <c r="A453" s="435"/>
      <c r="B453" s="337"/>
      <c r="C453" s="337"/>
      <c r="D453" s="337"/>
      <c r="E453" s="337"/>
      <c r="F453" s="337"/>
      <c r="G453" s="337"/>
      <c r="H453" s="337"/>
      <c r="I453" s="337"/>
      <c r="J453" s="337"/>
      <c r="K453" s="337"/>
      <c r="L453" s="229"/>
      <c r="M453" s="300"/>
      <c r="N453" s="361"/>
      <c r="O453" s="361"/>
      <c r="P453" s="362"/>
      <c r="Q453" s="260"/>
      <c r="R453" s="259"/>
      <c r="S453" s="259"/>
      <c r="T453" s="259"/>
      <c r="U453" s="259"/>
      <c r="V453" s="259"/>
    </row>
    <row r="454" spans="1:22" ht="24" customHeight="1">
      <c r="A454" s="425" t="s">
        <v>1317</v>
      </c>
      <c r="B454" s="337"/>
      <c r="C454" s="337"/>
      <c r="D454" s="337"/>
      <c r="E454" s="337"/>
      <c r="F454" s="337"/>
      <c r="G454" s="337"/>
      <c r="H454" s="337"/>
      <c r="I454" s="337"/>
      <c r="J454" s="337"/>
      <c r="K454" s="337"/>
      <c r="L454" s="229"/>
      <c r="N454" s="359"/>
      <c r="O454" s="359"/>
      <c r="P454" s="360"/>
      <c r="Q454" s="255"/>
      <c r="R454" s="254"/>
      <c r="S454" s="254"/>
      <c r="T454" s="254"/>
      <c r="U454" s="254"/>
      <c r="V454" s="254"/>
    </row>
    <row r="455" spans="1:22" ht="24" customHeight="1">
      <c r="A455" s="337" t="s">
        <v>1216</v>
      </c>
      <c r="B455" s="337"/>
      <c r="C455" s="337"/>
      <c r="D455" s="421" t="s">
        <v>1180</v>
      </c>
      <c r="E455" s="422"/>
      <c r="F455" s="422"/>
      <c r="G455" s="422"/>
      <c r="H455" s="422"/>
      <c r="I455" s="424"/>
      <c r="J455" s="424"/>
      <c r="K455" s="424"/>
      <c r="L455" s="253"/>
      <c r="M455" s="275"/>
      <c r="N455" s="372">
        <v>0</v>
      </c>
      <c r="O455" s="372">
        <v>14780</v>
      </c>
      <c r="P455" s="379">
        <v>0</v>
      </c>
      <c r="Q455" s="285">
        <f t="shared" ref="Q455:V455" si="49">Q434</f>
        <v>44220</v>
      </c>
      <c r="R455" s="276">
        <f t="shared" si="49"/>
        <v>0</v>
      </c>
      <c r="S455" s="276">
        <f t="shared" si="49"/>
        <v>0</v>
      </c>
      <c r="T455" s="276">
        <f t="shared" si="49"/>
        <v>0</v>
      </c>
      <c r="U455" s="276">
        <f t="shared" si="49"/>
        <v>0</v>
      </c>
      <c r="V455" s="276">
        <f t="shared" si="49"/>
        <v>0</v>
      </c>
    </row>
    <row r="456" spans="1:22" ht="24" customHeight="1">
      <c r="A456" s="421" t="s">
        <v>401</v>
      </c>
      <c r="B456" s="422"/>
      <c r="C456" s="422"/>
      <c r="D456" s="421" t="s">
        <v>10</v>
      </c>
      <c r="E456" s="422"/>
      <c r="F456" s="422"/>
      <c r="G456" s="422"/>
      <c r="H456" s="422"/>
      <c r="I456" s="424"/>
      <c r="J456" s="424"/>
      <c r="K456" s="424"/>
      <c r="L456" s="253"/>
      <c r="M456" s="275"/>
      <c r="N456" s="372">
        <v>5740</v>
      </c>
      <c r="O456" s="372">
        <v>0</v>
      </c>
      <c r="P456" s="379">
        <v>100000</v>
      </c>
      <c r="Q456" s="285">
        <v>100000</v>
      </c>
      <c r="R456" s="276">
        <v>0</v>
      </c>
      <c r="S456" s="276">
        <v>0</v>
      </c>
      <c r="T456" s="276">
        <v>0</v>
      </c>
      <c r="U456" s="276">
        <v>0</v>
      </c>
      <c r="V456" s="276">
        <v>0</v>
      </c>
    </row>
    <row r="457" spans="1:22" ht="24" customHeight="1">
      <c r="A457" s="421" t="s">
        <v>1404</v>
      </c>
      <c r="B457" s="424"/>
      <c r="C457" s="424"/>
      <c r="D457" s="421" t="s">
        <v>335</v>
      </c>
      <c r="E457" s="424"/>
      <c r="F457" s="424"/>
      <c r="G457" s="424"/>
      <c r="H457" s="424"/>
      <c r="I457" s="424"/>
      <c r="J457" s="424"/>
      <c r="K457" s="424"/>
      <c r="L457" s="253"/>
      <c r="M457" s="275"/>
      <c r="N457" s="346">
        <v>0</v>
      </c>
      <c r="O457" s="346">
        <v>0</v>
      </c>
      <c r="P457" s="378">
        <v>0</v>
      </c>
      <c r="Q457" s="284">
        <v>0</v>
      </c>
      <c r="R457" s="283">
        <v>50000</v>
      </c>
      <c r="S457" s="283">
        <v>50000</v>
      </c>
      <c r="T457" s="283">
        <v>50000</v>
      </c>
      <c r="U457" s="283">
        <v>50000</v>
      </c>
      <c r="V457" s="283">
        <v>50000</v>
      </c>
    </row>
    <row r="458" spans="1:22" ht="24" customHeight="1">
      <c r="A458" s="422" t="s">
        <v>402</v>
      </c>
      <c r="B458" s="424"/>
      <c r="C458" s="424"/>
      <c r="D458" s="421" t="s">
        <v>403</v>
      </c>
      <c r="E458" s="424"/>
      <c r="F458" s="424"/>
      <c r="G458" s="424"/>
      <c r="H458" s="424"/>
      <c r="I458" s="424"/>
      <c r="J458" s="424"/>
      <c r="K458" s="424"/>
      <c r="L458" s="253"/>
      <c r="M458" s="275"/>
      <c r="N458" s="346">
        <v>161549</v>
      </c>
      <c r="O458" s="346">
        <v>0</v>
      </c>
      <c r="P458" s="378">
        <v>0</v>
      </c>
      <c r="Q458" s="284">
        <v>0</v>
      </c>
      <c r="R458" s="283">
        <v>0</v>
      </c>
      <c r="S458" s="283">
        <v>0</v>
      </c>
      <c r="T458" s="283">
        <v>0</v>
      </c>
      <c r="U458" s="283">
        <v>0</v>
      </c>
      <c r="V458" s="283">
        <v>0</v>
      </c>
    </row>
    <row r="459" spans="1:22" ht="24" customHeight="1">
      <c r="A459" s="422" t="s">
        <v>1484</v>
      </c>
      <c r="B459" s="424"/>
      <c r="C459" s="424"/>
      <c r="D459" s="423" t="s">
        <v>1501</v>
      </c>
      <c r="E459" s="424"/>
      <c r="F459" s="424"/>
      <c r="G459" s="424"/>
      <c r="H459" s="424"/>
      <c r="I459" s="424"/>
      <c r="J459" s="424"/>
      <c r="K459" s="424"/>
      <c r="L459" s="253"/>
      <c r="M459" s="264"/>
      <c r="N459" s="365">
        <v>0</v>
      </c>
      <c r="O459" s="365">
        <v>0</v>
      </c>
      <c r="P459" s="366">
        <v>100000</v>
      </c>
      <c r="Q459" s="266">
        <v>0</v>
      </c>
      <c r="R459" s="265">
        <v>585863</v>
      </c>
      <c r="S459" s="265">
        <f>494665+30000+61156+15000</f>
        <v>600821</v>
      </c>
      <c r="T459" s="265">
        <f>553686+13700+37636</f>
        <v>605022</v>
      </c>
      <c r="U459" s="265">
        <f>476195+40000+56880</f>
        <v>573075</v>
      </c>
      <c r="V459" s="265">
        <f>527391+10000</f>
        <v>537391</v>
      </c>
    </row>
    <row r="460" spans="1:22" ht="24" customHeight="1">
      <c r="A460" s="422" t="s">
        <v>404</v>
      </c>
      <c r="B460" s="424"/>
      <c r="C460" s="424"/>
      <c r="D460" s="421" t="s">
        <v>217</v>
      </c>
      <c r="E460" s="424"/>
      <c r="F460" s="424"/>
      <c r="G460" s="424"/>
      <c r="H460" s="424"/>
      <c r="I460" s="424"/>
      <c r="J460" s="424"/>
      <c r="K460" s="424"/>
      <c r="L460" s="253"/>
      <c r="M460" s="229"/>
      <c r="N460" s="377">
        <v>10484</v>
      </c>
      <c r="O460" s="365">
        <v>0</v>
      </c>
      <c r="P460" s="366">
        <v>0</v>
      </c>
      <c r="Q460" s="266">
        <v>0</v>
      </c>
      <c r="R460" s="231">
        <v>12500</v>
      </c>
      <c r="S460" s="231">
        <v>12500</v>
      </c>
      <c r="T460" s="231">
        <v>12500</v>
      </c>
      <c r="U460" s="231">
        <v>12500</v>
      </c>
      <c r="V460" s="265">
        <v>0</v>
      </c>
    </row>
    <row r="461" spans="1:22" ht="24" customHeight="1">
      <c r="A461" s="422" t="s">
        <v>1468</v>
      </c>
      <c r="B461" s="424"/>
      <c r="C461" s="424"/>
      <c r="D461" s="423" t="s">
        <v>1469</v>
      </c>
      <c r="E461" s="424"/>
      <c r="F461" s="424"/>
      <c r="G461" s="424"/>
      <c r="H461" s="424"/>
      <c r="I461" s="424"/>
      <c r="J461" s="424"/>
      <c r="K461" s="424"/>
      <c r="L461" s="253"/>
      <c r="M461" s="229"/>
      <c r="N461" s="377">
        <v>0</v>
      </c>
      <c r="O461" s="365">
        <v>0</v>
      </c>
      <c r="P461" s="366">
        <v>0</v>
      </c>
      <c r="Q461" s="266">
        <v>0</v>
      </c>
      <c r="R461" s="231">
        <v>0</v>
      </c>
      <c r="S461" s="231">
        <v>0</v>
      </c>
      <c r="T461" s="231">
        <v>0</v>
      </c>
      <c r="U461" s="231">
        <v>450000</v>
      </c>
      <c r="V461" s="231">
        <v>450000</v>
      </c>
    </row>
    <row r="462" spans="1:22" ht="24" customHeight="1">
      <c r="A462" s="422" t="s">
        <v>1241</v>
      </c>
      <c r="B462" s="424"/>
      <c r="C462" s="424"/>
      <c r="D462" s="421" t="s">
        <v>1244</v>
      </c>
      <c r="E462" s="198"/>
      <c r="F462" s="198"/>
      <c r="G462" s="198"/>
      <c r="H462" s="198"/>
      <c r="I462" s="198"/>
      <c r="J462" s="198"/>
      <c r="K462" s="198"/>
      <c r="L462" s="253"/>
      <c r="M462" s="229"/>
      <c r="N462" s="377">
        <v>0</v>
      </c>
      <c r="O462" s="365">
        <v>0</v>
      </c>
      <c r="P462" s="366">
        <v>0</v>
      </c>
      <c r="Q462" s="266">
        <v>0</v>
      </c>
      <c r="R462" s="265">
        <v>0</v>
      </c>
      <c r="S462" s="265">
        <v>0</v>
      </c>
      <c r="T462" s="265">
        <v>110400</v>
      </c>
      <c r="U462" s="265">
        <v>0</v>
      </c>
      <c r="V462" s="265">
        <v>0</v>
      </c>
    </row>
    <row r="463" spans="1:22" ht="24" customHeight="1">
      <c r="A463" s="422" t="s">
        <v>1243</v>
      </c>
      <c r="B463" s="424"/>
      <c r="C463" s="424"/>
      <c r="D463" s="421" t="s">
        <v>1242</v>
      </c>
      <c r="E463" s="424"/>
      <c r="F463" s="424"/>
      <c r="G463" s="424"/>
      <c r="H463" s="424"/>
      <c r="I463" s="424"/>
      <c r="J463" s="424"/>
      <c r="K463" s="424"/>
      <c r="L463" s="253"/>
      <c r="M463" s="229"/>
      <c r="N463" s="377">
        <v>0</v>
      </c>
      <c r="O463" s="365">
        <v>0</v>
      </c>
      <c r="P463" s="366">
        <v>0</v>
      </c>
      <c r="Q463" s="266">
        <v>0</v>
      </c>
      <c r="R463" s="265">
        <v>0</v>
      </c>
      <c r="S463" s="265">
        <v>230200</v>
      </c>
      <c r="T463" s="265">
        <v>0</v>
      </c>
      <c r="U463" s="265">
        <v>0</v>
      </c>
      <c r="V463" s="265">
        <v>0</v>
      </c>
    </row>
    <row r="464" spans="1:22" ht="24" customHeight="1">
      <c r="A464" s="421" t="s">
        <v>405</v>
      </c>
      <c r="B464" s="424"/>
      <c r="C464" s="424"/>
      <c r="D464" s="421" t="s">
        <v>370</v>
      </c>
      <c r="E464" s="424"/>
      <c r="F464" s="424"/>
      <c r="G464" s="424"/>
      <c r="H464" s="424"/>
      <c r="I464" s="424"/>
      <c r="J464" s="424"/>
      <c r="K464" s="424"/>
      <c r="L464" s="253"/>
      <c r="M464" s="263"/>
      <c r="N464" s="348">
        <v>0</v>
      </c>
      <c r="O464" s="348">
        <v>0</v>
      </c>
      <c r="P464" s="349">
        <v>0</v>
      </c>
      <c r="Q464" s="236">
        <v>0</v>
      </c>
      <c r="R464" s="235">
        <f>20000</f>
        <v>20000</v>
      </c>
      <c r="S464" s="235">
        <v>261000</v>
      </c>
      <c r="T464" s="235">
        <v>3876100</v>
      </c>
      <c r="U464" s="235">
        <v>770000</v>
      </c>
      <c r="V464" s="235">
        <v>0</v>
      </c>
    </row>
    <row r="465" spans="1:34" ht="24" customHeight="1">
      <c r="A465" s="421" t="s">
        <v>406</v>
      </c>
      <c r="B465" s="424"/>
      <c r="C465" s="424"/>
      <c r="D465" s="421" t="s">
        <v>407</v>
      </c>
      <c r="E465" s="436"/>
      <c r="F465" s="436"/>
      <c r="G465" s="436"/>
      <c r="H465" s="436"/>
      <c r="I465" s="436"/>
      <c r="J465" s="436"/>
      <c r="K465" s="436"/>
      <c r="L465" s="310"/>
      <c r="M465" s="263"/>
      <c r="N465" s="348">
        <v>0</v>
      </c>
      <c r="O465" s="348">
        <v>0</v>
      </c>
      <c r="P465" s="349">
        <v>600000</v>
      </c>
      <c r="Q465" s="236">
        <v>335000</v>
      </c>
      <c r="R465" s="235">
        <v>165000</v>
      </c>
      <c r="S465" s="235">
        <v>0</v>
      </c>
      <c r="T465" s="235">
        <v>0</v>
      </c>
      <c r="U465" s="235">
        <v>0</v>
      </c>
      <c r="V465" s="235">
        <v>0</v>
      </c>
    </row>
    <row r="466" spans="1:34" ht="24" customHeight="1">
      <c r="A466" s="421" t="s">
        <v>408</v>
      </c>
      <c r="B466" s="424"/>
      <c r="C466" s="424"/>
      <c r="D466" s="421" t="s">
        <v>409</v>
      </c>
      <c r="E466" s="424"/>
      <c r="F466" s="424"/>
      <c r="G466" s="424"/>
      <c r="H466" s="424"/>
      <c r="I466" s="424"/>
      <c r="J466" s="424"/>
      <c r="K466" s="424"/>
      <c r="L466" s="253"/>
      <c r="M466" s="247"/>
      <c r="N466" s="346">
        <v>0</v>
      </c>
      <c r="O466" s="346">
        <v>6793</v>
      </c>
      <c r="P466" s="347">
        <v>231000</v>
      </c>
      <c r="Q466" s="232">
        <v>25255</v>
      </c>
      <c r="R466" s="231">
        <v>280000</v>
      </c>
      <c r="S466" s="231">
        <v>0</v>
      </c>
      <c r="T466" s="231">
        <v>0</v>
      </c>
      <c r="U466" s="231">
        <v>0</v>
      </c>
      <c r="V466" s="231">
        <v>0</v>
      </c>
    </row>
    <row r="467" spans="1:34" ht="24" customHeight="1">
      <c r="A467" s="421" t="s">
        <v>917</v>
      </c>
      <c r="B467" s="424"/>
      <c r="C467" s="424"/>
      <c r="D467" s="421" t="s">
        <v>1192</v>
      </c>
      <c r="E467" s="424"/>
      <c r="F467" s="424"/>
      <c r="G467" s="424"/>
      <c r="H467" s="424"/>
      <c r="I467" s="424"/>
      <c r="J467" s="424"/>
      <c r="K467" s="424"/>
      <c r="L467" s="253"/>
      <c r="M467" s="247"/>
      <c r="N467" s="346">
        <v>0</v>
      </c>
      <c r="O467" s="346">
        <v>0</v>
      </c>
      <c r="P467" s="378">
        <v>9500</v>
      </c>
      <c r="Q467" s="284">
        <f>13986+20000</f>
        <v>33986</v>
      </c>
      <c r="R467" s="283">
        <v>59500</v>
      </c>
      <c r="S467" s="239">
        <f>83700+14000</f>
        <v>97700</v>
      </c>
      <c r="T467" s="239">
        <v>14000</v>
      </c>
      <c r="U467" s="239">
        <v>380341</v>
      </c>
      <c r="V467" s="231">
        <v>42301</v>
      </c>
    </row>
    <row r="468" spans="1:34" ht="24" customHeight="1">
      <c r="A468" s="427" t="s">
        <v>867</v>
      </c>
      <c r="B468" s="422"/>
      <c r="C468" s="422"/>
      <c r="D468" s="421"/>
      <c r="E468" s="422"/>
      <c r="F468" s="422"/>
      <c r="G468" s="422"/>
      <c r="H468" s="422"/>
      <c r="I468" s="422"/>
      <c r="J468" s="422"/>
      <c r="K468" s="422"/>
      <c r="L468" s="237"/>
      <c r="M468" s="263"/>
      <c r="N468" s="348"/>
      <c r="O468" s="348"/>
      <c r="P468" s="349"/>
      <c r="Q468" s="236"/>
      <c r="R468" s="235"/>
      <c r="S468" s="235"/>
      <c r="T468" s="235"/>
      <c r="U468" s="235"/>
      <c r="V468" s="235"/>
      <c r="X468" s="332"/>
      <c r="Y468" s="332"/>
      <c r="Z468" s="332"/>
      <c r="AA468" s="332"/>
      <c r="AB468" s="332"/>
      <c r="AC468" s="332"/>
      <c r="AD468" s="332"/>
      <c r="AE468" s="332"/>
      <c r="AF468" s="332"/>
      <c r="AG468" s="332"/>
    </row>
    <row r="469" spans="1:34" ht="24" customHeight="1">
      <c r="A469" s="421" t="s">
        <v>1196</v>
      </c>
      <c r="B469" s="422"/>
      <c r="C469" s="422"/>
      <c r="D469" s="421" t="s">
        <v>1417</v>
      </c>
      <c r="E469" s="422"/>
      <c r="F469" s="422"/>
      <c r="G469" s="422"/>
      <c r="H469" s="422"/>
      <c r="I469" s="422"/>
      <c r="J469" s="422"/>
      <c r="K469" s="422"/>
      <c r="L469" s="237"/>
      <c r="M469" s="263"/>
      <c r="N469" s="348">
        <v>0</v>
      </c>
      <c r="O469" s="348">
        <v>0</v>
      </c>
      <c r="P469" s="349">
        <v>0</v>
      </c>
      <c r="Q469" s="236">
        <v>0</v>
      </c>
      <c r="R469" s="235">
        <v>0</v>
      </c>
      <c r="S469" s="235">
        <v>0</v>
      </c>
      <c r="T469" s="235">
        <v>200000</v>
      </c>
      <c r="U469" s="235">
        <v>180000</v>
      </c>
      <c r="V469" s="235">
        <v>185000</v>
      </c>
      <c r="X469" s="311"/>
      <c r="Y469" s="311"/>
      <c r="Z469" s="311"/>
      <c r="AA469" s="311"/>
      <c r="AB469" s="311"/>
      <c r="AC469" s="311"/>
      <c r="AD469" s="311"/>
      <c r="AE469" s="311"/>
      <c r="AF469" s="311"/>
      <c r="AG469" s="311"/>
      <c r="AH469" s="311"/>
    </row>
    <row r="470" spans="1:34" ht="24" customHeight="1">
      <c r="A470" s="421" t="s">
        <v>1197</v>
      </c>
      <c r="B470" s="422"/>
      <c r="C470" s="422"/>
      <c r="D470" s="421" t="s">
        <v>384</v>
      </c>
      <c r="E470" s="422"/>
      <c r="F470" s="422"/>
      <c r="G470" s="422"/>
      <c r="H470" s="422"/>
      <c r="I470" s="422"/>
      <c r="J470" s="422"/>
      <c r="K470" s="422"/>
      <c r="L470" s="237"/>
      <c r="M470" s="269"/>
      <c r="N470" s="350">
        <v>0</v>
      </c>
      <c r="O470" s="350">
        <v>0</v>
      </c>
      <c r="P470" s="353">
        <v>0</v>
      </c>
      <c r="Q470" s="243">
        <v>0</v>
      </c>
      <c r="R470" s="239">
        <v>0</v>
      </c>
      <c r="S470" s="239">
        <v>0</v>
      </c>
      <c r="T470" s="239">
        <v>131554</v>
      </c>
      <c r="U470" s="239">
        <v>153665</v>
      </c>
      <c r="V470" s="239">
        <v>149705</v>
      </c>
      <c r="X470" s="311"/>
      <c r="Y470" s="311"/>
      <c r="Z470" s="311"/>
      <c r="AA470" s="311"/>
      <c r="AB470" s="311"/>
      <c r="AC470" s="311"/>
      <c r="AD470" s="311"/>
      <c r="AE470" s="311"/>
      <c r="AF470" s="311"/>
      <c r="AG470" s="311"/>
      <c r="AH470" s="311"/>
    </row>
    <row r="471" spans="1:34" ht="24" customHeight="1">
      <c r="A471" s="427" t="s">
        <v>1203</v>
      </c>
      <c r="B471" s="422"/>
      <c r="C471" s="422"/>
      <c r="D471" s="421"/>
      <c r="E471" s="422"/>
      <c r="F471" s="422"/>
      <c r="G471" s="422"/>
      <c r="H471" s="422"/>
      <c r="I471" s="422"/>
      <c r="J471" s="422"/>
      <c r="K471" s="422"/>
      <c r="L471" s="237"/>
      <c r="M471" s="263"/>
      <c r="N471" s="348"/>
      <c r="O471" s="348"/>
      <c r="P471" s="349"/>
      <c r="Q471" s="236"/>
      <c r="R471" s="235"/>
      <c r="S471" s="235"/>
      <c r="T471" s="235"/>
      <c r="U471" s="235"/>
      <c r="V471" s="235"/>
    </row>
    <row r="472" spans="1:34" ht="24" customHeight="1">
      <c r="A472" s="421" t="s">
        <v>410</v>
      </c>
      <c r="B472" s="422"/>
      <c r="C472" s="422"/>
      <c r="D472" s="421" t="s">
        <v>1417</v>
      </c>
      <c r="E472" s="422"/>
      <c r="F472" s="422"/>
      <c r="G472" s="422"/>
      <c r="H472" s="422"/>
      <c r="I472" s="422"/>
      <c r="J472" s="422"/>
      <c r="K472" s="422"/>
      <c r="L472" s="237"/>
      <c r="M472" s="263"/>
      <c r="N472" s="348">
        <v>0</v>
      </c>
      <c r="O472" s="348">
        <v>0</v>
      </c>
      <c r="P472" s="349">
        <v>0</v>
      </c>
      <c r="Q472" s="236">
        <v>0</v>
      </c>
      <c r="R472" s="235">
        <v>83333</v>
      </c>
      <c r="S472" s="235">
        <v>83333</v>
      </c>
      <c r="T472" s="235">
        <v>83333</v>
      </c>
      <c r="U472" s="235">
        <v>83333</v>
      </c>
      <c r="V472" s="235">
        <v>83333</v>
      </c>
    </row>
    <row r="473" spans="1:34" ht="24" customHeight="1">
      <c r="A473" s="427" t="s">
        <v>866</v>
      </c>
      <c r="B473" s="424"/>
      <c r="C473" s="424"/>
      <c r="D473" s="421"/>
      <c r="E473" s="424"/>
      <c r="F473" s="424"/>
      <c r="G473" s="424"/>
      <c r="H473" s="424"/>
      <c r="I473" s="424"/>
      <c r="J473" s="424"/>
      <c r="K473" s="424"/>
      <c r="L473" s="253"/>
      <c r="M473" s="247"/>
      <c r="N473" s="346"/>
      <c r="O473" s="346"/>
      <c r="P473" s="347"/>
      <c r="Q473" s="232"/>
      <c r="R473" s="231"/>
      <c r="S473" s="231"/>
      <c r="T473" s="231"/>
      <c r="U473" s="231"/>
      <c r="V473" s="231"/>
    </row>
    <row r="474" spans="1:34" ht="24" customHeight="1">
      <c r="A474" s="421" t="s">
        <v>410</v>
      </c>
      <c r="B474" s="422"/>
      <c r="C474" s="422"/>
      <c r="D474" s="421" t="s">
        <v>1417</v>
      </c>
      <c r="E474" s="422"/>
      <c r="F474" s="422"/>
      <c r="G474" s="422"/>
      <c r="H474" s="422"/>
      <c r="I474" s="422"/>
      <c r="J474" s="422"/>
      <c r="K474" s="422"/>
      <c r="L474" s="237"/>
      <c r="M474" s="270"/>
      <c r="N474" s="369">
        <v>125000</v>
      </c>
      <c r="O474" s="369">
        <v>125000</v>
      </c>
      <c r="P474" s="370">
        <v>0</v>
      </c>
      <c r="Q474" s="272">
        <v>0</v>
      </c>
      <c r="R474" s="271">
        <v>0</v>
      </c>
      <c r="S474" s="271">
        <v>0</v>
      </c>
      <c r="T474" s="271">
        <v>0</v>
      </c>
      <c r="U474" s="271">
        <v>0</v>
      </c>
      <c r="V474" s="271">
        <v>0</v>
      </c>
    </row>
    <row r="475" spans="1:34" s="337" customFormat="1" ht="24" customHeight="1">
      <c r="L475" s="451"/>
      <c r="M475" s="469"/>
      <c r="N475" s="361">
        <f t="shared" ref="N475:V475" si="50">SUM(N455:N474)</f>
        <v>302773</v>
      </c>
      <c r="O475" s="361">
        <f t="shared" si="50"/>
        <v>146573</v>
      </c>
      <c r="P475" s="362">
        <f t="shared" si="50"/>
        <v>1040500</v>
      </c>
      <c r="Q475" s="362">
        <f t="shared" si="50"/>
        <v>538461</v>
      </c>
      <c r="R475" s="361">
        <f t="shared" si="50"/>
        <v>1256196</v>
      </c>
      <c r="S475" s="361">
        <f t="shared" si="50"/>
        <v>1335554</v>
      </c>
      <c r="T475" s="361">
        <f t="shared" si="50"/>
        <v>5082909</v>
      </c>
      <c r="U475" s="361">
        <f t="shared" si="50"/>
        <v>2652914</v>
      </c>
      <c r="V475" s="361">
        <f t="shared" si="50"/>
        <v>1497730</v>
      </c>
    </row>
    <row r="476" spans="1:34" s="337" customFormat="1" ht="15" customHeight="1">
      <c r="L476" s="451"/>
      <c r="M476" s="469"/>
      <c r="N476" s="361"/>
      <c r="O476" s="361"/>
      <c r="P476" s="362"/>
      <c r="Q476" s="362"/>
      <c r="R476" s="361"/>
      <c r="S476" s="361"/>
      <c r="T476" s="361"/>
      <c r="U476" s="361"/>
      <c r="V476" s="361"/>
    </row>
    <row r="477" spans="1:34" s="337" customFormat="1" ht="24" customHeight="1">
      <c r="K477" s="425" t="s">
        <v>761</v>
      </c>
      <c r="L477" s="449"/>
      <c r="M477" s="469"/>
      <c r="N477" s="361">
        <f t="shared" ref="N477:V477" si="51">N452+N475</f>
        <v>302773</v>
      </c>
      <c r="O477" s="361">
        <f t="shared" si="51"/>
        <v>146573</v>
      </c>
      <c r="P477" s="362">
        <f t="shared" si="51"/>
        <v>1040500</v>
      </c>
      <c r="Q477" s="362">
        <f t="shared" si="51"/>
        <v>538461</v>
      </c>
      <c r="R477" s="361">
        <f t="shared" si="51"/>
        <v>1261446</v>
      </c>
      <c r="S477" s="361">
        <f t="shared" si="51"/>
        <v>1340804</v>
      </c>
      <c r="T477" s="361">
        <f t="shared" si="51"/>
        <v>5088159</v>
      </c>
      <c r="U477" s="361">
        <f t="shared" si="51"/>
        <v>2658164</v>
      </c>
      <c r="V477" s="361">
        <f t="shared" si="51"/>
        <v>1502980</v>
      </c>
    </row>
    <row r="478" spans="1:34" s="337" customFormat="1" ht="15" customHeight="1">
      <c r="L478" s="451"/>
      <c r="M478" s="463"/>
      <c r="N478" s="359"/>
      <c r="O478" s="359"/>
      <c r="P478" s="360"/>
      <c r="Q478" s="360"/>
      <c r="R478" s="359"/>
      <c r="S478" s="359"/>
      <c r="T478" s="359"/>
      <c r="U478" s="359"/>
      <c r="V478" s="359"/>
    </row>
    <row r="479" spans="1:34" s="337" customFormat="1" ht="24" customHeight="1">
      <c r="K479" s="425" t="s">
        <v>762</v>
      </c>
      <c r="L479" s="449"/>
      <c r="M479" s="449"/>
      <c r="N479" s="383">
        <f t="shared" ref="N479:V479" si="52">N447-N477</f>
        <v>19030</v>
      </c>
      <c r="O479" s="383">
        <f t="shared" si="52"/>
        <v>80544</v>
      </c>
      <c r="P479" s="384">
        <f t="shared" si="52"/>
        <v>263232</v>
      </c>
      <c r="Q479" s="384">
        <f t="shared" si="52"/>
        <v>292241</v>
      </c>
      <c r="R479" s="383">
        <f t="shared" si="52"/>
        <v>317616</v>
      </c>
      <c r="S479" s="383">
        <f t="shared" si="52"/>
        <v>4192826</v>
      </c>
      <c r="T479" s="383">
        <f t="shared" si="52"/>
        <v>-4180339</v>
      </c>
      <c r="U479" s="383">
        <f t="shared" si="52"/>
        <v>-703540</v>
      </c>
      <c r="V479" s="383">
        <f t="shared" si="52"/>
        <v>0</v>
      </c>
    </row>
    <row r="480" spans="1:34" s="337" customFormat="1" ht="15" customHeight="1">
      <c r="K480" s="425"/>
      <c r="L480" s="449"/>
      <c r="M480" s="449"/>
      <c r="N480" s="383"/>
      <c r="O480" s="383"/>
      <c r="P480" s="384"/>
      <c r="Q480" s="384"/>
      <c r="R480" s="383"/>
      <c r="S480" s="383"/>
      <c r="T480" s="383"/>
      <c r="U480" s="383"/>
      <c r="V480" s="383"/>
    </row>
    <row r="481" spans="1:23" s="337" customFormat="1" ht="24" customHeight="1">
      <c r="F481" s="541" t="s">
        <v>1272</v>
      </c>
      <c r="G481" s="541"/>
      <c r="H481" s="541"/>
      <c r="I481" s="541"/>
      <c r="J481" s="541"/>
      <c r="K481" s="541"/>
      <c r="L481" s="471"/>
      <c r="M481" s="472"/>
      <c r="N481" s="394">
        <v>0</v>
      </c>
      <c r="O481" s="394">
        <v>0</v>
      </c>
      <c r="P481" s="395">
        <v>0</v>
      </c>
      <c r="Q481" s="395">
        <v>0</v>
      </c>
      <c r="R481" s="394">
        <f>R435-R452</f>
        <v>0</v>
      </c>
      <c r="S481" s="394">
        <f>R481+S435-S452</f>
        <v>0</v>
      </c>
      <c r="T481" s="394">
        <f>S481+T435-T452</f>
        <v>0</v>
      </c>
      <c r="U481" s="394">
        <f>T481+U435-U452</f>
        <v>0</v>
      </c>
      <c r="V481" s="394">
        <f>U481+V435-V452</f>
        <v>0</v>
      </c>
    </row>
    <row r="482" spans="1:23" s="337" customFormat="1" ht="15" customHeight="1">
      <c r="F482" s="437"/>
      <c r="G482" s="437"/>
      <c r="H482" s="437"/>
      <c r="I482" s="437"/>
      <c r="J482" s="437"/>
      <c r="K482" s="437"/>
      <c r="L482" s="473"/>
      <c r="M482" s="473"/>
      <c r="N482" s="396"/>
      <c r="O482" s="396"/>
      <c r="P482" s="397"/>
      <c r="Q482" s="397"/>
      <c r="R482" s="396"/>
      <c r="S482" s="396"/>
      <c r="T482" s="396"/>
      <c r="U482" s="396"/>
      <c r="V482" s="396"/>
    </row>
    <row r="483" spans="1:23" s="337" customFormat="1" ht="24" customHeight="1">
      <c r="F483" s="541" t="s">
        <v>1273</v>
      </c>
      <c r="G483" s="541"/>
      <c r="H483" s="541"/>
      <c r="I483" s="541"/>
      <c r="J483" s="541"/>
      <c r="K483" s="541"/>
      <c r="L483" s="471"/>
      <c r="M483" s="472"/>
      <c r="N483" s="394">
        <v>652</v>
      </c>
      <c r="O483" s="394">
        <v>81196</v>
      </c>
      <c r="P483" s="395">
        <v>332500</v>
      </c>
      <c r="Q483" s="395">
        <f>O485+Q479</f>
        <v>373437</v>
      </c>
      <c r="R483" s="394">
        <f>Q483+(R447-R435)-(R477-R452)</f>
        <v>691053</v>
      </c>
      <c r="S483" s="394">
        <f>R483+(S447-S435)-(S477-S452)</f>
        <v>4883879</v>
      </c>
      <c r="T483" s="394">
        <f>S483+(T447-T435)-(T477-T452)</f>
        <v>703540</v>
      </c>
      <c r="U483" s="394">
        <f>T483+(U447-U435)-(U477-U452)</f>
        <v>0</v>
      </c>
      <c r="V483" s="394">
        <f>U483+(V447-V435)-(V477-V452)</f>
        <v>0</v>
      </c>
    </row>
    <row r="484" spans="1:23" s="337" customFormat="1" ht="15" customHeight="1">
      <c r="K484" s="425"/>
      <c r="L484" s="449"/>
      <c r="M484" s="449"/>
      <c r="N484" s="383"/>
      <c r="O484" s="383"/>
      <c r="P484" s="384"/>
      <c r="Q484" s="384"/>
      <c r="R484" s="383"/>
      <c r="S484" s="383"/>
      <c r="T484" s="383"/>
      <c r="U484" s="383"/>
      <c r="V484" s="383"/>
    </row>
    <row r="485" spans="1:23" s="337" customFormat="1" ht="24" customHeight="1" thickBot="1">
      <c r="K485" s="430" t="s">
        <v>764</v>
      </c>
      <c r="L485" s="449"/>
      <c r="M485" s="449"/>
      <c r="N485" s="398">
        <v>652</v>
      </c>
      <c r="O485" s="398">
        <v>81196</v>
      </c>
      <c r="P485" s="399">
        <v>332500</v>
      </c>
      <c r="Q485" s="399">
        <f>O485+Q479</f>
        <v>373437</v>
      </c>
      <c r="R485" s="398">
        <f>Q485+R479</f>
        <v>691053</v>
      </c>
      <c r="S485" s="398">
        <f>R485+S479</f>
        <v>4883879</v>
      </c>
      <c r="T485" s="398">
        <f>S485+T479</f>
        <v>703540</v>
      </c>
      <c r="U485" s="398">
        <f>T485+U479</f>
        <v>0</v>
      </c>
      <c r="V485" s="398">
        <f>U485+V479</f>
        <v>0</v>
      </c>
    </row>
    <row r="486" spans="1:23" ht="15" customHeight="1" thickTop="1">
      <c r="A486" s="337"/>
      <c r="B486" s="337"/>
      <c r="C486" s="337"/>
      <c r="D486" s="337"/>
      <c r="E486" s="337"/>
      <c r="F486" s="337"/>
      <c r="G486" s="337"/>
      <c r="H486" s="337"/>
      <c r="I486" s="337"/>
      <c r="J486" s="337"/>
      <c r="K486" s="430"/>
      <c r="L486" s="257"/>
      <c r="M486" s="294"/>
      <c r="N486" s="401"/>
      <c r="O486" s="401"/>
      <c r="P486" s="400"/>
      <c r="Q486" s="312"/>
      <c r="R486" s="313"/>
      <c r="S486" s="313"/>
      <c r="T486" s="313"/>
      <c r="U486" s="313"/>
      <c r="V486" s="313"/>
    </row>
    <row r="487" spans="1:23" ht="24" customHeight="1">
      <c r="A487" s="432" t="s">
        <v>1274</v>
      </c>
      <c r="B487" s="337"/>
      <c r="C487" s="337"/>
      <c r="D487" s="337"/>
      <c r="E487" s="337"/>
      <c r="F487" s="337"/>
      <c r="G487" s="337"/>
      <c r="H487" s="337"/>
      <c r="I487" s="337"/>
      <c r="J487" s="337"/>
      <c r="K487" s="430"/>
      <c r="L487" s="257"/>
      <c r="M487" s="294"/>
      <c r="N487" s="401"/>
      <c r="O487" s="401"/>
      <c r="P487" s="400"/>
      <c r="Q487" s="312"/>
      <c r="R487" s="313"/>
      <c r="S487" s="313"/>
      <c r="T487" s="313"/>
      <c r="U487" s="313"/>
      <c r="V487" s="313"/>
    </row>
    <row r="488" spans="1:23" ht="15" customHeight="1">
      <c r="A488" s="337"/>
      <c r="B488" s="337"/>
      <c r="C488" s="337"/>
      <c r="D488" s="337"/>
      <c r="E488" s="337"/>
      <c r="F488" s="337"/>
      <c r="G488" s="337"/>
      <c r="H488" s="337"/>
      <c r="I488" s="337"/>
      <c r="J488" s="337"/>
      <c r="K488" s="430"/>
      <c r="L488" s="257"/>
      <c r="M488" s="294"/>
      <c r="N488" s="401"/>
      <c r="O488" s="401"/>
      <c r="P488" s="400"/>
      <c r="Q488" s="312"/>
      <c r="R488" s="313"/>
      <c r="S488" s="313"/>
      <c r="T488" s="313"/>
      <c r="U488" s="313"/>
      <c r="V488" s="313"/>
    </row>
    <row r="489" spans="1:23" ht="24" customHeight="1">
      <c r="A489" s="421" t="s">
        <v>1279</v>
      </c>
      <c r="B489" s="422"/>
      <c r="C489" s="337"/>
      <c r="D489" s="421" t="s">
        <v>1275</v>
      </c>
      <c r="E489" s="422"/>
      <c r="F489" s="337"/>
      <c r="G489" s="337"/>
      <c r="H489" s="337"/>
      <c r="I489" s="337"/>
      <c r="J489" s="337"/>
      <c r="K489" s="337"/>
      <c r="L489" s="229">
        <v>37200</v>
      </c>
      <c r="M489" s="305">
        <v>19950</v>
      </c>
      <c r="N489" s="365">
        <v>16009</v>
      </c>
      <c r="O489" s="365">
        <v>15450</v>
      </c>
      <c r="P489" s="366">
        <v>10500</v>
      </c>
      <c r="Q489" s="266">
        <v>16000</v>
      </c>
      <c r="R489" s="265">
        <v>16000</v>
      </c>
      <c r="S489" s="265">
        <v>16000</v>
      </c>
      <c r="T489" s="265">
        <v>16000</v>
      </c>
      <c r="U489" s="265">
        <v>16000</v>
      </c>
      <c r="V489" s="265">
        <v>16000</v>
      </c>
      <c r="W489" s="334"/>
    </row>
    <row r="490" spans="1:23" ht="24" customHeight="1">
      <c r="A490" s="421" t="s">
        <v>1278</v>
      </c>
      <c r="B490" s="422"/>
      <c r="C490" s="337"/>
      <c r="D490" s="421" t="s">
        <v>1215</v>
      </c>
      <c r="E490" s="422"/>
      <c r="F490" s="337"/>
      <c r="G490" s="337"/>
      <c r="H490" s="337"/>
      <c r="I490" s="337"/>
      <c r="J490" s="337"/>
      <c r="K490" s="337"/>
      <c r="L490" s="229"/>
      <c r="M490" s="305">
        <v>0</v>
      </c>
      <c r="N490" s="365">
        <v>0</v>
      </c>
      <c r="O490" s="365">
        <v>3500</v>
      </c>
      <c r="P490" s="366">
        <v>0</v>
      </c>
      <c r="Q490" s="266">
        <v>15040</v>
      </c>
      <c r="R490" s="265">
        <v>0</v>
      </c>
      <c r="S490" s="265">
        <v>0</v>
      </c>
      <c r="T490" s="265">
        <v>0</v>
      </c>
      <c r="U490" s="265">
        <v>0</v>
      </c>
      <c r="V490" s="265">
        <v>0</v>
      </c>
      <c r="W490" s="334"/>
    </row>
    <row r="491" spans="1:23" ht="24" customHeight="1">
      <c r="A491" s="421" t="s">
        <v>1276</v>
      </c>
      <c r="B491" s="337"/>
      <c r="C491" s="337"/>
      <c r="D491" s="421" t="s">
        <v>378</v>
      </c>
      <c r="E491" s="337"/>
      <c r="F491" s="337"/>
      <c r="G491" s="337"/>
      <c r="H491" s="337"/>
      <c r="I491" s="337"/>
      <c r="J491" s="337"/>
      <c r="K491" s="337"/>
      <c r="L491" s="229"/>
      <c r="M491" s="305">
        <v>6613</v>
      </c>
      <c r="N491" s="365">
        <v>408</v>
      </c>
      <c r="O491" s="365">
        <v>0</v>
      </c>
      <c r="P491" s="366">
        <v>6000</v>
      </c>
      <c r="Q491" s="266">
        <v>0</v>
      </c>
      <c r="R491" s="265">
        <v>0</v>
      </c>
      <c r="S491" s="265">
        <v>0</v>
      </c>
      <c r="T491" s="265">
        <v>0</v>
      </c>
      <c r="U491" s="265">
        <v>0</v>
      </c>
      <c r="V491" s="265">
        <v>0</v>
      </c>
    </row>
    <row r="492" spans="1:23" ht="24" customHeight="1">
      <c r="A492" s="337" t="s">
        <v>1339</v>
      </c>
      <c r="B492" s="337"/>
      <c r="C492" s="337"/>
      <c r="D492" s="421" t="s">
        <v>390</v>
      </c>
      <c r="E492" s="337"/>
      <c r="F492" s="337"/>
      <c r="G492" s="337"/>
      <c r="H492" s="337"/>
      <c r="I492" s="337"/>
      <c r="J492" s="337"/>
      <c r="K492" s="337"/>
      <c r="L492" s="229"/>
      <c r="M492" s="305">
        <v>0</v>
      </c>
      <c r="N492" s="365">
        <v>0</v>
      </c>
      <c r="O492" s="365">
        <v>0</v>
      </c>
      <c r="P492" s="366">
        <v>6500</v>
      </c>
      <c r="Q492" s="266">
        <v>6500</v>
      </c>
      <c r="R492" s="265">
        <v>6500</v>
      </c>
      <c r="S492" s="265">
        <v>6500</v>
      </c>
      <c r="T492" s="265">
        <v>6500</v>
      </c>
      <c r="U492" s="265">
        <v>6500</v>
      </c>
      <c r="V492" s="265">
        <v>6500</v>
      </c>
    </row>
    <row r="493" spans="1:23" ht="24" customHeight="1">
      <c r="A493" s="421" t="s">
        <v>1340</v>
      </c>
      <c r="B493" s="422"/>
      <c r="C493" s="337"/>
      <c r="D493" s="421" t="s">
        <v>1277</v>
      </c>
      <c r="E493" s="422"/>
      <c r="F493" s="337"/>
      <c r="G493" s="337"/>
      <c r="H493" s="337"/>
      <c r="I493" s="337"/>
      <c r="J493" s="337"/>
      <c r="K493" s="337"/>
      <c r="L493" s="229">
        <v>86500</v>
      </c>
      <c r="M493" s="305">
        <v>47450</v>
      </c>
      <c r="N493" s="365">
        <v>25100</v>
      </c>
      <c r="O493" s="365">
        <v>33450</v>
      </c>
      <c r="P493" s="366">
        <v>24500</v>
      </c>
      <c r="Q493" s="266">
        <v>24500</v>
      </c>
      <c r="R493" s="265">
        <v>24500</v>
      </c>
      <c r="S493" s="265">
        <v>24500</v>
      </c>
      <c r="T493" s="265">
        <v>24500</v>
      </c>
      <c r="U493" s="265">
        <v>24500</v>
      </c>
      <c r="V493" s="265">
        <v>24500</v>
      </c>
      <c r="W493" s="334"/>
    </row>
    <row r="494" spans="1:23" ht="24" customHeight="1">
      <c r="A494" s="421" t="s">
        <v>1341</v>
      </c>
      <c r="B494" s="422"/>
      <c r="C494" s="337"/>
      <c r="D494" s="421" t="s">
        <v>1342</v>
      </c>
      <c r="E494" s="422"/>
      <c r="F494" s="337"/>
      <c r="G494" s="337"/>
      <c r="H494" s="337"/>
      <c r="I494" s="337"/>
      <c r="J494" s="337"/>
      <c r="K494" s="337"/>
      <c r="L494" s="229">
        <v>21650</v>
      </c>
      <c r="M494" s="305">
        <v>3300</v>
      </c>
      <c r="N494" s="365">
        <v>1650</v>
      </c>
      <c r="O494" s="365">
        <v>2600</v>
      </c>
      <c r="P494" s="366">
        <v>3250</v>
      </c>
      <c r="Q494" s="266">
        <v>2275</v>
      </c>
      <c r="R494" s="265">
        <v>2275</v>
      </c>
      <c r="S494" s="265">
        <v>2275</v>
      </c>
      <c r="T494" s="265">
        <v>2275</v>
      </c>
      <c r="U494" s="265">
        <v>2275</v>
      </c>
      <c r="V494" s="265">
        <v>2275</v>
      </c>
      <c r="W494" s="334"/>
    </row>
    <row r="495" spans="1:23" ht="24" customHeight="1">
      <c r="A495" s="421" t="s">
        <v>1280</v>
      </c>
      <c r="B495" s="422"/>
      <c r="C495" s="337"/>
      <c r="D495" s="535" t="s">
        <v>379</v>
      </c>
      <c r="E495" s="535"/>
      <c r="F495" s="535"/>
      <c r="G495" s="535"/>
      <c r="H495" s="535"/>
      <c r="I495" s="535"/>
      <c r="J495" s="535"/>
      <c r="K495" s="535"/>
      <c r="L495" s="237">
        <v>2915</v>
      </c>
      <c r="M495" s="230">
        <v>4381</v>
      </c>
      <c r="N495" s="346">
        <v>6462</v>
      </c>
      <c r="O495" s="346">
        <v>3116</v>
      </c>
      <c r="P495" s="347">
        <v>6000</v>
      </c>
      <c r="Q495" s="232">
        <v>3100</v>
      </c>
      <c r="R495" s="231">
        <v>3100</v>
      </c>
      <c r="S495" s="231">
        <v>3100</v>
      </c>
      <c r="T495" s="231">
        <v>3100</v>
      </c>
      <c r="U495" s="231">
        <v>3100</v>
      </c>
      <c r="V495" s="231">
        <v>3100</v>
      </c>
      <c r="W495" s="334"/>
    </row>
    <row r="496" spans="1:23" ht="24" customHeight="1">
      <c r="A496" s="421" t="s">
        <v>1281</v>
      </c>
      <c r="B496" s="422"/>
      <c r="C496" s="337"/>
      <c r="D496" s="535" t="s">
        <v>1206</v>
      </c>
      <c r="E496" s="535"/>
      <c r="F496" s="535"/>
      <c r="G496" s="535"/>
      <c r="H496" s="535"/>
      <c r="I496" s="535"/>
      <c r="J496" s="535"/>
      <c r="K496" s="535"/>
      <c r="L496" s="237"/>
      <c r="M496" s="230">
        <v>0</v>
      </c>
      <c r="N496" s="346">
        <v>122</v>
      </c>
      <c r="O496" s="346">
        <v>782</v>
      </c>
      <c r="P496" s="347">
        <v>650</v>
      </c>
      <c r="Q496" s="232">
        <v>750</v>
      </c>
      <c r="R496" s="231">
        <v>750</v>
      </c>
      <c r="S496" s="231">
        <v>750</v>
      </c>
      <c r="T496" s="231">
        <v>750</v>
      </c>
      <c r="U496" s="231">
        <v>750</v>
      </c>
      <c r="V496" s="231">
        <v>750</v>
      </c>
      <c r="W496" s="334"/>
    </row>
    <row r="497" spans="1:23" ht="24" customHeight="1">
      <c r="A497" s="421" t="s">
        <v>1282</v>
      </c>
      <c r="B497" s="422"/>
      <c r="C497" s="337"/>
      <c r="D497" s="535" t="s">
        <v>905</v>
      </c>
      <c r="E497" s="535"/>
      <c r="F497" s="535"/>
      <c r="G497" s="535"/>
      <c r="H497" s="535"/>
      <c r="I497" s="535"/>
      <c r="J497" s="535"/>
      <c r="K497" s="535"/>
      <c r="L497" s="237">
        <v>5011</v>
      </c>
      <c r="M497" s="230">
        <v>5683</v>
      </c>
      <c r="N497" s="346">
        <v>6028</v>
      </c>
      <c r="O497" s="346">
        <v>2335</v>
      </c>
      <c r="P497" s="347">
        <v>5000</v>
      </c>
      <c r="Q497" s="232">
        <v>9000</v>
      </c>
      <c r="R497" s="231">
        <v>5000</v>
      </c>
      <c r="S497" s="231">
        <v>5000</v>
      </c>
      <c r="T497" s="231">
        <v>5000</v>
      </c>
      <c r="U497" s="231">
        <v>5000</v>
      </c>
      <c r="V497" s="231">
        <v>5000</v>
      </c>
      <c r="W497" s="334"/>
    </row>
    <row r="498" spans="1:23" ht="24" customHeight="1">
      <c r="A498" s="421" t="s">
        <v>1283</v>
      </c>
      <c r="B498" s="337"/>
      <c r="C498" s="337"/>
      <c r="D498" s="421" t="s">
        <v>382</v>
      </c>
      <c r="E498" s="337"/>
      <c r="F498" s="337"/>
      <c r="G498" s="337"/>
      <c r="H498" s="337"/>
      <c r="I498" s="337"/>
      <c r="J498" s="337"/>
      <c r="K498" s="337"/>
      <c r="L498" s="229"/>
      <c r="M498" s="305"/>
      <c r="N498" s="365">
        <v>4897</v>
      </c>
      <c r="O498" s="365">
        <v>6040</v>
      </c>
      <c r="P498" s="366">
        <v>20000</v>
      </c>
      <c r="Q498" s="266">
        <v>5632</v>
      </c>
      <c r="R498" s="265">
        <v>5500</v>
      </c>
      <c r="S498" s="265">
        <v>5500</v>
      </c>
      <c r="T498" s="265">
        <v>5500</v>
      </c>
      <c r="U498" s="265">
        <v>5500</v>
      </c>
      <c r="V498" s="265">
        <v>5500</v>
      </c>
    </row>
    <row r="499" spans="1:23" ht="24" customHeight="1">
      <c r="A499" s="421" t="s">
        <v>1396</v>
      </c>
      <c r="B499" s="337"/>
      <c r="C499" s="337"/>
      <c r="D499" s="421" t="s">
        <v>1397</v>
      </c>
      <c r="E499" s="337"/>
      <c r="F499" s="337"/>
      <c r="G499" s="337"/>
      <c r="H499" s="337"/>
      <c r="I499" s="337"/>
      <c r="J499" s="337"/>
      <c r="K499" s="337"/>
      <c r="L499" s="229"/>
      <c r="M499" s="305"/>
      <c r="N499" s="365">
        <v>0</v>
      </c>
      <c r="O499" s="365">
        <v>0</v>
      </c>
      <c r="P499" s="366">
        <v>0</v>
      </c>
      <c r="Q499" s="266">
        <v>0</v>
      </c>
      <c r="R499" s="265">
        <v>0</v>
      </c>
      <c r="S499" s="265">
        <f>53165+60-10+3241-300+1</f>
        <v>56157</v>
      </c>
      <c r="T499" s="265">
        <f>78867+25-100</f>
        <v>78792</v>
      </c>
      <c r="U499" s="265">
        <f>78867+25-100</f>
        <v>78792</v>
      </c>
      <c r="V499" s="265">
        <f>78866+25-100+1</f>
        <v>78792</v>
      </c>
    </row>
    <row r="500" spans="1:23" ht="24" customHeight="1">
      <c r="A500" s="421" t="s">
        <v>1400</v>
      </c>
      <c r="B500" s="337"/>
      <c r="C500" s="337"/>
      <c r="D500" s="421" t="s">
        <v>1399</v>
      </c>
      <c r="E500" s="337"/>
      <c r="F500" s="337"/>
      <c r="G500" s="337"/>
      <c r="H500" s="337"/>
      <c r="I500" s="337"/>
      <c r="J500" s="337"/>
      <c r="K500" s="337"/>
      <c r="L500" s="229"/>
      <c r="M500" s="305"/>
      <c r="N500" s="365">
        <v>0</v>
      </c>
      <c r="O500" s="365">
        <v>0</v>
      </c>
      <c r="P500" s="366">
        <v>0</v>
      </c>
      <c r="Q500" s="266">
        <v>0</v>
      </c>
      <c r="R500" s="265">
        <f>124925+19500+230-5</f>
        <v>144650</v>
      </c>
      <c r="S500" s="265">
        <f>42295+10000-1000+500</f>
        <v>51795</v>
      </c>
      <c r="T500" s="265">
        <f>42295+9000+500</f>
        <v>51795</v>
      </c>
      <c r="U500" s="265">
        <f>42295+9000+500</f>
        <v>51795</v>
      </c>
      <c r="V500" s="265">
        <f>42295+9000+500</f>
        <v>51795</v>
      </c>
    </row>
    <row r="501" spans="1:23" ht="24" customHeight="1">
      <c r="A501" s="421" t="s">
        <v>1343</v>
      </c>
      <c r="B501" s="422"/>
      <c r="C501" s="337"/>
      <c r="D501" s="422" t="s">
        <v>1356</v>
      </c>
      <c r="E501" s="422"/>
      <c r="F501" s="422"/>
      <c r="G501" s="422"/>
      <c r="H501" s="422"/>
      <c r="I501" s="422"/>
      <c r="J501" s="422"/>
      <c r="K501" s="422"/>
      <c r="L501" s="237"/>
      <c r="M501" s="230"/>
      <c r="N501" s="346">
        <v>0</v>
      </c>
      <c r="O501" s="346">
        <v>55</v>
      </c>
      <c r="P501" s="347">
        <v>50</v>
      </c>
      <c r="Q501" s="232">
        <v>50</v>
      </c>
      <c r="R501" s="231">
        <v>25</v>
      </c>
      <c r="S501" s="231">
        <v>25</v>
      </c>
      <c r="T501" s="231">
        <v>25</v>
      </c>
      <c r="U501" s="231">
        <v>25</v>
      </c>
      <c r="V501" s="231">
        <v>25</v>
      </c>
      <c r="W501" s="334"/>
    </row>
    <row r="502" spans="1:23" ht="24" customHeight="1">
      <c r="A502" s="421" t="s">
        <v>1344</v>
      </c>
      <c r="B502" s="337"/>
      <c r="C502" s="337"/>
      <c r="D502" s="421" t="s">
        <v>1353</v>
      </c>
      <c r="E502" s="337"/>
      <c r="F502" s="337"/>
      <c r="G502" s="337"/>
      <c r="H502" s="337"/>
      <c r="I502" s="337"/>
      <c r="J502" s="337"/>
      <c r="K502" s="337"/>
      <c r="L502" s="229"/>
      <c r="M502" s="305"/>
      <c r="N502" s="365">
        <v>0</v>
      </c>
      <c r="O502" s="365">
        <v>22</v>
      </c>
      <c r="P502" s="366">
        <v>0</v>
      </c>
      <c r="Q502" s="266">
        <v>20</v>
      </c>
      <c r="R502" s="265">
        <v>0</v>
      </c>
      <c r="S502" s="265">
        <v>0</v>
      </c>
      <c r="T502" s="265">
        <v>0</v>
      </c>
      <c r="U502" s="265">
        <v>0</v>
      </c>
      <c r="V502" s="265">
        <v>0</v>
      </c>
    </row>
    <row r="503" spans="1:23" ht="24" customHeight="1">
      <c r="A503" s="421" t="s">
        <v>1345</v>
      </c>
      <c r="B503" s="422"/>
      <c r="C503" s="337"/>
      <c r="D503" s="535" t="s">
        <v>1354</v>
      </c>
      <c r="E503" s="535"/>
      <c r="F503" s="535"/>
      <c r="G503" s="535"/>
      <c r="H503" s="535"/>
      <c r="I503" s="535"/>
      <c r="J503" s="535"/>
      <c r="K503" s="535"/>
      <c r="L503" s="237"/>
      <c r="M503" s="234"/>
      <c r="N503" s="348">
        <v>99</v>
      </c>
      <c r="O503" s="348">
        <v>328</v>
      </c>
      <c r="P503" s="349">
        <v>250</v>
      </c>
      <c r="Q503" s="236">
        <v>450</v>
      </c>
      <c r="R503" s="235">
        <v>450</v>
      </c>
      <c r="S503" s="235">
        <v>450</v>
      </c>
      <c r="T503" s="235">
        <v>450</v>
      </c>
      <c r="U503" s="235">
        <v>450</v>
      </c>
      <c r="V503" s="235">
        <v>450</v>
      </c>
      <c r="W503" s="334"/>
    </row>
    <row r="504" spans="1:23" ht="24" customHeight="1">
      <c r="A504" s="421" t="s">
        <v>1346</v>
      </c>
      <c r="B504" s="422"/>
      <c r="C504" s="337"/>
      <c r="D504" s="535" t="s">
        <v>1355</v>
      </c>
      <c r="E504" s="535"/>
      <c r="F504" s="535"/>
      <c r="G504" s="535"/>
      <c r="H504" s="535"/>
      <c r="I504" s="535"/>
      <c r="J504" s="535"/>
      <c r="K504" s="535"/>
      <c r="L504" s="237"/>
      <c r="M504" s="234"/>
      <c r="N504" s="348">
        <v>7500</v>
      </c>
      <c r="O504" s="350">
        <v>10702</v>
      </c>
      <c r="P504" s="353">
        <v>40000</v>
      </c>
      <c r="Q504" s="243">
        <v>40000</v>
      </c>
      <c r="R504" s="239">
        <v>50000</v>
      </c>
      <c r="S504" s="239">
        <v>0</v>
      </c>
      <c r="T504" s="239">
        <v>0</v>
      </c>
      <c r="U504" s="239">
        <v>0</v>
      </c>
      <c r="V504" s="239">
        <v>0</v>
      </c>
      <c r="W504" s="334"/>
    </row>
    <row r="505" spans="1:23" ht="24" customHeight="1">
      <c r="A505" s="421" t="s">
        <v>1350</v>
      </c>
      <c r="B505" s="337"/>
      <c r="C505" s="337"/>
      <c r="D505" s="421" t="s">
        <v>1357</v>
      </c>
      <c r="E505" s="337"/>
      <c r="F505" s="337"/>
      <c r="G505" s="337"/>
      <c r="H505" s="337"/>
      <c r="I505" s="337"/>
      <c r="J505" s="337"/>
      <c r="K505" s="337"/>
      <c r="L505" s="229"/>
      <c r="M505" s="238"/>
      <c r="N505" s="350">
        <v>0</v>
      </c>
      <c r="O505" s="350">
        <v>0</v>
      </c>
      <c r="P505" s="353">
        <v>0</v>
      </c>
      <c r="Q505" s="243">
        <v>0</v>
      </c>
      <c r="R505" s="239">
        <v>0</v>
      </c>
      <c r="S505" s="239">
        <v>0</v>
      </c>
      <c r="T505" s="239">
        <v>0</v>
      </c>
      <c r="U505" s="239">
        <v>0</v>
      </c>
      <c r="V505" s="239">
        <v>0</v>
      </c>
    </row>
    <row r="506" spans="1:23" ht="24" customHeight="1">
      <c r="A506" s="421" t="s">
        <v>1351</v>
      </c>
      <c r="B506" s="337"/>
      <c r="C506" s="337"/>
      <c r="D506" s="421" t="s">
        <v>1352</v>
      </c>
      <c r="E506" s="337"/>
      <c r="F506" s="337"/>
      <c r="G506" s="337"/>
      <c r="H506" s="337"/>
      <c r="I506" s="337"/>
      <c r="J506" s="337"/>
      <c r="K506" s="337"/>
      <c r="L506" s="229"/>
      <c r="M506" s="244"/>
      <c r="N506" s="354">
        <v>7283</v>
      </c>
      <c r="O506" s="354">
        <v>0</v>
      </c>
      <c r="P506" s="355">
        <v>0</v>
      </c>
      <c r="Q506" s="246">
        <v>766</v>
      </c>
      <c r="R506" s="245">
        <v>0</v>
      </c>
      <c r="S506" s="245">
        <v>0</v>
      </c>
      <c r="T506" s="245">
        <v>0</v>
      </c>
      <c r="U506" s="245">
        <v>0</v>
      </c>
      <c r="V506" s="245">
        <v>0</v>
      </c>
    </row>
    <row r="507" spans="1:23" ht="24" customHeight="1">
      <c r="A507" s="421" t="s">
        <v>1347</v>
      </c>
      <c r="B507" s="337"/>
      <c r="C507" s="337"/>
      <c r="D507" s="421" t="s">
        <v>1335</v>
      </c>
      <c r="E507" s="337"/>
      <c r="F507" s="337"/>
      <c r="G507" s="337"/>
      <c r="H507" s="337"/>
      <c r="I507" s="337"/>
      <c r="J507" s="337"/>
      <c r="K507" s="337"/>
      <c r="L507" s="229"/>
      <c r="M507" s="234"/>
      <c r="N507" s="348">
        <v>8900</v>
      </c>
      <c r="O507" s="348">
        <v>15200</v>
      </c>
      <c r="P507" s="349">
        <v>1000</v>
      </c>
      <c r="Q507" s="236">
        <v>200</v>
      </c>
      <c r="R507" s="235">
        <v>1000</v>
      </c>
      <c r="S507" s="235">
        <v>1000</v>
      </c>
      <c r="T507" s="235">
        <v>1000</v>
      </c>
      <c r="U507" s="235">
        <v>1000</v>
      </c>
      <c r="V507" s="235">
        <v>1000</v>
      </c>
    </row>
    <row r="508" spans="1:23" ht="24" customHeight="1">
      <c r="A508" s="421" t="s">
        <v>1348</v>
      </c>
      <c r="B508" s="337"/>
      <c r="C508" s="337"/>
      <c r="D508" s="421" t="s">
        <v>1349</v>
      </c>
      <c r="E508" s="337"/>
      <c r="F508" s="337"/>
      <c r="G508" s="337"/>
      <c r="H508" s="337"/>
      <c r="I508" s="337"/>
      <c r="J508" s="337"/>
      <c r="K508" s="337"/>
      <c r="L508" s="229"/>
      <c r="M508" s="234"/>
      <c r="N508" s="348">
        <v>0</v>
      </c>
      <c r="O508" s="350">
        <v>900</v>
      </c>
      <c r="P508" s="353">
        <v>0</v>
      </c>
      <c r="Q508" s="243">
        <v>0</v>
      </c>
      <c r="R508" s="239">
        <v>0</v>
      </c>
      <c r="S508" s="239">
        <v>0</v>
      </c>
      <c r="T508" s="239">
        <v>0</v>
      </c>
      <c r="U508" s="239">
        <v>0</v>
      </c>
      <c r="V508" s="239">
        <v>0</v>
      </c>
    </row>
    <row r="509" spans="1:23" ht="24" customHeight="1">
      <c r="A509" s="421" t="s">
        <v>1284</v>
      </c>
      <c r="B509" s="337"/>
      <c r="C509" s="337"/>
      <c r="D509" s="421" t="s">
        <v>383</v>
      </c>
      <c r="E509" s="337"/>
      <c r="F509" s="337"/>
      <c r="G509" s="337"/>
      <c r="H509" s="337"/>
      <c r="I509" s="337"/>
      <c r="J509" s="337"/>
      <c r="K509" s="337"/>
      <c r="L509" s="229"/>
      <c r="M509" s="306"/>
      <c r="N509" s="373">
        <v>0</v>
      </c>
      <c r="O509" s="357">
        <v>3500</v>
      </c>
      <c r="P509" s="358">
        <v>2500</v>
      </c>
      <c r="Q509" s="252">
        <v>2500</v>
      </c>
      <c r="R509" s="251">
        <v>0</v>
      </c>
      <c r="S509" s="251">
        <v>0</v>
      </c>
      <c r="T509" s="251">
        <v>0</v>
      </c>
      <c r="U509" s="251">
        <v>0</v>
      </c>
      <c r="V509" s="251">
        <v>0</v>
      </c>
    </row>
    <row r="510" spans="1:23" ht="15" customHeight="1">
      <c r="A510" s="337"/>
      <c r="B510" s="337"/>
      <c r="C510" s="337"/>
      <c r="D510" s="337"/>
      <c r="E510" s="337"/>
      <c r="F510" s="337"/>
      <c r="G510" s="337"/>
      <c r="H510" s="337"/>
      <c r="I510" s="337"/>
      <c r="J510" s="337"/>
      <c r="K510" s="337"/>
      <c r="L510" s="229"/>
      <c r="N510" s="359"/>
      <c r="O510" s="359"/>
      <c r="P510" s="360"/>
      <c r="Q510" s="255"/>
      <c r="R510" s="254"/>
      <c r="S510" s="254"/>
      <c r="T510" s="254"/>
      <c r="U510" s="254"/>
      <c r="V510" s="254"/>
    </row>
    <row r="511" spans="1:23" s="337" customFormat="1" ht="24" customHeight="1">
      <c r="K511" s="425" t="s">
        <v>758</v>
      </c>
      <c r="L511" s="449"/>
      <c r="M511" s="450"/>
      <c r="N511" s="361">
        <f t="shared" ref="N511:V511" si="53">SUM(N489:N510)</f>
        <v>84458</v>
      </c>
      <c r="O511" s="361">
        <f t="shared" si="53"/>
        <v>97980</v>
      </c>
      <c r="P511" s="362">
        <f t="shared" si="53"/>
        <v>126200</v>
      </c>
      <c r="Q511" s="362">
        <f t="shared" si="53"/>
        <v>126783</v>
      </c>
      <c r="R511" s="361">
        <f t="shared" si="53"/>
        <v>259750</v>
      </c>
      <c r="S511" s="361">
        <f t="shared" si="53"/>
        <v>173052</v>
      </c>
      <c r="T511" s="361">
        <f t="shared" si="53"/>
        <v>195687</v>
      </c>
      <c r="U511" s="361">
        <f t="shared" si="53"/>
        <v>195687</v>
      </c>
      <c r="V511" s="361">
        <f t="shared" si="53"/>
        <v>195687</v>
      </c>
    </row>
    <row r="512" spans="1:23" ht="15" customHeight="1">
      <c r="A512" s="337"/>
      <c r="B512" s="337"/>
      <c r="C512" s="337"/>
      <c r="D512" s="337"/>
      <c r="E512" s="337"/>
      <c r="F512" s="337"/>
      <c r="G512" s="337"/>
      <c r="H512" s="337"/>
      <c r="I512" s="337"/>
      <c r="J512" s="337"/>
      <c r="K512" s="337"/>
      <c r="L512" s="229"/>
      <c r="N512" s="359"/>
      <c r="O512" s="359"/>
      <c r="P512" s="360"/>
      <c r="Q512" s="255"/>
      <c r="R512" s="254"/>
      <c r="S512" s="254"/>
      <c r="T512" s="254"/>
      <c r="U512" s="254"/>
      <c r="V512" s="254"/>
    </row>
    <row r="513" spans="1:23" ht="24" customHeight="1">
      <c r="A513" s="425" t="s">
        <v>1021</v>
      </c>
      <c r="B513" s="337"/>
      <c r="C513" s="337"/>
      <c r="D513" s="337"/>
      <c r="E513" s="337"/>
      <c r="F513" s="337"/>
      <c r="G513" s="337"/>
      <c r="H513" s="337"/>
      <c r="I513" s="337"/>
      <c r="J513" s="337"/>
      <c r="K513" s="337"/>
      <c r="L513" s="229"/>
      <c r="N513" s="359"/>
      <c r="O513" s="359"/>
      <c r="P513" s="360"/>
      <c r="Q513" s="255"/>
      <c r="R513" s="254"/>
      <c r="S513" s="254"/>
      <c r="T513" s="254"/>
      <c r="U513" s="254"/>
      <c r="V513" s="254"/>
    </row>
    <row r="514" spans="1:23" ht="24" customHeight="1">
      <c r="A514" s="421" t="s">
        <v>1285</v>
      </c>
      <c r="B514" s="337"/>
      <c r="C514" s="337"/>
      <c r="D514" s="421" t="s">
        <v>10</v>
      </c>
      <c r="E514" s="337"/>
      <c r="F514" s="337"/>
      <c r="G514" s="337"/>
      <c r="H514" s="337"/>
      <c r="I514" s="337"/>
      <c r="J514" s="337"/>
      <c r="K514" s="337"/>
      <c r="L514" s="229"/>
      <c r="M514" s="263"/>
      <c r="N514" s="348">
        <v>3060</v>
      </c>
      <c r="O514" s="348">
        <v>2647</v>
      </c>
      <c r="P514" s="349">
        <v>2500</v>
      </c>
      <c r="Q514" s="236">
        <v>3542</v>
      </c>
      <c r="R514" s="235">
        <v>1667</v>
      </c>
      <c r="S514" s="235">
        <v>1667</v>
      </c>
      <c r="T514" s="235">
        <v>1667</v>
      </c>
      <c r="U514" s="235">
        <v>1667</v>
      </c>
      <c r="V514" s="235">
        <v>1667</v>
      </c>
    </row>
    <row r="515" spans="1:23" ht="24" customHeight="1">
      <c r="A515" s="421" t="s">
        <v>1286</v>
      </c>
      <c r="B515" s="422"/>
      <c r="C515" s="422"/>
      <c r="D515" s="421" t="s">
        <v>1491</v>
      </c>
      <c r="E515" s="422"/>
      <c r="F515" s="422"/>
      <c r="G515" s="422"/>
      <c r="H515" s="422"/>
      <c r="I515" s="422"/>
      <c r="J515" s="422"/>
      <c r="K515" s="422"/>
      <c r="L515" s="237"/>
      <c r="M515" s="275"/>
      <c r="N515" s="372">
        <v>6433</v>
      </c>
      <c r="O515" s="372">
        <v>0</v>
      </c>
      <c r="P515" s="379">
        <v>10000</v>
      </c>
      <c r="Q515" s="285">
        <f>10677+3051</f>
        <v>13728</v>
      </c>
      <c r="R515" s="276">
        <v>10000</v>
      </c>
      <c r="S515" s="276">
        <v>10000</v>
      </c>
      <c r="T515" s="276">
        <v>10000</v>
      </c>
      <c r="U515" s="276">
        <v>10000</v>
      </c>
      <c r="V515" s="276">
        <v>10000</v>
      </c>
    </row>
    <row r="516" spans="1:23" ht="24" customHeight="1">
      <c r="A516" s="421" t="s">
        <v>1287</v>
      </c>
      <c r="B516" s="422"/>
      <c r="C516" s="422"/>
      <c r="D516" s="421" t="s">
        <v>13</v>
      </c>
      <c r="E516" s="422"/>
      <c r="F516" s="422"/>
      <c r="G516" s="422"/>
      <c r="H516" s="422"/>
      <c r="I516" s="422"/>
      <c r="J516" s="422"/>
      <c r="K516" s="422"/>
      <c r="L516" s="237"/>
      <c r="M516" s="264"/>
      <c r="N516" s="365">
        <v>0</v>
      </c>
      <c r="O516" s="365">
        <v>0</v>
      </c>
      <c r="P516" s="366">
        <v>2500</v>
      </c>
      <c r="Q516" s="266">
        <v>0</v>
      </c>
      <c r="R516" s="265">
        <v>0</v>
      </c>
      <c r="S516" s="265">
        <v>0</v>
      </c>
      <c r="T516" s="265">
        <v>0</v>
      </c>
      <c r="U516" s="265">
        <v>0</v>
      </c>
      <c r="V516" s="265">
        <v>0</v>
      </c>
    </row>
    <row r="517" spans="1:23" ht="24" customHeight="1">
      <c r="A517" s="421" t="s">
        <v>1288</v>
      </c>
      <c r="B517" s="424"/>
      <c r="C517" s="424"/>
      <c r="D517" s="421" t="s">
        <v>380</v>
      </c>
      <c r="E517" s="424"/>
      <c r="F517" s="424"/>
      <c r="G517" s="424"/>
      <c r="H517" s="424"/>
      <c r="I517" s="424"/>
      <c r="J517" s="424"/>
      <c r="K517" s="424"/>
      <c r="L517" s="253"/>
      <c r="M517" s="247"/>
      <c r="N517" s="346">
        <v>1462</v>
      </c>
      <c r="O517" s="346">
        <v>0</v>
      </c>
      <c r="P517" s="347">
        <v>20000</v>
      </c>
      <c r="Q517" s="232">
        <v>100190</v>
      </c>
      <c r="R517" s="231">
        <v>3000</v>
      </c>
      <c r="S517" s="231">
        <v>3000</v>
      </c>
      <c r="T517" s="231">
        <v>3000</v>
      </c>
      <c r="U517" s="231">
        <v>3000</v>
      </c>
      <c r="V517" s="231">
        <v>3000</v>
      </c>
    </row>
    <row r="518" spans="1:23" ht="24" customHeight="1">
      <c r="A518" s="421" t="s">
        <v>1289</v>
      </c>
      <c r="B518" s="424"/>
      <c r="C518" s="424"/>
      <c r="D518" s="421" t="s">
        <v>381</v>
      </c>
      <c r="E518" s="424"/>
      <c r="F518" s="424"/>
      <c r="G518" s="424"/>
      <c r="H518" s="424"/>
      <c r="I518" s="424"/>
      <c r="J518" s="424"/>
      <c r="K518" s="424"/>
      <c r="L518" s="253"/>
      <c r="M518" s="270"/>
      <c r="N518" s="369">
        <v>42310</v>
      </c>
      <c r="O518" s="369">
        <v>0</v>
      </c>
      <c r="P518" s="370">
        <v>25000</v>
      </c>
      <c r="Q518" s="272">
        <v>39451</v>
      </c>
      <c r="R518" s="271">
        <v>90000</v>
      </c>
      <c r="S518" s="271">
        <v>90000</v>
      </c>
      <c r="T518" s="271">
        <v>90000</v>
      </c>
      <c r="U518" s="271">
        <v>90000</v>
      </c>
      <c r="V518" s="271">
        <v>90000</v>
      </c>
    </row>
    <row r="519" spans="1:23" s="337" customFormat="1" ht="24" customHeight="1">
      <c r="K519" s="425"/>
      <c r="L519" s="449"/>
      <c r="M519" s="449"/>
      <c r="N519" s="383">
        <f t="shared" ref="N519:V519" si="54">SUM(N514:N518)</f>
        <v>53265</v>
      </c>
      <c r="O519" s="383">
        <f t="shared" si="54"/>
        <v>2647</v>
      </c>
      <c r="P519" s="384">
        <f t="shared" si="54"/>
        <v>60000</v>
      </c>
      <c r="Q519" s="384">
        <f t="shared" si="54"/>
        <v>156911</v>
      </c>
      <c r="R519" s="383">
        <f t="shared" si="54"/>
        <v>104667</v>
      </c>
      <c r="S519" s="383">
        <f t="shared" si="54"/>
        <v>104667</v>
      </c>
      <c r="T519" s="383">
        <f t="shared" si="54"/>
        <v>104667</v>
      </c>
      <c r="U519" s="383">
        <f t="shared" si="54"/>
        <v>104667</v>
      </c>
      <c r="V519" s="383">
        <f t="shared" si="54"/>
        <v>104667</v>
      </c>
    </row>
    <row r="520" spans="1:23" ht="15" customHeight="1">
      <c r="A520" s="337"/>
      <c r="B520" s="337"/>
      <c r="C520" s="337"/>
      <c r="D520" s="337"/>
      <c r="E520" s="337"/>
      <c r="F520" s="337"/>
      <c r="G520" s="337"/>
      <c r="H520" s="337"/>
      <c r="I520" s="337"/>
      <c r="J520" s="337"/>
      <c r="K520" s="337"/>
      <c r="L520" s="229"/>
      <c r="M520" s="257"/>
      <c r="N520" s="383"/>
      <c r="O520" s="383"/>
      <c r="P520" s="384"/>
      <c r="Q520" s="293"/>
      <c r="R520" s="292"/>
      <c r="S520" s="292"/>
      <c r="T520" s="292"/>
      <c r="U520" s="292"/>
      <c r="V520" s="292"/>
    </row>
    <row r="521" spans="1:23" ht="24" customHeight="1">
      <c r="A521" s="425" t="s">
        <v>1124</v>
      </c>
      <c r="B521" s="337"/>
      <c r="C521" s="337"/>
      <c r="D521" s="337"/>
      <c r="E521" s="337"/>
      <c r="F521" s="337"/>
      <c r="G521" s="337"/>
      <c r="H521" s="337"/>
      <c r="I521" s="337"/>
      <c r="J521" s="337"/>
      <c r="K521" s="337"/>
      <c r="L521" s="229"/>
      <c r="M521" s="257"/>
      <c r="N521" s="383"/>
      <c r="O521" s="383"/>
      <c r="P521" s="384"/>
      <c r="Q521" s="293"/>
      <c r="R521" s="292"/>
      <c r="S521" s="292"/>
      <c r="T521" s="292"/>
      <c r="U521" s="292"/>
      <c r="V521" s="292"/>
    </row>
    <row r="522" spans="1:23" ht="24" customHeight="1">
      <c r="A522" s="421" t="s">
        <v>1290</v>
      </c>
      <c r="B522" s="337"/>
      <c r="C522" s="337"/>
      <c r="D522" s="337" t="s">
        <v>1180</v>
      </c>
      <c r="E522" s="337"/>
      <c r="F522" s="337"/>
      <c r="G522" s="337"/>
      <c r="H522" s="337"/>
      <c r="I522" s="337"/>
      <c r="J522" s="337"/>
      <c r="K522" s="337"/>
      <c r="L522" s="229"/>
      <c r="M522" s="263"/>
      <c r="N522" s="348">
        <v>0</v>
      </c>
      <c r="O522" s="350">
        <v>3500</v>
      </c>
      <c r="P522" s="353">
        <v>0</v>
      </c>
      <c r="Q522" s="243">
        <f t="shared" ref="Q522:V522" si="55">Q490</f>
        <v>15040</v>
      </c>
      <c r="R522" s="239">
        <f t="shared" si="55"/>
        <v>0</v>
      </c>
      <c r="S522" s="239">
        <f t="shared" si="55"/>
        <v>0</v>
      </c>
      <c r="T522" s="239">
        <f t="shared" si="55"/>
        <v>0</v>
      </c>
      <c r="U522" s="239">
        <f t="shared" si="55"/>
        <v>0</v>
      </c>
      <c r="V522" s="239">
        <f t="shared" si="55"/>
        <v>0</v>
      </c>
      <c r="W522" s="239"/>
    </row>
    <row r="523" spans="1:23" ht="24" customHeight="1">
      <c r="A523" s="421" t="s">
        <v>1291</v>
      </c>
      <c r="B523" s="422"/>
      <c r="C523" s="422"/>
      <c r="D523" s="421" t="s">
        <v>54</v>
      </c>
      <c r="E523" s="422"/>
      <c r="F523" s="422"/>
      <c r="G523" s="422"/>
      <c r="H523" s="422"/>
      <c r="I523" s="422"/>
      <c r="J523" s="422"/>
      <c r="K523" s="422"/>
      <c r="L523" s="237"/>
      <c r="M523" s="263"/>
      <c r="N523" s="348">
        <v>49</v>
      </c>
      <c r="O523" s="350">
        <v>2576</v>
      </c>
      <c r="P523" s="353">
        <v>6000</v>
      </c>
      <c r="Q523" s="243">
        <v>1862</v>
      </c>
      <c r="R523" s="239">
        <v>2000</v>
      </c>
      <c r="S523" s="239">
        <v>2000</v>
      </c>
      <c r="T523" s="239">
        <v>2000</v>
      </c>
      <c r="U523" s="239">
        <v>2000</v>
      </c>
      <c r="V523" s="239">
        <v>2000</v>
      </c>
    </row>
    <row r="524" spans="1:23" ht="24" customHeight="1">
      <c r="A524" s="421" t="s">
        <v>1292</v>
      </c>
      <c r="B524" s="422"/>
      <c r="C524" s="422"/>
      <c r="D524" s="421" t="s">
        <v>102</v>
      </c>
      <c r="E524" s="422"/>
      <c r="F524" s="422"/>
      <c r="G524" s="422"/>
      <c r="H524" s="422"/>
      <c r="I524" s="422"/>
      <c r="J524" s="422"/>
      <c r="K524" s="422"/>
      <c r="L524" s="237"/>
      <c r="M524" s="263"/>
      <c r="N524" s="348">
        <v>0</v>
      </c>
      <c r="O524" s="348">
        <v>4000</v>
      </c>
      <c r="P524" s="349">
        <v>4500</v>
      </c>
      <c r="Q524" s="236">
        <v>4500</v>
      </c>
      <c r="R524" s="235">
        <v>4500</v>
      </c>
      <c r="S524" s="235">
        <v>4500</v>
      </c>
      <c r="T524" s="235">
        <v>4500</v>
      </c>
      <c r="U524" s="235">
        <v>4500</v>
      </c>
      <c r="V524" s="235">
        <v>4500</v>
      </c>
    </row>
    <row r="525" spans="1:23" ht="24" customHeight="1">
      <c r="A525" s="421" t="s">
        <v>1293</v>
      </c>
      <c r="B525" s="422"/>
      <c r="C525" s="422"/>
      <c r="D525" s="421" t="s">
        <v>13</v>
      </c>
      <c r="E525" s="422"/>
      <c r="F525" s="422"/>
      <c r="G525" s="422"/>
      <c r="H525" s="422"/>
      <c r="I525" s="422"/>
      <c r="J525" s="422"/>
      <c r="K525" s="422"/>
      <c r="L525" s="237"/>
      <c r="M525" s="264"/>
      <c r="N525" s="365">
        <v>0</v>
      </c>
      <c r="O525" s="365">
        <v>0</v>
      </c>
      <c r="P525" s="366">
        <v>2000</v>
      </c>
      <c r="Q525" s="266">
        <v>2000</v>
      </c>
      <c r="R525" s="265">
        <v>2000</v>
      </c>
      <c r="S525" s="265">
        <v>2000</v>
      </c>
      <c r="T525" s="265">
        <v>2000</v>
      </c>
      <c r="U525" s="265">
        <v>2000</v>
      </c>
      <c r="V525" s="265">
        <v>2000</v>
      </c>
    </row>
    <row r="526" spans="1:23" ht="24" customHeight="1">
      <c r="A526" s="421" t="s">
        <v>1294</v>
      </c>
      <c r="B526" s="424"/>
      <c r="C526" s="424"/>
      <c r="D526" s="421" t="s">
        <v>380</v>
      </c>
      <c r="E526" s="424"/>
      <c r="F526" s="424"/>
      <c r="G526" s="424"/>
      <c r="H526" s="424"/>
      <c r="I526" s="424"/>
      <c r="J526" s="424"/>
      <c r="K526" s="424"/>
      <c r="L526" s="253"/>
      <c r="M526" s="263"/>
      <c r="N526" s="348">
        <v>4000</v>
      </c>
      <c r="O526" s="350">
        <v>0</v>
      </c>
      <c r="P526" s="366">
        <v>75000</v>
      </c>
      <c r="Q526" s="266">
        <v>75000</v>
      </c>
      <c r="R526" s="235">
        <v>0</v>
      </c>
      <c r="S526" s="235">
        <v>0</v>
      </c>
      <c r="T526" s="235">
        <v>0</v>
      </c>
      <c r="U526" s="235">
        <v>0</v>
      </c>
      <c r="V526" s="235">
        <v>0</v>
      </c>
    </row>
    <row r="527" spans="1:23" ht="24" customHeight="1">
      <c r="A527" s="421" t="s">
        <v>1295</v>
      </c>
      <c r="B527" s="424"/>
      <c r="C527" s="424"/>
      <c r="D527" s="421" t="s">
        <v>381</v>
      </c>
      <c r="E527" s="424"/>
      <c r="F527" s="424"/>
      <c r="G527" s="424"/>
      <c r="H527" s="424"/>
      <c r="I527" s="424"/>
      <c r="J527" s="424"/>
      <c r="K527" s="424"/>
      <c r="L527" s="253"/>
      <c r="M527" s="263"/>
      <c r="N527" s="348">
        <v>0</v>
      </c>
      <c r="O527" s="348">
        <v>0</v>
      </c>
      <c r="P527" s="349">
        <v>0</v>
      </c>
      <c r="Q527" s="236">
        <v>0</v>
      </c>
      <c r="R527" s="235">
        <v>30000</v>
      </c>
      <c r="S527" s="235">
        <v>0</v>
      </c>
      <c r="T527" s="235">
        <v>0</v>
      </c>
      <c r="U527" s="235">
        <v>0</v>
      </c>
      <c r="V527" s="235">
        <v>0</v>
      </c>
    </row>
    <row r="528" spans="1:23" ht="24" customHeight="1">
      <c r="A528" s="438" t="s">
        <v>1324</v>
      </c>
      <c r="B528" s="424"/>
      <c r="C528" s="424"/>
      <c r="D528" s="421"/>
      <c r="E528" s="424"/>
      <c r="F528" s="424"/>
      <c r="G528" s="424"/>
      <c r="H528" s="424"/>
      <c r="I528" s="424"/>
      <c r="J528" s="424"/>
      <c r="K528" s="424"/>
      <c r="L528" s="253"/>
      <c r="M528" s="263"/>
      <c r="N528" s="348"/>
      <c r="O528" s="348"/>
      <c r="P528" s="349"/>
      <c r="Q528" s="236"/>
      <c r="R528" s="235"/>
      <c r="S528" s="235"/>
      <c r="T528" s="235"/>
      <c r="U528" s="235"/>
      <c r="V528" s="235"/>
    </row>
    <row r="529" spans="1:22" ht="24" customHeight="1">
      <c r="A529" s="421" t="s">
        <v>1296</v>
      </c>
      <c r="B529" s="424"/>
      <c r="C529" s="424"/>
      <c r="D529" s="421" t="s">
        <v>1417</v>
      </c>
      <c r="E529" s="424"/>
      <c r="F529" s="424"/>
      <c r="G529" s="424"/>
      <c r="H529" s="424"/>
      <c r="I529" s="424"/>
      <c r="J529" s="424"/>
      <c r="K529" s="424"/>
      <c r="L529" s="253"/>
      <c r="M529" s="263"/>
      <c r="N529" s="348">
        <v>26544</v>
      </c>
      <c r="O529" s="348">
        <v>28254</v>
      </c>
      <c r="P529" s="349">
        <v>30074</v>
      </c>
      <c r="Q529" s="236">
        <v>30074</v>
      </c>
      <c r="R529" s="235">
        <v>31040</v>
      </c>
      <c r="S529" s="235">
        <v>33039</v>
      </c>
      <c r="T529" s="235">
        <v>35168</v>
      </c>
      <c r="U529" s="235">
        <v>37433</v>
      </c>
      <c r="V529" s="235">
        <v>39846</v>
      </c>
    </row>
    <row r="530" spans="1:22" ht="24" customHeight="1">
      <c r="A530" s="421" t="s">
        <v>1297</v>
      </c>
      <c r="B530" s="424"/>
      <c r="C530" s="424"/>
      <c r="D530" s="421" t="s">
        <v>384</v>
      </c>
      <c r="E530" s="424"/>
      <c r="F530" s="424"/>
      <c r="G530" s="424"/>
      <c r="H530" s="424"/>
      <c r="I530" s="424"/>
      <c r="J530" s="424"/>
      <c r="K530" s="424"/>
      <c r="L530" s="253"/>
      <c r="M530" s="270"/>
      <c r="N530" s="369">
        <v>55751</v>
      </c>
      <c r="O530" s="369">
        <v>54041</v>
      </c>
      <c r="P530" s="370">
        <v>52221</v>
      </c>
      <c r="Q530" s="272">
        <v>52221</v>
      </c>
      <c r="R530" s="271">
        <v>48755</v>
      </c>
      <c r="S530" s="271">
        <v>46756</v>
      </c>
      <c r="T530" s="271">
        <v>44627</v>
      </c>
      <c r="U530" s="271">
        <v>42362</v>
      </c>
      <c r="V530" s="271">
        <v>39949</v>
      </c>
    </row>
    <row r="531" spans="1:22" s="337" customFormat="1" ht="24" customHeight="1">
      <c r="K531" s="425"/>
      <c r="L531" s="449"/>
      <c r="M531" s="449"/>
      <c r="N531" s="383">
        <f t="shared" ref="N531:V531" si="56">SUM(N522:N530)</f>
        <v>86344</v>
      </c>
      <c r="O531" s="383">
        <f t="shared" si="56"/>
        <v>92371</v>
      </c>
      <c r="P531" s="384">
        <f t="shared" si="56"/>
        <v>169795</v>
      </c>
      <c r="Q531" s="384">
        <f t="shared" si="56"/>
        <v>180697</v>
      </c>
      <c r="R531" s="383">
        <f t="shared" si="56"/>
        <v>118295</v>
      </c>
      <c r="S531" s="383">
        <f t="shared" si="56"/>
        <v>88295</v>
      </c>
      <c r="T531" s="383">
        <f t="shared" si="56"/>
        <v>88295</v>
      </c>
      <c r="U531" s="383">
        <f t="shared" si="56"/>
        <v>88295</v>
      </c>
      <c r="V531" s="383">
        <f t="shared" si="56"/>
        <v>88295</v>
      </c>
    </row>
    <row r="532" spans="1:22" ht="15" customHeight="1">
      <c r="A532" s="337"/>
      <c r="B532" s="337"/>
      <c r="C532" s="337"/>
      <c r="D532" s="337"/>
      <c r="E532" s="337"/>
      <c r="F532" s="337"/>
      <c r="G532" s="337"/>
      <c r="H532" s="337"/>
      <c r="I532" s="337"/>
      <c r="J532" s="337"/>
      <c r="K532" s="337"/>
      <c r="L532" s="229"/>
      <c r="M532" s="257"/>
      <c r="N532" s="383"/>
      <c r="O532" s="383"/>
      <c r="P532" s="384"/>
      <c r="Q532" s="293"/>
      <c r="R532" s="292"/>
      <c r="S532" s="292"/>
      <c r="T532" s="292"/>
      <c r="U532" s="292"/>
      <c r="V532" s="292"/>
    </row>
    <row r="533" spans="1:22" ht="24" customHeight="1">
      <c r="A533" s="425" t="s">
        <v>1325</v>
      </c>
      <c r="B533" s="337"/>
      <c r="C533" s="337"/>
      <c r="D533" s="337"/>
      <c r="E533" s="337"/>
      <c r="F533" s="337"/>
      <c r="G533" s="337"/>
      <c r="H533" s="337"/>
      <c r="I533" s="337"/>
      <c r="J533" s="337"/>
      <c r="K533" s="337"/>
      <c r="L533" s="229"/>
      <c r="M533" s="257"/>
      <c r="N533" s="383"/>
      <c r="O533" s="383"/>
      <c r="P533" s="384"/>
      <c r="Q533" s="293"/>
      <c r="R533" s="292"/>
      <c r="S533" s="292"/>
      <c r="T533" s="292"/>
      <c r="U533" s="292"/>
      <c r="V533" s="292"/>
    </row>
    <row r="534" spans="1:22" ht="24" customHeight="1">
      <c r="A534" s="422" t="s">
        <v>1298</v>
      </c>
      <c r="B534" s="424"/>
      <c r="C534" s="424"/>
      <c r="D534" s="421" t="s">
        <v>385</v>
      </c>
      <c r="E534" s="424"/>
      <c r="F534" s="424"/>
      <c r="G534" s="424"/>
      <c r="H534" s="424"/>
      <c r="I534" s="424"/>
      <c r="J534" s="424"/>
      <c r="K534" s="424"/>
      <c r="L534" s="253"/>
      <c r="M534" s="229"/>
      <c r="N534" s="377">
        <v>9002</v>
      </c>
      <c r="O534" s="377">
        <v>0</v>
      </c>
      <c r="P534" s="378">
        <v>10000</v>
      </c>
      <c r="Q534" s="284">
        <v>0</v>
      </c>
      <c r="R534" s="283">
        <v>5000</v>
      </c>
      <c r="S534" s="283">
        <v>0</v>
      </c>
      <c r="T534" s="283">
        <v>0</v>
      </c>
      <c r="U534" s="283">
        <v>0</v>
      </c>
      <c r="V534" s="283">
        <v>0</v>
      </c>
    </row>
    <row r="535" spans="1:22" ht="24" customHeight="1">
      <c r="A535" s="422" t="s">
        <v>1299</v>
      </c>
      <c r="B535" s="424"/>
      <c r="C535" s="424"/>
      <c r="D535" s="421" t="s">
        <v>386</v>
      </c>
      <c r="E535" s="424"/>
      <c r="F535" s="424"/>
      <c r="G535" s="424"/>
      <c r="H535" s="424"/>
      <c r="I535" s="424"/>
      <c r="J535" s="424"/>
      <c r="K535" s="424"/>
      <c r="L535" s="253"/>
      <c r="M535" s="229"/>
      <c r="N535" s="377">
        <v>15656</v>
      </c>
      <c r="O535" s="377">
        <v>0</v>
      </c>
      <c r="P535" s="378">
        <v>0</v>
      </c>
      <c r="Q535" s="284">
        <v>0</v>
      </c>
      <c r="R535" s="283">
        <v>0</v>
      </c>
      <c r="S535" s="283">
        <v>0</v>
      </c>
      <c r="T535" s="283">
        <v>0</v>
      </c>
      <c r="U535" s="283">
        <v>0</v>
      </c>
      <c r="V535" s="283">
        <v>0</v>
      </c>
    </row>
    <row r="536" spans="1:22" ht="24" customHeight="1">
      <c r="A536" s="421" t="s">
        <v>1300</v>
      </c>
      <c r="B536" s="424"/>
      <c r="C536" s="424"/>
      <c r="D536" s="421" t="s">
        <v>380</v>
      </c>
      <c r="E536" s="424"/>
      <c r="F536" s="424"/>
      <c r="G536" s="424"/>
      <c r="H536" s="424"/>
      <c r="I536" s="424"/>
      <c r="J536" s="424"/>
      <c r="K536" s="424"/>
      <c r="L536" s="253"/>
      <c r="M536" s="263"/>
      <c r="N536" s="348">
        <v>0</v>
      </c>
      <c r="O536" s="350">
        <v>0</v>
      </c>
      <c r="P536" s="347">
        <v>40000</v>
      </c>
      <c r="Q536" s="232">
        <v>12000</v>
      </c>
      <c r="R536" s="231">
        <v>12000</v>
      </c>
      <c r="S536" s="231">
        <v>16000</v>
      </c>
      <c r="T536" s="231">
        <v>0</v>
      </c>
      <c r="U536" s="231">
        <v>0</v>
      </c>
      <c r="V536" s="231">
        <v>0</v>
      </c>
    </row>
    <row r="537" spans="1:22" ht="24" customHeight="1">
      <c r="A537" s="438" t="s">
        <v>1324</v>
      </c>
      <c r="B537" s="424"/>
      <c r="C537" s="424"/>
      <c r="D537" s="421"/>
      <c r="E537" s="424"/>
      <c r="F537" s="424"/>
      <c r="G537" s="424"/>
      <c r="H537" s="424"/>
      <c r="I537" s="424"/>
      <c r="J537" s="424"/>
      <c r="K537" s="424"/>
      <c r="L537" s="253"/>
      <c r="M537" s="263"/>
      <c r="N537" s="348"/>
      <c r="O537" s="348"/>
      <c r="P537" s="349"/>
      <c r="Q537" s="236"/>
      <c r="R537" s="235"/>
      <c r="S537" s="235"/>
      <c r="T537" s="235"/>
      <c r="U537" s="235"/>
      <c r="V537" s="235"/>
    </row>
    <row r="538" spans="1:22" ht="24" customHeight="1">
      <c r="A538" s="421" t="s">
        <v>1303</v>
      </c>
      <c r="B538" s="424"/>
      <c r="C538" s="424"/>
      <c r="D538" s="421" t="s">
        <v>1417</v>
      </c>
      <c r="E538" s="424"/>
      <c r="F538" s="424"/>
      <c r="G538" s="424"/>
      <c r="H538" s="424"/>
      <c r="I538" s="424"/>
      <c r="J538" s="424"/>
      <c r="K538" s="424"/>
      <c r="L538" s="253"/>
      <c r="M538" s="263"/>
      <c r="N538" s="348">
        <v>0</v>
      </c>
      <c r="O538" s="348">
        <v>0</v>
      </c>
      <c r="P538" s="349">
        <v>0</v>
      </c>
      <c r="Q538" s="236">
        <v>0</v>
      </c>
      <c r="R538" s="235">
        <v>972</v>
      </c>
      <c r="S538" s="235">
        <v>1035</v>
      </c>
      <c r="T538" s="235">
        <v>1102</v>
      </c>
      <c r="U538" s="235">
        <v>1173</v>
      </c>
      <c r="V538" s="235">
        <v>1248</v>
      </c>
    </row>
    <row r="539" spans="1:22" ht="24" customHeight="1">
      <c r="A539" s="421" t="s">
        <v>1304</v>
      </c>
      <c r="B539" s="424"/>
      <c r="C539" s="424"/>
      <c r="D539" s="421" t="s">
        <v>384</v>
      </c>
      <c r="E539" s="424"/>
      <c r="F539" s="424"/>
      <c r="G539" s="424"/>
      <c r="H539" s="424"/>
      <c r="I539" s="424"/>
      <c r="J539" s="424"/>
      <c r="K539" s="424"/>
      <c r="L539" s="253"/>
      <c r="M539" s="263"/>
      <c r="N539" s="348">
        <v>0</v>
      </c>
      <c r="O539" s="348">
        <v>0</v>
      </c>
      <c r="P539" s="349">
        <v>0</v>
      </c>
      <c r="Q539" s="236">
        <v>0</v>
      </c>
      <c r="R539" s="235">
        <v>1528</v>
      </c>
      <c r="S539" s="235">
        <v>1465</v>
      </c>
      <c r="T539" s="235">
        <v>1398</v>
      </c>
      <c r="U539" s="235">
        <v>1327</v>
      </c>
      <c r="V539" s="235">
        <v>1252</v>
      </c>
    </row>
    <row r="540" spans="1:22" ht="24" customHeight="1">
      <c r="A540" s="421" t="s">
        <v>1301</v>
      </c>
      <c r="B540" s="424"/>
      <c r="C540" s="424"/>
      <c r="D540" s="421" t="s">
        <v>387</v>
      </c>
      <c r="E540" s="424"/>
      <c r="F540" s="424"/>
      <c r="G540" s="424"/>
      <c r="H540" s="424"/>
      <c r="I540" s="424"/>
      <c r="J540" s="424"/>
      <c r="K540" s="424"/>
      <c r="L540" s="253"/>
      <c r="M540" s="263"/>
      <c r="N540" s="348">
        <v>0</v>
      </c>
      <c r="O540" s="350">
        <v>3500</v>
      </c>
      <c r="P540" s="347">
        <v>2500</v>
      </c>
      <c r="Q540" s="232">
        <v>2500</v>
      </c>
      <c r="R540" s="231">
        <v>0</v>
      </c>
      <c r="S540" s="231">
        <v>0</v>
      </c>
      <c r="T540" s="231">
        <v>0</v>
      </c>
      <c r="U540" s="231">
        <v>0</v>
      </c>
      <c r="V540" s="231">
        <v>0</v>
      </c>
    </row>
    <row r="541" spans="1:22" ht="24" customHeight="1">
      <c r="A541" s="421" t="s">
        <v>1302</v>
      </c>
      <c r="B541" s="424"/>
      <c r="C541" s="424"/>
      <c r="D541" s="421" t="s">
        <v>1207</v>
      </c>
      <c r="E541" s="424"/>
      <c r="F541" s="424"/>
      <c r="G541" s="424"/>
      <c r="H541" s="424"/>
      <c r="I541" s="424"/>
      <c r="J541" s="424"/>
      <c r="K541" s="424"/>
      <c r="L541" s="253"/>
      <c r="M541" s="286"/>
      <c r="N541" s="357">
        <v>0</v>
      </c>
      <c r="O541" s="357">
        <v>0</v>
      </c>
      <c r="P541" s="367">
        <v>0</v>
      </c>
      <c r="Q541" s="268">
        <v>0</v>
      </c>
      <c r="R541" s="250">
        <v>50000</v>
      </c>
      <c r="S541" s="250">
        <v>0</v>
      </c>
      <c r="T541" s="250">
        <v>0</v>
      </c>
      <c r="U541" s="250">
        <v>0</v>
      </c>
      <c r="V541" s="250">
        <v>0</v>
      </c>
    </row>
    <row r="542" spans="1:22" s="337" customFormat="1" ht="24" customHeight="1">
      <c r="K542" s="425"/>
      <c r="L542" s="449"/>
      <c r="M542" s="469"/>
      <c r="N542" s="361">
        <f t="shared" ref="N542:V542" si="57">SUM(N534:N541)</f>
        <v>24658</v>
      </c>
      <c r="O542" s="361">
        <f t="shared" si="57"/>
        <v>3500</v>
      </c>
      <c r="P542" s="362">
        <f t="shared" si="57"/>
        <v>52500</v>
      </c>
      <c r="Q542" s="362">
        <f t="shared" si="57"/>
        <v>14500</v>
      </c>
      <c r="R542" s="361">
        <f t="shared" si="57"/>
        <v>69500</v>
      </c>
      <c r="S542" s="361">
        <f t="shared" si="57"/>
        <v>18500</v>
      </c>
      <c r="T542" s="361">
        <f t="shared" si="57"/>
        <v>2500</v>
      </c>
      <c r="U542" s="361">
        <f t="shared" si="57"/>
        <v>2500</v>
      </c>
      <c r="V542" s="361">
        <f t="shared" si="57"/>
        <v>2500</v>
      </c>
    </row>
    <row r="543" spans="1:22" s="337" customFormat="1" ht="15" customHeight="1">
      <c r="L543" s="451"/>
      <c r="M543" s="449"/>
      <c r="N543" s="383"/>
      <c r="O543" s="383"/>
      <c r="P543" s="384"/>
      <c r="Q543" s="384"/>
      <c r="R543" s="383"/>
      <c r="S543" s="383"/>
      <c r="T543" s="383"/>
      <c r="U543" s="383"/>
      <c r="V543" s="383"/>
    </row>
    <row r="544" spans="1:22" s="337" customFormat="1" ht="24" customHeight="1">
      <c r="K544" s="425" t="s">
        <v>761</v>
      </c>
      <c r="L544" s="449"/>
      <c r="M544" s="449"/>
      <c r="N544" s="383">
        <f t="shared" ref="N544:V544" si="58">N519+N531+N542</f>
        <v>164267</v>
      </c>
      <c r="O544" s="383">
        <f t="shared" si="58"/>
        <v>98518</v>
      </c>
      <c r="P544" s="384">
        <f t="shared" si="58"/>
        <v>282295</v>
      </c>
      <c r="Q544" s="384">
        <f t="shared" si="58"/>
        <v>352108</v>
      </c>
      <c r="R544" s="383">
        <f t="shared" si="58"/>
        <v>292462</v>
      </c>
      <c r="S544" s="383">
        <f t="shared" si="58"/>
        <v>211462</v>
      </c>
      <c r="T544" s="383">
        <f t="shared" si="58"/>
        <v>195462</v>
      </c>
      <c r="U544" s="383">
        <f t="shared" si="58"/>
        <v>195462</v>
      </c>
      <c r="V544" s="383">
        <f t="shared" si="58"/>
        <v>195462</v>
      </c>
    </row>
    <row r="545" spans="1:22" s="337" customFormat="1" ht="15" customHeight="1">
      <c r="L545" s="451"/>
      <c r="M545" s="449"/>
      <c r="N545" s="383"/>
      <c r="O545" s="383"/>
      <c r="P545" s="384"/>
      <c r="Q545" s="384"/>
      <c r="R545" s="383"/>
      <c r="S545" s="383"/>
      <c r="T545" s="383"/>
      <c r="U545" s="383"/>
      <c r="V545" s="383"/>
    </row>
    <row r="546" spans="1:22" s="337" customFormat="1" ht="24" customHeight="1">
      <c r="K546" s="425" t="s">
        <v>762</v>
      </c>
      <c r="L546" s="449"/>
      <c r="M546" s="449"/>
      <c r="N546" s="383">
        <f t="shared" ref="N546:V546" si="59">N511-N544</f>
        <v>-79809</v>
      </c>
      <c r="O546" s="383">
        <f t="shared" si="59"/>
        <v>-538</v>
      </c>
      <c r="P546" s="384">
        <f t="shared" si="59"/>
        <v>-156095</v>
      </c>
      <c r="Q546" s="384">
        <f t="shared" si="59"/>
        <v>-225325</v>
      </c>
      <c r="R546" s="383">
        <f t="shared" si="59"/>
        <v>-32712</v>
      </c>
      <c r="S546" s="383">
        <f t="shared" si="59"/>
        <v>-38410</v>
      </c>
      <c r="T546" s="383">
        <f t="shared" si="59"/>
        <v>225</v>
      </c>
      <c r="U546" s="383">
        <f t="shared" si="59"/>
        <v>225</v>
      </c>
      <c r="V546" s="383">
        <f t="shared" si="59"/>
        <v>225</v>
      </c>
    </row>
    <row r="547" spans="1:22" s="337" customFormat="1" ht="15" customHeight="1">
      <c r="K547" s="425"/>
      <c r="L547" s="449"/>
      <c r="M547" s="449"/>
      <c r="N547" s="383"/>
      <c r="O547" s="383"/>
      <c r="P547" s="384"/>
      <c r="Q547" s="384"/>
      <c r="R547" s="383"/>
      <c r="S547" s="383"/>
      <c r="T547" s="383"/>
      <c r="U547" s="383"/>
      <c r="V547" s="383"/>
    </row>
    <row r="548" spans="1:22" s="337" customFormat="1" ht="24" customHeight="1">
      <c r="C548" s="541" t="s">
        <v>1387</v>
      </c>
      <c r="D548" s="541"/>
      <c r="E548" s="541"/>
      <c r="F548" s="541"/>
      <c r="G548" s="541"/>
      <c r="H548" s="541"/>
      <c r="I548" s="541"/>
      <c r="J548" s="541"/>
      <c r="K548" s="541"/>
      <c r="L548" s="471"/>
      <c r="M548" s="472"/>
      <c r="N548" s="394">
        <v>194947</v>
      </c>
      <c r="O548" s="394">
        <v>229238</v>
      </c>
      <c r="P548" s="395">
        <v>104737</v>
      </c>
      <c r="Q548" s="395">
        <f>O548+(Q511-Q492-Q493-Q490-Q494-Q498-Q502-Q503-Q504-Q508-Q506-Q509-Q500)-Q519</f>
        <v>101427</v>
      </c>
      <c r="R548" s="394">
        <f>Q548+(R511-R492-R493-R490-R494-R498-R502-R503-R504-R508-R506-R509-R500)-R519</f>
        <v>22635</v>
      </c>
      <c r="S548" s="394">
        <f>R548+(S511-S492-S493-S490-S494-S498-S502-S503-S504-S508-S506-S509-S500)-S519</f>
        <v>0</v>
      </c>
      <c r="T548" s="394">
        <f>S548+(T511-T492-T493-T490-T494-T498-T502-T503-T504-T508-T506-T509-T500)-T519</f>
        <v>0</v>
      </c>
      <c r="U548" s="394">
        <f>T548+(U511-U492-U493-U490-U494-U498-U502-U503-U504-U508-U506-U509-U500)-U519</f>
        <v>0</v>
      </c>
      <c r="V548" s="394">
        <f>U548+(V511-V492-V493-V490-V494-V498-V502-V503-V504-V508-V506-V509-V500)-V519</f>
        <v>0</v>
      </c>
    </row>
    <row r="549" spans="1:22" s="337" customFormat="1" ht="15" customHeight="1">
      <c r="K549" s="425"/>
      <c r="L549" s="449"/>
      <c r="M549" s="472"/>
      <c r="N549" s="394"/>
      <c r="O549" s="394"/>
      <c r="P549" s="395"/>
      <c r="Q549" s="395"/>
      <c r="R549" s="394"/>
      <c r="S549" s="394"/>
      <c r="T549" s="394"/>
      <c r="U549" s="394"/>
      <c r="V549" s="394"/>
    </row>
    <row r="550" spans="1:22" s="337" customFormat="1" ht="24" customHeight="1">
      <c r="C550" s="541" t="s">
        <v>1388</v>
      </c>
      <c r="D550" s="541"/>
      <c r="E550" s="541"/>
      <c r="F550" s="541"/>
      <c r="G550" s="541"/>
      <c r="H550" s="541"/>
      <c r="I550" s="541"/>
      <c r="J550" s="541"/>
      <c r="K550" s="541"/>
      <c r="L550" s="471"/>
      <c r="M550" s="472"/>
      <c r="N550" s="394">
        <v>108743</v>
      </c>
      <c r="O550" s="394">
        <v>62884</v>
      </c>
      <c r="P550" s="395">
        <v>-65159</v>
      </c>
      <c r="Q550" s="395">
        <f>O550+(Q511-Q489-Q491-Q494-Q495-Q496-Q497-Q501-Q503-Q504-Q507-Q508-Q505-Q499)-Q531</f>
        <v>-62855</v>
      </c>
      <c r="R550" s="394">
        <f>Q550+(R511-R489-R491-R494-R495-R496-R497-R501-R503-R504-R507-R508-R505-R499)-R531</f>
        <v>0</v>
      </c>
      <c r="S550" s="394">
        <f>R550+(S511-S489-S491-S494-S495-S496-S497-S501-S503-S504-S507-S508-S505-S499)-S531</f>
        <v>0</v>
      </c>
      <c r="T550" s="394">
        <f>S550+(T511-T489-T491-T494-T495-T496-T497-T501-T503-T504-T507-T508-T505-T499)-T531</f>
        <v>0</v>
      </c>
      <c r="U550" s="394">
        <f>T550+(U511-U489-U491-U494-U495-U496-U497-U501-U503-U504-U507-U508-U505-U499)-U531</f>
        <v>0</v>
      </c>
      <c r="V550" s="394">
        <f>U550+(V511-V489-V491-V494-V495-V496-V497-V501-V503-V504-V507-V508-V505-V499)-V531</f>
        <v>0</v>
      </c>
    </row>
    <row r="551" spans="1:22" s="337" customFormat="1" ht="15" customHeight="1">
      <c r="K551" s="425"/>
      <c r="L551" s="449"/>
      <c r="M551" s="472"/>
      <c r="N551" s="394"/>
      <c r="O551" s="394"/>
      <c r="P551" s="395"/>
      <c r="Q551" s="395"/>
      <c r="R551" s="394"/>
      <c r="S551" s="394"/>
      <c r="T551" s="394"/>
      <c r="U551" s="394"/>
      <c r="V551" s="394"/>
    </row>
    <row r="552" spans="1:22" s="337" customFormat="1" ht="24" customHeight="1">
      <c r="C552" s="541" t="s">
        <v>1389</v>
      </c>
      <c r="D552" s="541"/>
      <c r="E552" s="541"/>
      <c r="F552" s="541"/>
      <c r="G552" s="541"/>
      <c r="H552" s="541"/>
      <c r="I552" s="541"/>
      <c r="J552" s="541"/>
      <c r="K552" s="541"/>
      <c r="L552" s="471"/>
      <c r="M552" s="472"/>
      <c r="N552" s="394">
        <v>51443</v>
      </c>
      <c r="O552" s="394">
        <v>62473</v>
      </c>
      <c r="P552" s="395">
        <v>22545</v>
      </c>
      <c r="Q552" s="395">
        <f>O552+(Q511-Q489-Q491-Q492-Q493-Q490-Q495-Q496-Q497-Q498-Q501-Q502-Q507-Q506-Q509-Q505-Q499-Q500)-Q542</f>
        <v>90698</v>
      </c>
      <c r="R552" s="394">
        <f>Q552+(R511-R489-R491-R492-R493-R490-R495-R496-R497-R498-R501-R502-R507-R506-R509-R505-R499-R500)-R542</f>
        <v>73923</v>
      </c>
      <c r="S552" s="394">
        <f>R552+(S511-S489-S491-S492-S493-S490-S495-S496-S497-S498-S501-S502-S507-S506-S509-S505-S499-S500)-S542</f>
        <v>58148</v>
      </c>
      <c r="T552" s="394">
        <f>S552+(T511-T489-T491-T492-T493-T490-T495-T496-T497-T498-T501-T502-T507-T506-T509-T505-T499-T500)-T542</f>
        <v>58373</v>
      </c>
      <c r="U552" s="394">
        <f>T552+(U511-U489-U491-U492-U493-U490-U495-U496-U497-U498-U501-U502-U507-U506-U509-U505-U499-U500)-U542</f>
        <v>58598</v>
      </c>
      <c r="V552" s="394">
        <f>U552+(V511-V489-V491-V492-V493-V490-V495-V496-V497-V498-V501-V502-V507-V506-V509-V505-V499-V500)-V542</f>
        <v>58823</v>
      </c>
    </row>
    <row r="553" spans="1:22" s="337" customFormat="1" ht="15" customHeight="1">
      <c r="K553" s="425"/>
      <c r="L553" s="449"/>
      <c r="M553" s="449"/>
      <c r="N553" s="383"/>
      <c r="O553" s="383"/>
      <c r="P553" s="384"/>
      <c r="Q553" s="384"/>
      <c r="R553" s="383"/>
      <c r="S553" s="383"/>
      <c r="T553" s="383"/>
      <c r="U553" s="383"/>
      <c r="V553" s="383"/>
    </row>
    <row r="554" spans="1:22" s="337" customFormat="1" ht="24" customHeight="1" thickBot="1">
      <c r="K554" s="430" t="s">
        <v>764</v>
      </c>
      <c r="L554" s="449"/>
      <c r="M554" s="474"/>
      <c r="N554" s="398">
        <f>N548+N550+N552</f>
        <v>355133</v>
      </c>
      <c r="O554" s="398">
        <f>O548+O550+O552</f>
        <v>354595</v>
      </c>
      <c r="P554" s="399">
        <f>P548+P550+P552</f>
        <v>62123</v>
      </c>
      <c r="Q554" s="399">
        <f>O554+Q546</f>
        <v>129270</v>
      </c>
      <c r="R554" s="398">
        <f>Q554+R546</f>
        <v>96558</v>
      </c>
      <c r="S554" s="398">
        <f>R554+S546</f>
        <v>58148</v>
      </c>
      <c r="T554" s="398">
        <f>S554+T546</f>
        <v>58373</v>
      </c>
      <c r="U554" s="398">
        <f>T554+U546</f>
        <v>58598</v>
      </c>
      <c r="V554" s="398">
        <f>U554+V546</f>
        <v>58823</v>
      </c>
    </row>
    <row r="555" spans="1:22" ht="15" customHeight="1" thickTop="1">
      <c r="A555" s="337"/>
      <c r="B555" s="337"/>
      <c r="C555" s="337"/>
      <c r="D555" s="337"/>
      <c r="E555" s="337"/>
      <c r="F555" s="337"/>
      <c r="G555" s="337"/>
      <c r="H555" s="337"/>
      <c r="I555" s="337"/>
      <c r="J555" s="337"/>
      <c r="K555" s="337"/>
      <c r="L555" s="229"/>
      <c r="M555" s="294"/>
      <c r="N555" s="401"/>
      <c r="O555" s="401"/>
      <c r="P555" s="400"/>
      <c r="Q555" s="312"/>
      <c r="R555" s="313"/>
      <c r="S555" s="313"/>
      <c r="T555" s="313"/>
      <c r="U555" s="313"/>
      <c r="V555" s="313"/>
    </row>
    <row r="556" spans="1:22" ht="24" customHeight="1">
      <c r="A556" s="432" t="s">
        <v>783</v>
      </c>
      <c r="B556" s="337"/>
      <c r="C556" s="337"/>
      <c r="D556" s="337"/>
      <c r="E556" s="337"/>
      <c r="F556" s="337"/>
      <c r="G556" s="337"/>
      <c r="H556" s="337"/>
      <c r="I556" s="337"/>
      <c r="J556" s="337"/>
      <c r="K556" s="337"/>
      <c r="L556" s="229"/>
      <c r="M556" s="257"/>
      <c r="N556" s="383"/>
      <c r="O556" s="383"/>
      <c r="P556" s="384"/>
      <c r="Q556" s="293"/>
      <c r="R556" s="292"/>
      <c r="S556" s="292"/>
      <c r="T556" s="292"/>
      <c r="U556" s="292"/>
      <c r="V556" s="292"/>
    </row>
    <row r="557" spans="1:22" ht="15" customHeight="1">
      <c r="A557" s="337"/>
      <c r="B557" s="337"/>
      <c r="C557" s="337"/>
      <c r="D557" s="337"/>
      <c r="E557" s="337"/>
      <c r="F557" s="337"/>
      <c r="G557" s="337"/>
      <c r="H557" s="337"/>
      <c r="I557" s="337"/>
      <c r="J557" s="337"/>
      <c r="K557" s="337"/>
      <c r="L557" s="229"/>
      <c r="M557" s="257"/>
      <c r="N557" s="383"/>
      <c r="O557" s="383"/>
      <c r="P557" s="384"/>
      <c r="Q557" s="293"/>
      <c r="R557" s="292"/>
      <c r="S557" s="292"/>
      <c r="T557" s="292"/>
      <c r="U557" s="292"/>
      <c r="V557" s="292"/>
    </row>
    <row r="558" spans="1:22" ht="24" customHeight="1">
      <c r="A558" s="337" t="s">
        <v>411</v>
      </c>
      <c r="B558" s="337"/>
      <c r="C558" s="337"/>
      <c r="D558" s="337" t="s">
        <v>412</v>
      </c>
      <c r="E558" s="337"/>
      <c r="F558" s="337"/>
      <c r="G558" s="337"/>
      <c r="H558" s="337"/>
      <c r="I558" s="337"/>
      <c r="J558" s="337"/>
      <c r="K558" s="337"/>
      <c r="L558" s="229"/>
      <c r="M558" s="234"/>
      <c r="N558" s="348">
        <v>0</v>
      </c>
      <c r="O558" s="350">
        <v>323350</v>
      </c>
      <c r="P558" s="353">
        <v>326379</v>
      </c>
      <c r="Q558" s="243">
        <v>324762</v>
      </c>
      <c r="R558" s="239">
        <v>328179</v>
      </c>
      <c r="S558" s="239">
        <v>329579</v>
      </c>
      <c r="T558" s="239">
        <v>290732</v>
      </c>
      <c r="U558" s="239">
        <v>210022</v>
      </c>
      <c r="V558" s="239">
        <v>129402</v>
      </c>
    </row>
    <row r="559" spans="1:22" ht="24" customHeight="1">
      <c r="A559" s="337" t="s">
        <v>413</v>
      </c>
      <c r="B559" s="337"/>
      <c r="C559" s="337"/>
      <c r="D559" s="337" t="s">
        <v>414</v>
      </c>
      <c r="E559" s="337"/>
      <c r="F559" s="337"/>
      <c r="G559" s="337"/>
      <c r="H559" s="337"/>
      <c r="I559" s="337"/>
      <c r="J559" s="337"/>
      <c r="K559" s="337"/>
      <c r="L559" s="229"/>
      <c r="M559" s="234"/>
      <c r="N559" s="348">
        <v>1025</v>
      </c>
      <c r="O559" s="348">
        <v>1375</v>
      </c>
      <c r="P559" s="349">
        <v>1000</v>
      </c>
      <c r="Q559" s="236">
        <v>3969</v>
      </c>
      <c r="R559" s="235">
        <v>1000</v>
      </c>
      <c r="S559" s="235">
        <v>1000</v>
      </c>
      <c r="T559" s="235">
        <v>1000</v>
      </c>
      <c r="U559" s="235">
        <v>1000</v>
      </c>
      <c r="V559" s="235">
        <v>1000</v>
      </c>
    </row>
    <row r="560" spans="1:22" ht="24" customHeight="1">
      <c r="A560" s="337" t="s">
        <v>914</v>
      </c>
      <c r="B560" s="337"/>
      <c r="C560" s="337"/>
      <c r="D560" s="337" t="s">
        <v>6</v>
      </c>
      <c r="E560" s="337"/>
      <c r="F560" s="337"/>
      <c r="G560" s="337"/>
      <c r="H560" s="337"/>
      <c r="I560" s="337"/>
      <c r="J560" s="337"/>
      <c r="K560" s="337"/>
      <c r="L560" s="229"/>
      <c r="M560" s="234"/>
      <c r="N560" s="348">
        <v>0</v>
      </c>
      <c r="O560" s="348">
        <v>283</v>
      </c>
      <c r="P560" s="349">
        <v>300</v>
      </c>
      <c r="Q560" s="236">
        <v>350</v>
      </c>
      <c r="R560" s="235">
        <v>300</v>
      </c>
      <c r="S560" s="235">
        <v>300</v>
      </c>
      <c r="T560" s="235">
        <v>300</v>
      </c>
      <c r="U560" s="235">
        <v>300</v>
      </c>
      <c r="V560" s="235">
        <v>300</v>
      </c>
    </row>
    <row r="561" spans="1:33" ht="24" customHeight="1">
      <c r="A561" s="421" t="s">
        <v>415</v>
      </c>
      <c r="B561" s="422"/>
      <c r="C561" s="422"/>
      <c r="D561" s="421" t="s">
        <v>353</v>
      </c>
      <c r="E561" s="422"/>
      <c r="F561" s="422"/>
      <c r="G561" s="422"/>
      <c r="H561" s="422"/>
      <c r="I561" s="422"/>
      <c r="J561" s="422"/>
      <c r="K561" s="422"/>
      <c r="L561" s="237"/>
      <c r="M561" s="234"/>
      <c r="N561" s="348">
        <v>429404</v>
      </c>
      <c r="O561" s="350">
        <v>103740</v>
      </c>
      <c r="P561" s="353">
        <v>99465</v>
      </c>
      <c r="Q561" s="243">
        <v>99465</v>
      </c>
      <c r="R561" s="239">
        <v>0</v>
      </c>
      <c r="S561" s="239">
        <v>0</v>
      </c>
      <c r="T561" s="239">
        <v>26386</v>
      </c>
      <c r="U561" s="239">
        <f>83774-1500+767-450-219+42860</f>
        <v>125232</v>
      </c>
      <c r="V561" s="239">
        <f>V571+V572-925+300-250-50-129402</f>
        <v>205852</v>
      </c>
    </row>
    <row r="562" spans="1:33" ht="24" customHeight="1">
      <c r="A562" s="421" t="s">
        <v>952</v>
      </c>
      <c r="B562" s="422"/>
      <c r="C562" s="422"/>
      <c r="D562" s="421" t="s">
        <v>953</v>
      </c>
      <c r="E562" s="422"/>
      <c r="F562" s="422"/>
      <c r="G562" s="422"/>
      <c r="H562" s="422"/>
      <c r="I562" s="422"/>
      <c r="J562" s="422"/>
      <c r="K562" s="422"/>
      <c r="L562" s="237"/>
      <c r="M562" s="262"/>
      <c r="N562" s="357">
        <v>0</v>
      </c>
      <c r="O562" s="357">
        <v>78777</v>
      </c>
      <c r="P562" s="358">
        <v>0</v>
      </c>
      <c r="Q562" s="252">
        <v>0</v>
      </c>
      <c r="R562" s="251">
        <v>0</v>
      </c>
      <c r="S562" s="251">
        <v>0</v>
      </c>
      <c r="T562" s="251">
        <v>0</v>
      </c>
      <c r="U562" s="251">
        <v>0</v>
      </c>
      <c r="V562" s="251">
        <v>0</v>
      </c>
    </row>
    <row r="563" spans="1:33" ht="15" customHeight="1">
      <c r="A563" s="337"/>
      <c r="B563" s="439"/>
      <c r="C563" s="439"/>
      <c r="D563" s="439"/>
      <c r="E563" s="337"/>
      <c r="F563" s="424"/>
      <c r="G563" s="424"/>
      <c r="H563" s="424"/>
      <c r="I563" s="424"/>
      <c r="J563" s="424"/>
      <c r="K563" s="424"/>
      <c r="L563" s="253"/>
      <c r="N563" s="359"/>
      <c r="O563" s="359"/>
      <c r="P563" s="360"/>
      <c r="Q563" s="255"/>
      <c r="R563" s="254"/>
      <c r="S563" s="254"/>
      <c r="T563" s="254"/>
      <c r="U563" s="254"/>
      <c r="V563" s="254"/>
    </row>
    <row r="564" spans="1:33" s="337" customFormat="1" ht="24" customHeight="1">
      <c r="K564" s="425" t="s">
        <v>758</v>
      </c>
      <c r="L564" s="449"/>
      <c r="M564" s="450"/>
      <c r="N564" s="361">
        <f t="shared" ref="N564:V564" si="60">SUM(N558:N563)</f>
        <v>430429</v>
      </c>
      <c r="O564" s="361">
        <f t="shared" si="60"/>
        <v>507525</v>
      </c>
      <c r="P564" s="362">
        <f t="shared" si="60"/>
        <v>427144</v>
      </c>
      <c r="Q564" s="362">
        <f t="shared" si="60"/>
        <v>428546</v>
      </c>
      <c r="R564" s="361">
        <f t="shared" si="60"/>
        <v>329479</v>
      </c>
      <c r="S564" s="361">
        <f t="shared" si="60"/>
        <v>330879</v>
      </c>
      <c r="T564" s="361">
        <f t="shared" si="60"/>
        <v>318418</v>
      </c>
      <c r="U564" s="361">
        <f t="shared" si="60"/>
        <v>336554</v>
      </c>
      <c r="V564" s="361">
        <f t="shared" si="60"/>
        <v>336554</v>
      </c>
    </row>
    <row r="565" spans="1:33" ht="15" customHeight="1">
      <c r="A565" s="337"/>
      <c r="B565" s="337"/>
      <c r="C565" s="337"/>
      <c r="D565" s="337"/>
      <c r="E565" s="337"/>
      <c r="F565" s="337"/>
      <c r="G565" s="337"/>
      <c r="H565" s="337"/>
      <c r="I565" s="337"/>
      <c r="J565" s="337"/>
      <c r="K565" s="337"/>
      <c r="L565" s="229"/>
      <c r="N565" s="359"/>
      <c r="O565" s="359"/>
      <c r="P565" s="360"/>
      <c r="Q565" s="255"/>
      <c r="R565" s="254"/>
      <c r="S565" s="254"/>
      <c r="T565" s="254"/>
      <c r="U565" s="254"/>
      <c r="V565" s="254"/>
    </row>
    <row r="566" spans="1:33" ht="24" customHeight="1">
      <c r="A566" s="421" t="s">
        <v>416</v>
      </c>
      <c r="B566" s="422"/>
      <c r="C566" s="422"/>
      <c r="D566" s="421" t="s">
        <v>417</v>
      </c>
      <c r="E566" s="422"/>
      <c r="F566" s="422"/>
      <c r="G566" s="422"/>
      <c r="H566" s="422"/>
      <c r="I566" s="422"/>
      <c r="J566" s="422"/>
      <c r="K566" s="422"/>
      <c r="L566" s="237"/>
      <c r="M566" s="269"/>
      <c r="N566" s="350">
        <v>0</v>
      </c>
      <c r="O566" s="350">
        <v>749</v>
      </c>
      <c r="P566" s="353">
        <v>963</v>
      </c>
      <c r="Q566" s="243">
        <v>963</v>
      </c>
      <c r="R566" s="239">
        <v>375</v>
      </c>
      <c r="S566" s="239">
        <v>375</v>
      </c>
      <c r="T566" s="239">
        <v>375</v>
      </c>
      <c r="U566" s="239">
        <v>375</v>
      </c>
      <c r="V566" s="239">
        <v>375</v>
      </c>
    </row>
    <row r="567" spans="1:33" ht="24" customHeight="1">
      <c r="A567" s="427" t="s">
        <v>864</v>
      </c>
      <c r="B567" s="422"/>
      <c r="C567" s="422"/>
      <c r="D567" s="421"/>
      <c r="E567" s="422"/>
      <c r="F567" s="422"/>
      <c r="G567" s="422"/>
      <c r="H567" s="422"/>
      <c r="I567" s="422"/>
      <c r="J567" s="422"/>
      <c r="K567" s="422"/>
      <c r="L567" s="237"/>
      <c r="M567" s="279"/>
      <c r="N567" s="351"/>
      <c r="O567" s="350"/>
      <c r="P567" s="353"/>
      <c r="Q567" s="243"/>
      <c r="R567" s="239"/>
      <c r="S567" s="239"/>
      <c r="T567" s="239"/>
      <c r="U567" s="239"/>
      <c r="V567" s="239"/>
    </row>
    <row r="568" spans="1:33" ht="24" customHeight="1">
      <c r="A568" s="421" t="s">
        <v>418</v>
      </c>
      <c r="B568" s="422"/>
      <c r="C568" s="422"/>
      <c r="D568" s="421" t="s">
        <v>1417</v>
      </c>
      <c r="E568" s="422"/>
      <c r="F568" s="422"/>
      <c r="G568" s="422"/>
      <c r="H568" s="422"/>
      <c r="I568" s="422"/>
      <c r="J568" s="422"/>
      <c r="K568" s="422"/>
      <c r="L568" s="237"/>
      <c r="M568" s="263"/>
      <c r="N568" s="348">
        <v>95000</v>
      </c>
      <c r="O568" s="350">
        <v>95000</v>
      </c>
      <c r="P568" s="353">
        <v>95000</v>
      </c>
      <c r="Q568" s="243">
        <v>95000</v>
      </c>
      <c r="R568" s="239">
        <v>0</v>
      </c>
      <c r="S568" s="239">
        <v>0</v>
      </c>
      <c r="T568" s="239">
        <v>0</v>
      </c>
      <c r="U568" s="239">
        <v>0</v>
      </c>
      <c r="V568" s="239">
        <v>0</v>
      </c>
    </row>
    <row r="569" spans="1:33" ht="24" customHeight="1">
      <c r="A569" s="421" t="s">
        <v>419</v>
      </c>
      <c r="B569" s="422"/>
      <c r="C569" s="422"/>
      <c r="D569" s="421" t="s">
        <v>384</v>
      </c>
      <c r="E569" s="422"/>
      <c r="F569" s="422"/>
      <c r="G569" s="422"/>
      <c r="H569" s="422"/>
      <c r="I569" s="422"/>
      <c r="J569" s="422"/>
      <c r="K569" s="422"/>
      <c r="L569" s="237"/>
      <c r="M569" s="279"/>
      <c r="N569" s="351">
        <v>12825</v>
      </c>
      <c r="O569" s="350">
        <v>8740</v>
      </c>
      <c r="P569" s="353">
        <v>4465</v>
      </c>
      <c r="Q569" s="243">
        <v>4465</v>
      </c>
      <c r="R569" s="239">
        <v>0</v>
      </c>
      <c r="S569" s="239">
        <v>0</v>
      </c>
      <c r="T569" s="239">
        <v>0</v>
      </c>
      <c r="U569" s="239">
        <v>0</v>
      </c>
      <c r="V569" s="239">
        <v>0</v>
      </c>
    </row>
    <row r="570" spans="1:33" ht="24" customHeight="1">
      <c r="A570" s="427" t="s">
        <v>865</v>
      </c>
      <c r="B570" s="422"/>
      <c r="C570" s="422"/>
      <c r="D570" s="421"/>
      <c r="E570" s="422"/>
      <c r="F570" s="422"/>
      <c r="G570" s="422"/>
      <c r="H570" s="422"/>
      <c r="I570" s="422"/>
      <c r="J570" s="422"/>
      <c r="K570" s="422"/>
      <c r="L570" s="237"/>
      <c r="M570" s="279"/>
      <c r="N570" s="351"/>
      <c r="O570" s="350"/>
      <c r="P570" s="353"/>
      <c r="Q570" s="243"/>
      <c r="R570" s="239"/>
      <c r="S570" s="239"/>
      <c r="T570" s="239"/>
      <c r="U570" s="239"/>
      <c r="V570" s="239"/>
      <c r="X570" s="332"/>
      <c r="Y570" s="332"/>
      <c r="Z570" s="332"/>
      <c r="AA570" s="332"/>
      <c r="AB570" s="332"/>
      <c r="AC570" s="332"/>
      <c r="AD570" s="332"/>
      <c r="AE570" s="332"/>
      <c r="AF570" s="332"/>
      <c r="AG570" s="332"/>
    </row>
    <row r="571" spans="1:33" ht="24" customHeight="1">
      <c r="A571" s="421" t="s">
        <v>420</v>
      </c>
      <c r="B571" s="422"/>
      <c r="C571" s="422"/>
      <c r="D571" s="421" t="s">
        <v>1417</v>
      </c>
      <c r="E571" s="422"/>
      <c r="F571" s="422"/>
      <c r="G571" s="422"/>
      <c r="H571" s="422"/>
      <c r="I571" s="422"/>
      <c r="J571" s="422"/>
      <c r="K571" s="422"/>
      <c r="L571" s="237"/>
      <c r="M571" s="263"/>
      <c r="N571" s="348">
        <v>185000</v>
      </c>
      <c r="O571" s="348">
        <v>195000</v>
      </c>
      <c r="P571" s="349">
        <v>205000</v>
      </c>
      <c r="Q571" s="236">
        <v>205000</v>
      </c>
      <c r="R571" s="235">
        <v>215000</v>
      </c>
      <c r="S571" s="235">
        <v>225000</v>
      </c>
      <c r="T571" s="235">
        <v>235000</v>
      </c>
      <c r="U571" s="235">
        <v>250000</v>
      </c>
      <c r="V571" s="235">
        <v>260000</v>
      </c>
    </row>
    <row r="572" spans="1:33" ht="24" customHeight="1">
      <c r="A572" s="421" t="s">
        <v>421</v>
      </c>
      <c r="B572" s="422"/>
      <c r="C572" s="422"/>
      <c r="D572" s="421" t="s">
        <v>384</v>
      </c>
      <c r="E572" s="422"/>
      <c r="F572" s="422"/>
      <c r="G572" s="422"/>
      <c r="H572" s="422"/>
      <c r="I572" s="422"/>
      <c r="J572" s="422"/>
      <c r="K572" s="422"/>
      <c r="L572" s="237"/>
      <c r="M572" s="279"/>
      <c r="N572" s="351">
        <v>136579</v>
      </c>
      <c r="O572" s="351">
        <v>129179</v>
      </c>
      <c r="P572" s="349">
        <v>121379</v>
      </c>
      <c r="Q572" s="236">
        <v>121379</v>
      </c>
      <c r="R572" s="235">
        <v>113179</v>
      </c>
      <c r="S572" s="235">
        <v>104579</v>
      </c>
      <c r="T572" s="235">
        <v>95579</v>
      </c>
      <c r="U572" s="235">
        <v>86179</v>
      </c>
      <c r="V572" s="235">
        <v>76179</v>
      </c>
    </row>
    <row r="573" spans="1:33" ht="24" customHeight="1">
      <c r="A573" s="425" t="s">
        <v>1198</v>
      </c>
      <c r="B573" s="425"/>
      <c r="C573" s="425"/>
      <c r="D573" s="425"/>
      <c r="E573" s="425"/>
      <c r="F573" s="425"/>
      <c r="G573" s="422"/>
      <c r="H573" s="422"/>
      <c r="I573" s="422"/>
      <c r="J573" s="422"/>
      <c r="K573" s="422"/>
      <c r="L573" s="237"/>
      <c r="M573" s="269"/>
      <c r="N573" s="350"/>
      <c r="O573" s="350"/>
      <c r="P573" s="353"/>
      <c r="Q573" s="243"/>
      <c r="R573" s="239"/>
      <c r="S573" s="239"/>
      <c r="T573" s="239"/>
      <c r="U573" s="239"/>
      <c r="V573" s="239"/>
    </row>
    <row r="574" spans="1:33" ht="24" customHeight="1">
      <c r="A574" s="421" t="s">
        <v>954</v>
      </c>
      <c r="B574" s="422"/>
      <c r="C574" s="422"/>
      <c r="D574" s="421" t="s">
        <v>1417</v>
      </c>
      <c r="E574" s="422"/>
      <c r="F574" s="422"/>
      <c r="G574" s="422"/>
      <c r="H574" s="422"/>
      <c r="I574" s="422"/>
      <c r="J574" s="422"/>
      <c r="K574" s="422"/>
      <c r="L574" s="237"/>
      <c r="M574" s="263"/>
      <c r="N574" s="348">
        <v>0</v>
      </c>
      <c r="O574" s="348">
        <v>0</v>
      </c>
      <c r="P574" s="349">
        <v>75000</v>
      </c>
      <c r="Q574" s="236">
        <v>75000</v>
      </c>
      <c r="R574" s="235">
        <v>0</v>
      </c>
      <c r="S574" s="235">
        <v>0</v>
      </c>
      <c r="T574" s="235">
        <v>0</v>
      </c>
      <c r="U574" s="235">
        <v>0</v>
      </c>
      <c r="V574" s="235">
        <v>0</v>
      </c>
    </row>
    <row r="575" spans="1:33" ht="24" customHeight="1">
      <c r="A575" s="421" t="s">
        <v>955</v>
      </c>
      <c r="B575" s="422"/>
      <c r="C575" s="422"/>
      <c r="D575" s="421" t="s">
        <v>384</v>
      </c>
      <c r="E575" s="422"/>
      <c r="F575" s="422"/>
      <c r="G575" s="337"/>
      <c r="H575" s="337"/>
      <c r="I575" s="337"/>
      <c r="J575" s="337"/>
      <c r="K575" s="337"/>
      <c r="L575" s="229"/>
      <c r="M575" s="314"/>
      <c r="N575" s="373">
        <v>0</v>
      </c>
      <c r="O575" s="373">
        <v>0</v>
      </c>
      <c r="P575" s="370">
        <v>3563</v>
      </c>
      <c r="Q575" s="272">
        <v>3563</v>
      </c>
      <c r="R575" s="271">
        <v>0</v>
      </c>
      <c r="S575" s="271">
        <v>0</v>
      </c>
      <c r="T575" s="271">
        <v>0</v>
      </c>
      <c r="U575" s="271">
        <v>0</v>
      </c>
      <c r="V575" s="271">
        <v>0</v>
      </c>
    </row>
    <row r="576" spans="1:33" ht="15" customHeight="1">
      <c r="A576" s="421"/>
      <c r="B576" s="422"/>
      <c r="C576" s="422"/>
      <c r="D576" s="421"/>
      <c r="E576" s="422"/>
      <c r="F576" s="422"/>
      <c r="G576" s="422"/>
      <c r="H576" s="422"/>
      <c r="I576" s="422"/>
      <c r="J576" s="422"/>
      <c r="K576" s="422"/>
      <c r="L576" s="237"/>
      <c r="M576" s="269"/>
      <c r="N576" s="350"/>
      <c r="O576" s="350"/>
      <c r="P576" s="353"/>
      <c r="Q576" s="243"/>
      <c r="R576" s="239"/>
      <c r="S576" s="239"/>
      <c r="T576" s="239"/>
      <c r="U576" s="239"/>
      <c r="V576" s="239"/>
    </row>
    <row r="577" spans="1:22" s="337" customFormat="1" ht="24" customHeight="1">
      <c r="K577" s="425" t="s">
        <v>761</v>
      </c>
      <c r="L577" s="449"/>
      <c r="M577" s="469"/>
      <c r="N577" s="361">
        <f t="shared" ref="N577:V577" si="61">SUM(N566:N575)</f>
        <v>429404</v>
      </c>
      <c r="O577" s="361">
        <f t="shared" si="61"/>
        <v>428668</v>
      </c>
      <c r="P577" s="362">
        <f t="shared" si="61"/>
        <v>505370</v>
      </c>
      <c r="Q577" s="362">
        <f t="shared" si="61"/>
        <v>505370</v>
      </c>
      <c r="R577" s="361">
        <f t="shared" si="61"/>
        <v>328554</v>
      </c>
      <c r="S577" s="361">
        <f t="shared" si="61"/>
        <v>329954</v>
      </c>
      <c r="T577" s="361">
        <f t="shared" si="61"/>
        <v>330954</v>
      </c>
      <c r="U577" s="361">
        <f t="shared" si="61"/>
        <v>336554</v>
      </c>
      <c r="V577" s="361">
        <f t="shared" si="61"/>
        <v>336554</v>
      </c>
    </row>
    <row r="578" spans="1:22" s="337" customFormat="1" ht="15" customHeight="1">
      <c r="L578" s="451"/>
      <c r="M578" s="463"/>
      <c r="N578" s="359"/>
      <c r="O578" s="359"/>
      <c r="P578" s="360"/>
      <c r="Q578" s="360"/>
      <c r="R578" s="359"/>
      <c r="S578" s="359"/>
      <c r="T578" s="359"/>
      <c r="U578" s="359"/>
      <c r="V578" s="359"/>
    </row>
    <row r="579" spans="1:22" s="337" customFormat="1" ht="24" customHeight="1">
      <c r="K579" s="425" t="s">
        <v>762</v>
      </c>
      <c r="L579" s="449"/>
      <c r="M579" s="449"/>
      <c r="N579" s="383">
        <f t="shared" ref="N579:V579" si="62">N564-N577</f>
        <v>1025</v>
      </c>
      <c r="O579" s="383">
        <f t="shared" si="62"/>
        <v>78857</v>
      </c>
      <c r="P579" s="384">
        <f t="shared" si="62"/>
        <v>-78226</v>
      </c>
      <c r="Q579" s="384">
        <f t="shared" si="62"/>
        <v>-76824</v>
      </c>
      <c r="R579" s="383">
        <f t="shared" si="62"/>
        <v>925</v>
      </c>
      <c r="S579" s="383">
        <f t="shared" si="62"/>
        <v>925</v>
      </c>
      <c r="T579" s="383">
        <f t="shared" si="62"/>
        <v>-12536</v>
      </c>
      <c r="U579" s="383">
        <f t="shared" si="62"/>
        <v>0</v>
      </c>
      <c r="V579" s="383">
        <f t="shared" si="62"/>
        <v>0</v>
      </c>
    </row>
    <row r="580" spans="1:22" s="337" customFormat="1" ht="15" customHeight="1">
      <c r="L580" s="451"/>
      <c r="M580" s="449"/>
      <c r="N580" s="383"/>
      <c r="O580" s="383"/>
      <c r="P580" s="384"/>
      <c r="Q580" s="384"/>
      <c r="R580" s="383"/>
      <c r="S580" s="383"/>
      <c r="T580" s="383"/>
      <c r="U580" s="383"/>
      <c r="V580" s="383"/>
    </row>
    <row r="581" spans="1:22" s="337" customFormat="1" ht="24" customHeight="1">
      <c r="K581" s="430" t="s">
        <v>764</v>
      </c>
      <c r="L581" s="449"/>
      <c r="M581" s="449"/>
      <c r="N581" s="383">
        <v>8653</v>
      </c>
      <c r="O581" s="383">
        <v>87510</v>
      </c>
      <c r="P581" s="384">
        <v>8925</v>
      </c>
      <c r="Q581" s="384">
        <f>O581+Q579</f>
        <v>10686</v>
      </c>
      <c r="R581" s="383">
        <f>Q581+R579</f>
        <v>11611</v>
      </c>
      <c r="S581" s="383">
        <f>R581+S579</f>
        <v>12536</v>
      </c>
      <c r="T581" s="383">
        <f>S581+T579</f>
        <v>0</v>
      </c>
      <c r="U581" s="383">
        <f>T581+U579</f>
        <v>0</v>
      </c>
      <c r="V581" s="383">
        <f>U581+V579</f>
        <v>0</v>
      </c>
    </row>
    <row r="582" spans="1:22" ht="15" customHeight="1">
      <c r="A582" s="337"/>
      <c r="B582" s="337"/>
      <c r="C582" s="337"/>
      <c r="D582" s="337"/>
      <c r="E582" s="337"/>
      <c r="F582" s="337"/>
      <c r="G582" s="337"/>
      <c r="H582" s="337"/>
      <c r="I582" s="337"/>
      <c r="J582" s="337"/>
      <c r="K582" s="337"/>
      <c r="L582" s="229"/>
      <c r="M582" s="257"/>
      <c r="N582" s="383"/>
      <c r="O582" s="383"/>
      <c r="P582" s="384"/>
      <c r="Q582" s="293"/>
      <c r="R582" s="292"/>
      <c r="S582" s="292"/>
      <c r="T582" s="292"/>
      <c r="U582" s="292"/>
      <c r="V582" s="292"/>
    </row>
    <row r="583" spans="1:22" ht="24" customHeight="1">
      <c r="A583" s="432" t="s">
        <v>786</v>
      </c>
      <c r="B583" s="337"/>
      <c r="C583" s="337"/>
      <c r="D583" s="337"/>
      <c r="E583" s="337"/>
      <c r="F583" s="337"/>
      <c r="G583" s="337"/>
      <c r="H583" s="337"/>
      <c r="I583" s="337"/>
      <c r="J583" s="337"/>
      <c r="K583" s="337"/>
      <c r="L583" s="229"/>
      <c r="N583" s="359"/>
      <c r="O583" s="359"/>
      <c r="P583" s="360"/>
      <c r="Q583" s="255"/>
      <c r="R583" s="254"/>
      <c r="S583" s="254"/>
      <c r="T583" s="254"/>
      <c r="U583" s="254"/>
      <c r="V583" s="254"/>
    </row>
    <row r="584" spans="1:22" ht="15" customHeight="1">
      <c r="A584" s="337"/>
      <c r="B584" s="337"/>
      <c r="C584" s="337"/>
      <c r="D584" s="337"/>
      <c r="E584" s="337"/>
      <c r="F584" s="337"/>
      <c r="G584" s="337"/>
      <c r="H584" s="337"/>
      <c r="I584" s="337"/>
      <c r="J584" s="337"/>
      <c r="K584" s="337"/>
      <c r="L584" s="229"/>
      <c r="N584" s="359"/>
      <c r="O584" s="359"/>
      <c r="P584" s="360"/>
      <c r="Q584" s="255"/>
      <c r="R584" s="254"/>
      <c r="S584" s="254"/>
      <c r="T584" s="254"/>
      <c r="U584" s="254"/>
      <c r="V584" s="254"/>
    </row>
    <row r="585" spans="1:22" ht="24" customHeight="1">
      <c r="A585" s="421" t="s">
        <v>422</v>
      </c>
      <c r="B585" s="422"/>
      <c r="C585" s="422"/>
      <c r="D585" s="337" t="s">
        <v>423</v>
      </c>
      <c r="E585" s="422"/>
      <c r="F585" s="422"/>
      <c r="G585" s="422"/>
      <c r="H585" s="422"/>
      <c r="I585" s="422"/>
      <c r="J585" s="422"/>
      <c r="K585" s="422"/>
      <c r="L585" s="237"/>
      <c r="M585" s="238"/>
      <c r="N585" s="350">
        <v>0</v>
      </c>
      <c r="O585" s="350">
        <v>133524</v>
      </c>
      <c r="P585" s="353">
        <v>133454</v>
      </c>
      <c r="Q585" s="243">
        <v>132793</v>
      </c>
      <c r="R585" s="239">
        <v>43027</v>
      </c>
      <c r="S585" s="239">
        <v>41959</v>
      </c>
      <c r="T585" s="239">
        <v>0</v>
      </c>
      <c r="U585" s="239">
        <v>0</v>
      </c>
      <c r="V585" s="239">
        <v>0</v>
      </c>
    </row>
    <row r="586" spans="1:22" ht="24" customHeight="1">
      <c r="A586" s="421" t="s">
        <v>1182</v>
      </c>
      <c r="B586" s="422"/>
      <c r="C586" s="422"/>
      <c r="D586" s="421" t="s">
        <v>1215</v>
      </c>
      <c r="E586" s="422"/>
      <c r="F586" s="337"/>
      <c r="G586" s="422"/>
      <c r="H586" s="422"/>
      <c r="I586" s="422"/>
      <c r="J586" s="422"/>
      <c r="K586" s="422"/>
      <c r="L586" s="237"/>
      <c r="M586" s="238"/>
      <c r="N586" s="350">
        <v>0</v>
      </c>
      <c r="O586" s="350">
        <v>11970</v>
      </c>
      <c r="P586" s="353">
        <v>0</v>
      </c>
      <c r="Q586" s="243">
        <v>54590</v>
      </c>
      <c r="R586" s="239">
        <v>0</v>
      </c>
      <c r="S586" s="239">
        <v>0</v>
      </c>
      <c r="T586" s="239">
        <v>0</v>
      </c>
      <c r="U586" s="239">
        <v>0</v>
      </c>
      <c r="V586" s="239">
        <v>0</v>
      </c>
    </row>
    <row r="587" spans="1:22" ht="24" customHeight="1">
      <c r="A587" s="421" t="s">
        <v>424</v>
      </c>
      <c r="B587" s="422"/>
      <c r="C587" s="422"/>
      <c r="D587" s="421" t="s">
        <v>425</v>
      </c>
      <c r="E587" s="422"/>
      <c r="F587" s="422"/>
      <c r="G587" s="422"/>
      <c r="H587" s="422"/>
      <c r="I587" s="422"/>
      <c r="J587" s="422"/>
      <c r="K587" s="422"/>
      <c r="L587" s="237">
        <v>1640023</v>
      </c>
      <c r="M587" s="234">
        <v>1591745</v>
      </c>
      <c r="N587" s="348">
        <v>1698753</v>
      </c>
      <c r="O587" s="350">
        <v>1751822</v>
      </c>
      <c r="P587" s="353">
        <v>1699871</v>
      </c>
      <c r="Q587" s="243">
        <v>1922239</v>
      </c>
      <c r="R587" s="239">
        <v>1946267</v>
      </c>
      <c r="S587" s="239">
        <v>1975461</v>
      </c>
      <c r="T587" s="239">
        <v>2005093</v>
      </c>
      <c r="U587" s="239">
        <v>2035169</v>
      </c>
      <c r="V587" s="239">
        <v>2065697</v>
      </c>
    </row>
    <row r="588" spans="1:22" ht="24" customHeight="1">
      <c r="A588" s="421" t="s">
        <v>426</v>
      </c>
      <c r="B588" s="337"/>
      <c r="C588" s="337"/>
      <c r="D588" s="421" t="s">
        <v>427</v>
      </c>
      <c r="E588" s="337"/>
      <c r="F588" s="337"/>
      <c r="G588" s="337"/>
      <c r="H588" s="337"/>
      <c r="I588" s="337"/>
      <c r="J588" s="337"/>
      <c r="K588" s="337"/>
      <c r="L588" s="229">
        <v>4364</v>
      </c>
      <c r="M588" s="234">
        <v>879</v>
      </c>
      <c r="N588" s="348">
        <v>882</v>
      </c>
      <c r="O588" s="350">
        <v>329</v>
      </c>
      <c r="P588" s="353">
        <v>500</v>
      </c>
      <c r="Q588" s="243">
        <v>10796</v>
      </c>
      <c r="R588" s="239">
        <v>500</v>
      </c>
      <c r="S588" s="239">
        <v>500</v>
      </c>
      <c r="T588" s="239">
        <v>500</v>
      </c>
      <c r="U588" s="239">
        <v>500</v>
      </c>
      <c r="V588" s="239">
        <v>500</v>
      </c>
    </row>
    <row r="589" spans="1:22" ht="24" customHeight="1">
      <c r="A589" s="421" t="s">
        <v>1406</v>
      </c>
      <c r="B589" s="337"/>
      <c r="C589" s="337"/>
      <c r="D589" s="421" t="s">
        <v>1364</v>
      </c>
      <c r="E589" s="422"/>
      <c r="F589" s="422"/>
      <c r="G589" s="422"/>
      <c r="H589" s="422"/>
      <c r="I589" s="422"/>
      <c r="J589" s="422"/>
      <c r="K589" s="422"/>
      <c r="L589" s="237"/>
      <c r="M589" s="238"/>
      <c r="N589" s="350">
        <v>0</v>
      </c>
      <c r="O589" s="350">
        <v>0</v>
      </c>
      <c r="P589" s="353">
        <v>0</v>
      </c>
      <c r="Q589" s="243">
        <v>90000</v>
      </c>
      <c r="R589" s="239">
        <v>90000</v>
      </c>
      <c r="S589" s="239">
        <v>90000</v>
      </c>
      <c r="T589" s="239">
        <v>90000</v>
      </c>
      <c r="U589" s="239">
        <v>90000</v>
      </c>
      <c r="V589" s="239">
        <v>90000</v>
      </c>
    </row>
    <row r="590" spans="1:22" ht="24" customHeight="1">
      <c r="A590" s="421" t="s">
        <v>428</v>
      </c>
      <c r="B590" s="422"/>
      <c r="C590" s="422"/>
      <c r="D590" s="421" t="s">
        <v>429</v>
      </c>
      <c r="E590" s="422"/>
      <c r="F590" s="422"/>
      <c r="G590" s="422"/>
      <c r="H590" s="422"/>
      <c r="I590" s="422"/>
      <c r="J590" s="422"/>
      <c r="K590" s="422"/>
      <c r="L590" s="237">
        <v>69762</v>
      </c>
      <c r="M590" s="234">
        <v>44255</v>
      </c>
      <c r="N590" s="348">
        <v>22040</v>
      </c>
      <c r="O590" s="350">
        <v>25365</v>
      </c>
      <c r="P590" s="353">
        <v>26250</v>
      </c>
      <c r="Q590" s="243">
        <v>26250</v>
      </c>
      <c r="R590" s="239">
        <v>27563</v>
      </c>
      <c r="S590" s="239">
        <v>27563</v>
      </c>
      <c r="T590" s="239">
        <v>27563</v>
      </c>
      <c r="U590" s="239">
        <v>27563</v>
      </c>
      <c r="V590" s="239">
        <v>27563</v>
      </c>
    </row>
    <row r="591" spans="1:22" ht="24" customHeight="1">
      <c r="A591" s="421" t="s">
        <v>430</v>
      </c>
      <c r="B591" s="337"/>
      <c r="C591" s="337"/>
      <c r="D591" s="421" t="s">
        <v>431</v>
      </c>
      <c r="E591" s="337"/>
      <c r="F591" s="337"/>
      <c r="G591" s="337"/>
      <c r="H591" s="337"/>
      <c r="I591" s="337"/>
      <c r="J591" s="337"/>
      <c r="K591" s="337"/>
      <c r="L591" s="229">
        <v>0</v>
      </c>
      <c r="M591" s="238">
        <v>0</v>
      </c>
      <c r="N591" s="350">
        <v>685188</v>
      </c>
      <c r="O591" s="350">
        <v>696716</v>
      </c>
      <c r="P591" s="353">
        <v>675000</v>
      </c>
      <c r="Q591" s="243">
        <v>690000</v>
      </c>
      <c r="R591" s="239">
        <v>334560</v>
      </c>
      <c r="S591" s="239">
        <v>334560</v>
      </c>
      <c r="T591" s="239">
        <v>334560</v>
      </c>
      <c r="U591" s="239">
        <v>334560</v>
      </c>
      <c r="V591" s="239">
        <v>334560</v>
      </c>
    </row>
    <row r="592" spans="1:22" ht="24" customHeight="1">
      <c r="A592" s="421" t="s">
        <v>432</v>
      </c>
      <c r="B592" s="422"/>
      <c r="C592" s="422"/>
      <c r="D592" s="199" t="s">
        <v>433</v>
      </c>
      <c r="E592" s="422"/>
      <c r="F592" s="422"/>
      <c r="G592" s="422"/>
      <c r="H592" s="422"/>
      <c r="I592" s="422"/>
      <c r="J592" s="422"/>
      <c r="K592" s="422"/>
      <c r="L592" s="237">
        <v>311440</v>
      </c>
      <c r="M592" s="238">
        <v>201466</v>
      </c>
      <c r="N592" s="350">
        <v>96140</v>
      </c>
      <c r="O592" s="350">
        <v>106450</v>
      </c>
      <c r="P592" s="353">
        <v>126250</v>
      </c>
      <c r="Q592" s="243">
        <v>59850</v>
      </c>
      <c r="R592" s="239">
        <v>59850</v>
      </c>
      <c r="S592" s="239">
        <v>59850</v>
      </c>
      <c r="T592" s="239">
        <v>59850</v>
      </c>
      <c r="U592" s="239">
        <v>59850</v>
      </c>
      <c r="V592" s="239">
        <v>59850</v>
      </c>
    </row>
    <row r="593" spans="1:22" ht="24" customHeight="1">
      <c r="A593" s="421" t="s">
        <v>434</v>
      </c>
      <c r="B593" s="422"/>
      <c r="C593" s="422"/>
      <c r="D593" s="199" t="s">
        <v>435</v>
      </c>
      <c r="E593" s="422"/>
      <c r="F593" s="422"/>
      <c r="G593" s="422"/>
      <c r="H593" s="422"/>
      <c r="I593" s="422"/>
      <c r="J593" s="422"/>
      <c r="K593" s="422"/>
      <c r="L593" s="237"/>
      <c r="M593" s="238">
        <v>6071</v>
      </c>
      <c r="N593" s="350">
        <v>0</v>
      </c>
      <c r="O593" s="350">
        <v>0</v>
      </c>
      <c r="P593" s="353">
        <v>0</v>
      </c>
      <c r="Q593" s="243">
        <v>0</v>
      </c>
      <c r="R593" s="239">
        <v>0</v>
      </c>
      <c r="S593" s="239">
        <v>0</v>
      </c>
      <c r="T593" s="239">
        <v>0</v>
      </c>
      <c r="U593" s="239">
        <v>0</v>
      </c>
      <c r="V593" s="239">
        <v>0</v>
      </c>
    </row>
    <row r="594" spans="1:22" ht="24" customHeight="1">
      <c r="A594" s="421" t="s">
        <v>436</v>
      </c>
      <c r="B594" s="422"/>
      <c r="C594" s="422"/>
      <c r="D594" s="535" t="s">
        <v>6</v>
      </c>
      <c r="E594" s="535"/>
      <c r="F594" s="535"/>
      <c r="G594" s="535"/>
      <c r="H594" s="535"/>
      <c r="I594" s="535"/>
      <c r="J594" s="535"/>
      <c r="K594" s="535"/>
      <c r="L594" s="237"/>
      <c r="M594" s="234"/>
      <c r="N594" s="348">
        <v>1888</v>
      </c>
      <c r="O594" s="348">
        <v>282</v>
      </c>
      <c r="P594" s="349">
        <v>300</v>
      </c>
      <c r="Q594" s="236">
        <v>1700</v>
      </c>
      <c r="R594" s="235">
        <v>2000</v>
      </c>
      <c r="S594" s="235">
        <v>2500</v>
      </c>
      <c r="T594" s="235">
        <v>3000</v>
      </c>
      <c r="U594" s="235">
        <v>3500</v>
      </c>
      <c r="V594" s="235">
        <v>4000</v>
      </c>
    </row>
    <row r="595" spans="1:22" ht="24" customHeight="1">
      <c r="A595" s="421" t="s">
        <v>836</v>
      </c>
      <c r="B595" s="422"/>
      <c r="C595" s="422"/>
      <c r="D595" s="421" t="s">
        <v>323</v>
      </c>
      <c r="E595" s="422"/>
      <c r="F595" s="422"/>
      <c r="G595" s="422"/>
      <c r="H595" s="422"/>
      <c r="I595" s="422"/>
      <c r="J595" s="422"/>
      <c r="K595" s="422"/>
      <c r="L595" s="237"/>
      <c r="M595" s="234"/>
      <c r="N595" s="348">
        <v>0</v>
      </c>
      <c r="O595" s="350">
        <v>0</v>
      </c>
      <c r="P595" s="353">
        <v>7225</v>
      </c>
      <c r="Q595" s="243">
        <v>7872</v>
      </c>
      <c r="R595" s="239">
        <v>0</v>
      </c>
      <c r="S595" s="239">
        <v>0</v>
      </c>
      <c r="T595" s="239">
        <v>0</v>
      </c>
      <c r="U595" s="239">
        <v>0</v>
      </c>
      <c r="V595" s="239">
        <v>0</v>
      </c>
    </row>
    <row r="596" spans="1:22" ht="24" customHeight="1">
      <c r="A596" s="421" t="s">
        <v>843</v>
      </c>
      <c r="B596" s="422"/>
      <c r="C596" s="422"/>
      <c r="D596" s="421" t="s">
        <v>317</v>
      </c>
      <c r="E596" s="422"/>
      <c r="F596" s="422"/>
      <c r="G596" s="422"/>
      <c r="H596" s="422"/>
      <c r="I596" s="422"/>
      <c r="J596" s="422"/>
      <c r="K596" s="422"/>
      <c r="L596" s="237"/>
      <c r="M596" s="234"/>
      <c r="N596" s="348">
        <v>0</v>
      </c>
      <c r="O596" s="350">
        <v>0</v>
      </c>
      <c r="P596" s="355">
        <v>241</v>
      </c>
      <c r="Q596" s="246">
        <v>160</v>
      </c>
      <c r="R596" s="245">
        <v>0</v>
      </c>
      <c r="S596" s="245">
        <v>0</v>
      </c>
      <c r="T596" s="245">
        <v>0</v>
      </c>
      <c r="U596" s="245">
        <v>0</v>
      </c>
      <c r="V596" s="245">
        <v>0</v>
      </c>
    </row>
    <row r="597" spans="1:22" ht="24" customHeight="1">
      <c r="A597" s="421" t="s">
        <v>915</v>
      </c>
      <c r="B597" s="422"/>
      <c r="C597" s="422"/>
      <c r="D597" s="421" t="s">
        <v>73</v>
      </c>
      <c r="E597" s="422"/>
      <c r="F597" s="422"/>
      <c r="G597" s="422"/>
      <c r="H597" s="422"/>
      <c r="I597" s="422"/>
      <c r="J597" s="422"/>
      <c r="K597" s="422"/>
      <c r="L597" s="237"/>
      <c r="M597" s="238"/>
      <c r="N597" s="350">
        <v>0</v>
      </c>
      <c r="O597" s="350">
        <v>1771</v>
      </c>
      <c r="P597" s="355">
        <v>0</v>
      </c>
      <c r="Q597" s="246">
        <v>200</v>
      </c>
      <c r="R597" s="245">
        <v>0</v>
      </c>
      <c r="S597" s="245">
        <v>0</v>
      </c>
      <c r="T597" s="245">
        <v>0</v>
      </c>
      <c r="U597" s="245">
        <v>0</v>
      </c>
      <c r="V597" s="245">
        <v>0</v>
      </c>
    </row>
    <row r="598" spans="1:22" ht="24" customHeight="1">
      <c r="A598" s="421" t="s">
        <v>1194</v>
      </c>
      <c r="B598" s="337"/>
      <c r="C598" s="337"/>
      <c r="D598" s="421" t="s">
        <v>1195</v>
      </c>
      <c r="E598" s="337"/>
      <c r="F598" s="337"/>
      <c r="G598" s="424"/>
      <c r="H598" s="424"/>
      <c r="I598" s="424"/>
      <c r="J598" s="424"/>
      <c r="K598" s="424"/>
      <c r="L598" s="253"/>
      <c r="M598" s="305"/>
      <c r="N598" s="365">
        <v>32038</v>
      </c>
      <c r="O598" s="365">
        <v>39491</v>
      </c>
      <c r="P598" s="366">
        <v>50000</v>
      </c>
      <c r="Q598" s="266">
        <v>53073</v>
      </c>
      <c r="R598" s="265">
        <v>54336</v>
      </c>
      <c r="S598" s="265">
        <v>55632</v>
      </c>
      <c r="T598" s="265">
        <v>56963</v>
      </c>
      <c r="U598" s="265">
        <v>58329</v>
      </c>
      <c r="V598" s="265">
        <v>59731</v>
      </c>
    </row>
    <row r="599" spans="1:22" ht="24" customHeight="1">
      <c r="A599" s="421" t="s">
        <v>956</v>
      </c>
      <c r="B599" s="422"/>
      <c r="C599" s="422"/>
      <c r="D599" s="421" t="s">
        <v>330</v>
      </c>
      <c r="E599" s="422"/>
      <c r="F599" s="422"/>
      <c r="G599" s="422"/>
      <c r="H599" s="422"/>
      <c r="I599" s="422"/>
      <c r="J599" s="422"/>
      <c r="K599" s="422"/>
      <c r="L599" s="237"/>
      <c r="M599" s="240"/>
      <c r="N599" s="351">
        <v>4437</v>
      </c>
      <c r="O599" s="350">
        <v>3517</v>
      </c>
      <c r="P599" s="355">
        <v>0</v>
      </c>
      <c r="Q599" s="246">
        <v>0</v>
      </c>
      <c r="R599" s="245">
        <v>0</v>
      </c>
      <c r="S599" s="245">
        <v>0</v>
      </c>
      <c r="T599" s="245">
        <v>0</v>
      </c>
      <c r="U599" s="245">
        <v>0</v>
      </c>
      <c r="V599" s="245">
        <v>0</v>
      </c>
    </row>
    <row r="600" spans="1:22" ht="24" customHeight="1">
      <c r="A600" s="421" t="s">
        <v>437</v>
      </c>
      <c r="B600" s="337"/>
      <c r="C600" s="337"/>
      <c r="D600" s="421" t="s">
        <v>7</v>
      </c>
      <c r="E600" s="337"/>
      <c r="F600" s="337"/>
      <c r="G600" s="337"/>
      <c r="H600" s="337"/>
      <c r="I600" s="337"/>
      <c r="J600" s="337"/>
      <c r="K600" s="337"/>
      <c r="L600" s="229"/>
      <c r="M600" s="234"/>
      <c r="N600" s="348">
        <v>4318</v>
      </c>
      <c r="O600" s="348">
        <v>98</v>
      </c>
      <c r="P600" s="349">
        <v>0</v>
      </c>
      <c r="Q600" s="236">
        <v>0</v>
      </c>
      <c r="R600" s="235">
        <v>0</v>
      </c>
      <c r="S600" s="235">
        <v>0</v>
      </c>
      <c r="T600" s="235">
        <v>0</v>
      </c>
      <c r="U600" s="235">
        <v>0</v>
      </c>
      <c r="V600" s="235">
        <v>0</v>
      </c>
    </row>
    <row r="601" spans="1:22" ht="24" customHeight="1">
      <c r="A601" s="421" t="s">
        <v>438</v>
      </c>
      <c r="B601" s="422"/>
      <c r="C601" s="422"/>
      <c r="D601" s="421" t="s">
        <v>276</v>
      </c>
      <c r="E601" s="422"/>
      <c r="F601" s="422"/>
      <c r="G601" s="422"/>
      <c r="H601" s="422"/>
      <c r="I601" s="422"/>
      <c r="J601" s="422"/>
      <c r="K601" s="422"/>
      <c r="L601" s="237"/>
      <c r="M601" s="306"/>
      <c r="N601" s="373">
        <v>82850</v>
      </c>
      <c r="O601" s="373">
        <v>83863</v>
      </c>
      <c r="P601" s="374">
        <v>82288</v>
      </c>
      <c r="Q601" s="278">
        <f t="shared" ref="Q601:V601" si="63">Q759</f>
        <v>82288</v>
      </c>
      <c r="R601" s="277">
        <f t="shared" si="63"/>
        <v>82988</v>
      </c>
      <c r="S601" s="277">
        <f t="shared" si="63"/>
        <v>83588</v>
      </c>
      <c r="T601" s="277">
        <f t="shared" si="63"/>
        <v>84088</v>
      </c>
      <c r="U601" s="277">
        <f t="shared" si="63"/>
        <v>84488</v>
      </c>
      <c r="V601" s="277">
        <f t="shared" si="63"/>
        <v>82288</v>
      </c>
    </row>
    <row r="602" spans="1:22" ht="15" customHeight="1">
      <c r="A602" s="337"/>
      <c r="B602" s="337"/>
      <c r="C602" s="337"/>
      <c r="D602" s="337"/>
      <c r="E602" s="337"/>
      <c r="F602" s="337"/>
      <c r="G602" s="337"/>
      <c r="H602" s="337"/>
      <c r="I602" s="337"/>
      <c r="J602" s="337"/>
      <c r="K602" s="337"/>
      <c r="L602" s="229"/>
      <c r="N602" s="359"/>
      <c r="O602" s="359"/>
      <c r="P602" s="360"/>
      <c r="Q602" s="255"/>
      <c r="R602" s="254"/>
      <c r="S602" s="254"/>
      <c r="T602" s="254"/>
      <c r="U602" s="254"/>
      <c r="V602" s="254"/>
    </row>
    <row r="603" spans="1:22" s="337" customFormat="1" ht="24" customHeight="1">
      <c r="K603" s="425" t="s">
        <v>758</v>
      </c>
      <c r="L603" s="449"/>
      <c r="M603" s="450"/>
      <c r="N603" s="361">
        <f t="shared" ref="N603:V603" si="64">SUM(N585:N602)</f>
        <v>2628534</v>
      </c>
      <c r="O603" s="361">
        <f>SUM(O585:O602)</f>
        <v>2855198</v>
      </c>
      <c r="P603" s="362">
        <f t="shared" si="64"/>
        <v>2801379</v>
      </c>
      <c r="Q603" s="362">
        <f t="shared" si="64"/>
        <v>3131811</v>
      </c>
      <c r="R603" s="361">
        <f t="shared" si="64"/>
        <v>2641091</v>
      </c>
      <c r="S603" s="361">
        <f t="shared" si="64"/>
        <v>2671613</v>
      </c>
      <c r="T603" s="361">
        <f t="shared" si="64"/>
        <v>2661617</v>
      </c>
      <c r="U603" s="361">
        <f t="shared" si="64"/>
        <v>2693959</v>
      </c>
      <c r="V603" s="361">
        <f t="shared" si="64"/>
        <v>2724189</v>
      </c>
    </row>
    <row r="604" spans="1:22" ht="15" customHeight="1">
      <c r="A604" s="337"/>
      <c r="B604" s="337"/>
      <c r="C604" s="337"/>
      <c r="D604" s="337"/>
      <c r="E604" s="337"/>
      <c r="F604" s="337"/>
      <c r="G604" s="337"/>
      <c r="H604" s="337"/>
      <c r="I604" s="337"/>
      <c r="J604" s="337"/>
      <c r="K604" s="337"/>
      <c r="L604" s="229"/>
      <c r="N604" s="359"/>
      <c r="O604" s="359"/>
      <c r="P604" s="360"/>
      <c r="Q604" s="255"/>
      <c r="R604" s="254"/>
      <c r="S604" s="254"/>
      <c r="T604" s="254"/>
      <c r="U604" s="254"/>
      <c r="V604" s="254"/>
    </row>
    <row r="605" spans="1:22" ht="24" customHeight="1">
      <c r="A605" s="425" t="s">
        <v>1505</v>
      </c>
      <c r="B605" s="337"/>
      <c r="C605" s="337"/>
      <c r="D605" s="337"/>
      <c r="E605" s="337"/>
      <c r="F605" s="337"/>
      <c r="G605" s="337"/>
      <c r="H605" s="337"/>
      <c r="I605" s="337"/>
      <c r="J605" s="337"/>
      <c r="K605" s="337"/>
      <c r="L605" s="229"/>
      <c r="N605" s="359"/>
      <c r="O605" s="359"/>
      <c r="P605" s="360"/>
      <c r="Q605" s="255"/>
      <c r="R605" s="254"/>
      <c r="S605" s="254"/>
      <c r="T605" s="254"/>
      <c r="U605" s="254"/>
      <c r="V605" s="254"/>
    </row>
    <row r="606" spans="1:22" ht="24" customHeight="1">
      <c r="A606" s="421" t="s">
        <v>439</v>
      </c>
      <c r="B606" s="422"/>
      <c r="C606" s="422"/>
      <c r="D606" s="421" t="s">
        <v>1238</v>
      </c>
      <c r="E606" s="422"/>
      <c r="F606" s="422"/>
      <c r="G606" s="422"/>
      <c r="H606" s="422"/>
      <c r="I606" s="422"/>
      <c r="J606" s="422"/>
      <c r="K606" s="422"/>
      <c r="L606" s="237"/>
      <c r="M606" s="263"/>
      <c r="N606" s="348">
        <v>342790</v>
      </c>
      <c r="O606" s="348">
        <v>324679</v>
      </c>
      <c r="P606" s="349">
        <v>370000</v>
      </c>
      <c r="Q606" s="236">
        <v>350000</v>
      </c>
      <c r="R606" s="235">
        <v>327697</v>
      </c>
      <c r="S606" s="235">
        <v>327697</v>
      </c>
      <c r="T606" s="235">
        <v>327697</v>
      </c>
      <c r="U606" s="235">
        <v>327697</v>
      </c>
      <c r="V606" s="235">
        <v>327697</v>
      </c>
    </row>
    <row r="607" spans="1:22" ht="24" customHeight="1">
      <c r="A607" s="421" t="s">
        <v>440</v>
      </c>
      <c r="B607" s="422"/>
      <c r="C607" s="422"/>
      <c r="D607" s="421" t="s">
        <v>18</v>
      </c>
      <c r="E607" s="422"/>
      <c r="F607" s="422"/>
      <c r="G607" s="422"/>
      <c r="H607" s="422"/>
      <c r="I607" s="422"/>
      <c r="J607" s="422"/>
      <c r="K607" s="422"/>
      <c r="L607" s="237"/>
      <c r="M607" s="263"/>
      <c r="N607" s="348">
        <v>3945</v>
      </c>
      <c r="O607" s="348">
        <v>7782</v>
      </c>
      <c r="P607" s="349">
        <v>12000</v>
      </c>
      <c r="Q607" s="236">
        <v>12000</v>
      </c>
      <c r="R607" s="235">
        <v>12000</v>
      </c>
      <c r="S607" s="235">
        <v>12000</v>
      </c>
      <c r="T607" s="235">
        <v>12000</v>
      </c>
      <c r="U607" s="235">
        <v>12000</v>
      </c>
      <c r="V607" s="235">
        <v>12000</v>
      </c>
    </row>
    <row r="608" spans="1:22" ht="24" customHeight="1">
      <c r="A608" s="421" t="s">
        <v>441</v>
      </c>
      <c r="B608" s="422"/>
      <c r="C608" s="422"/>
      <c r="D608" s="421" t="s">
        <v>8</v>
      </c>
      <c r="E608" s="422"/>
      <c r="F608" s="422"/>
      <c r="G608" s="422"/>
      <c r="H608" s="422"/>
      <c r="I608" s="422"/>
      <c r="J608" s="422"/>
      <c r="K608" s="422"/>
      <c r="L608" s="237"/>
      <c r="M608" s="263"/>
      <c r="N608" s="348">
        <v>32128</v>
      </c>
      <c r="O608" s="348">
        <v>31777</v>
      </c>
      <c r="P608" s="349">
        <v>39852</v>
      </c>
      <c r="Q608" s="236">
        <v>39852</v>
      </c>
      <c r="R608" s="235">
        <v>37648</v>
      </c>
      <c r="S608" s="235">
        <v>37648</v>
      </c>
      <c r="T608" s="235">
        <v>37648</v>
      </c>
      <c r="U608" s="235">
        <v>37648</v>
      </c>
      <c r="V608" s="235">
        <v>37648</v>
      </c>
    </row>
    <row r="609" spans="1:22" ht="24" customHeight="1">
      <c r="A609" s="421" t="s">
        <v>442</v>
      </c>
      <c r="B609" s="337"/>
      <c r="C609" s="337"/>
      <c r="D609" s="421" t="s">
        <v>9</v>
      </c>
      <c r="E609" s="337"/>
      <c r="F609" s="337"/>
      <c r="G609" s="337"/>
      <c r="H609" s="337"/>
      <c r="I609" s="337"/>
      <c r="J609" s="337"/>
      <c r="K609" s="337"/>
      <c r="L609" s="229"/>
      <c r="M609" s="263"/>
      <c r="N609" s="348">
        <v>25322</v>
      </c>
      <c r="O609" s="348">
        <v>24507</v>
      </c>
      <c r="P609" s="349">
        <v>28200</v>
      </c>
      <c r="Q609" s="236">
        <v>28200</v>
      </c>
      <c r="R609" s="235">
        <v>25277</v>
      </c>
      <c r="S609" s="235">
        <v>25277</v>
      </c>
      <c r="T609" s="235">
        <v>25277</v>
      </c>
      <c r="U609" s="235">
        <v>25277</v>
      </c>
      <c r="V609" s="235">
        <v>25277</v>
      </c>
    </row>
    <row r="610" spans="1:22" ht="24" customHeight="1">
      <c r="A610" s="421" t="s">
        <v>807</v>
      </c>
      <c r="B610" s="337"/>
      <c r="C610" s="337"/>
      <c r="D610" s="421" t="s">
        <v>14</v>
      </c>
      <c r="E610" s="337"/>
      <c r="F610" s="337"/>
      <c r="G610" s="337"/>
      <c r="H610" s="337"/>
      <c r="I610" s="337"/>
      <c r="J610" s="337"/>
      <c r="K610" s="337"/>
      <c r="L610" s="229"/>
      <c r="M610" s="263"/>
      <c r="N610" s="348">
        <v>0</v>
      </c>
      <c r="O610" s="348">
        <v>0</v>
      </c>
      <c r="P610" s="349">
        <v>103966</v>
      </c>
      <c r="Q610" s="236">
        <v>103966</v>
      </c>
      <c r="R610" s="235">
        <v>102854</v>
      </c>
      <c r="S610" s="241">
        <v>113139</v>
      </c>
      <c r="T610" s="241">
        <v>124453</v>
      </c>
      <c r="U610" s="241">
        <v>131921</v>
      </c>
      <c r="V610" s="241">
        <v>139836</v>
      </c>
    </row>
    <row r="611" spans="1:22" ht="24" customHeight="1">
      <c r="A611" s="421" t="s">
        <v>808</v>
      </c>
      <c r="B611" s="337"/>
      <c r="C611" s="337"/>
      <c r="D611" s="421" t="s">
        <v>229</v>
      </c>
      <c r="E611" s="337"/>
      <c r="F611" s="337"/>
      <c r="G611" s="337"/>
      <c r="H611" s="337"/>
      <c r="I611" s="337"/>
      <c r="J611" s="337"/>
      <c r="K611" s="337"/>
      <c r="L611" s="229"/>
      <c r="M611" s="263"/>
      <c r="N611" s="348">
        <v>0</v>
      </c>
      <c r="O611" s="348">
        <v>0</v>
      </c>
      <c r="P611" s="349">
        <v>1210</v>
      </c>
      <c r="Q611" s="236">
        <v>1000</v>
      </c>
      <c r="R611" s="235">
        <v>722</v>
      </c>
      <c r="S611" s="241">
        <v>729</v>
      </c>
      <c r="T611" s="241">
        <v>737</v>
      </c>
      <c r="U611" s="241">
        <v>744</v>
      </c>
      <c r="V611" s="241">
        <v>751</v>
      </c>
    </row>
    <row r="612" spans="1:22" ht="24" customHeight="1">
      <c r="A612" s="421" t="s">
        <v>809</v>
      </c>
      <c r="B612" s="337"/>
      <c r="C612" s="337"/>
      <c r="D612" s="421" t="s">
        <v>819</v>
      </c>
      <c r="E612" s="337"/>
      <c r="F612" s="337"/>
      <c r="G612" s="337"/>
      <c r="H612" s="337"/>
      <c r="I612" s="337"/>
      <c r="J612" s="337"/>
      <c r="K612" s="337"/>
      <c r="L612" s="229"/>
      <c r="M612" s="263"/>
      <c r="N612" s="348">
        <v>0</v>
      </c>
      <c r="O612" s="348">
        <v>0</v>
      </c>
      <c r="P612" s="349">
        <v>7201</v>
      </c>
      <c r="Q612" s="236">
        <v>6700</v>
      </c>
      <c r="R612" s="235">
        <v>6599</v>
      </c>
      <c r="S612" s="241">
        <v>7259</v>
      </c>
      <c r="T612" s="241">
        <v>7985</v>
      </c>
      <c r="U612" s="241">
        <v>8464</v>
      </c>
      <c r="V612" s="241">
        <v>8972</v>
      </c>
    </row>
    <row r="613" spans="1:22" ht="24" customHeight="1">
      <c r="A613" s="421" t="s">
        <v>827</v>
      </c>
      <c r="B613" s="337"/>
      <c r="C613" s="337"/>
      <c r="D613" s="421" t="s">
        <v>821</v>
      </c>
      <c r="E613" s="337"/>
      <c r="F613" s="337"/>
      <c r="G613" s="337"/>
      <c r="H613" s="337"/>
      <c r="I613" s="337"/>
      <c r="J613" s="337"/>
      <c r="K613" s="337"/>
      <c r="L613" s="229"/>
      <c r="M613" s="263"/>
      <c r="N613" s="348">
        <v>0</v>
      </c>
      <c r="O613" s="348">
        <v>0</v>
      </c>
      <c r="P613" s="349">
        <v>829</v>
      </c>
      <c r="Q613" s="236">
        <v>750</v>
      </c>
      <c r="R613" s="235">
        <v>729</v>
      </c>
      <c r="S613" s="241">
        <v>802</v>
      </c>
      <c r="T613" s="241">
        <v>882</v>
      </c>
      <c r="U613" s="241">
        <v>935</v>
      </c>
      <c r="V613" s="241">
        <v>991</v>
      </c>
    </row>
    <row r="614" spans="1:22" ht="24" customHeight="1">
      <c r="A614" s="421" t="s">
        <v>790</v>
      </c>
      <c r="B614" s="337"/>
      <c r="C614" s="337"/>
      <c r="D614" s="421" t="s">
        <v>227</v>
      </c>
      <c r="E614" s="337"/>
      <c r="F614" s="337"/>
      <c r="G614" s="337"/>
      <c r="H614" s="337"/>
      <c r="I614" s="337"/>
      <c r="J614" s="337"/>
      <c r="K614" s="337"/>
      <c r="L614" s="229"/>
      <c r="M614" s="263"/>
      <c r="N614" s="348">
        <v>0</v>
      </c>
      <c r="O614" s="348">
        <v>0</v>
      </c>
      <c r="P614" s="349">
        <v>6000</v>
      </c>
      <c r="Q614" s="236">
        <v>4000</v>
      </c>
      <c r="R614" s="235">
        <v>4000</v>
      </c>
      <c r="S614" s="235">
        <v>4000</v>
      </c>
      <c r="T614" s="235">
        <v>4000</v>
      </c>
      <c r="U614" s="235">
        <v>4000</v>
      </c>
      <c r="V614" s="235">
        <v>4000</v>
      </c>
    </row>
    <row r="615" spans="1:22" ht="24" customHeight="1">
      <c r="A615" s="421" t="s">
        <v>788</v>
      </c>
      <c r="B615" s="337"/>
      <c r="C615" s="337"/>
      <c r="D615" s="421" t="s">
        <v>300</v>
      </c>
      <c r="E615" s="337"/>
      <c r="F615" s="337"/>
      <c r="G615" s="337"/>
      <c r="H615" s="337"/>
      <c r="I615" s="337"/>
      <c r="J615" s="337"/>
      <c r="K615" s="337"/>
      <c r="L615" s="229"/>
      <c r="M615" s="263"/>
      <c r="N615" s="348">
        <v>0</v>
      </c>
      <c r="O615" s="348">
        <v>0</v>
      </c>
      <c r="P615" s="349">
        <v>32462</v>
      </c>
      <c r="Q615" s="236">
        <v>24000</v>
      </c>
      <c r="R615" s="235">
        <v>24510</v>
      </c>
      <c r="S615" s="235">
        <v>25981</v>
      </c>
      <c r="T615" s="235">
        <v>27539</v>
      </c>
      <c r="U615" s="235">
        <v>29192</v>
      </c>
      <c r="V615" s="235">
        <v>30943</v>
      </c>
    </row>
    <row r="616" spans="1:22" ht="24" customHeight="1">
      <c r="A616" s="421" t="s">
        <v>1257</v>
      </c>
      <c r="B616" s="422"/>
      <c r="C616" s="422"/>
      <c r="D616" s="421" t="s">
        <v>1264</v>
      </c>
      <c r="E616" s="422"/>
      <c r="F616" s="422"/>
      <c r="G616" s="422"/>
      <c r="H616" s="422"/>
      <c r="I616" s="422"/>
      <c r="J616" s="422"/>
      <c r="K616" s="422"/>
      <c r="L616" s="237"/>
      <c r="M616" s="279"/>
      <c r="N616" s="351">
        <v>91863</v>
      </c>
      <c r="O616" s="350">
        <v>91863</v>
      </c>
      <c r="P616" s="353">
        <v>0</v>
      </c>
      <c r="Q616" s="243">
        <v>0</v>
      </c>
      <c r="R616" s="239">
        <v>0</v>
      </c>
      <c r="S616" s="239">
        <v>0</v>
      </c>
      <c r="T616" s="239">
        <v>0</v>
      </c>
      <c r="U616" s="239">
        <v>0</v>
      </c>
      <c r="V616" s="239">
        <v>0</v>
      </c>
    </row>
    <row r="617" spans="1:22" ht="24" customHeight="1">
      <c r="A617" s="421" t="s">
        <v>1183</v>
      </c>
      <c r="B617" s="337"/>
      <c r="C617" s="337"/>
      <c r="D617" s="337" t="s">
        <v>1180</v>
      </c>
      <c r="E617" s="337"/>
      <c r="F617" s="337"/>
      <c r="G617" s="337"/>
      <c r="H617" s="337"/>
      <c r="I617" s="337"/>
      <c r="J617" s="337"/>
      <c r="K617" s="337"/>
      <c r="L617" s="229"/>
      <c r="M617" s="263"/>
      <c r="N617" s="348">
        <v>0</v>
      </c>
      <c r="O617" s="348">
        <v>11970</v>
      </c>
      <c r="P617" s="349">
        <v>0</v>
      </c>
      <c r="Q617" s="236">
        <f t="shared" ref="Q617:V617" si="65">Q586</f>
        <v>54590</v>
      </c>
      <c r="R617" s="235">
        <f t="shared" si="65"/>
        <v>0</v>
      </c>
      <c r="S617" s="235">
        <f t="shared" si="65"/>
        <v>0</v>
      </c>
      <c r="T617" s="235">
        <f t="shared" si="65"/>
        <v>0</v>
      </c>
      <c r="U617" s="235">
        <f t="shared" si="65"/>
        <v>0</v>
      </c>
      <c r="V617" s="235">
        <f t="shared" si="65"/>
        <v>0</v>
      </c>
    </row>
    <row r="618" spans="1:22" ht="24" customHeight="1">
      <c r="A618" s="421" t="s">
        <v>443</v>
      </c>
      <c r="B618" s="422"/>
      <c r="C618" s="422"/>
      <c r="D618" s="421" t="s">
        <v>108</v>
      </c>
      <c r="E618" s="422"/>
      <c r="F618" s="422"/>
      <c r="G618" s="422"/>
      <c r="H618" s="422"/>
      <c r="I618" s="422"/>
      <c r="J618" s="422"/>
      <c r="K618" s="422"/>
      <c r="L618" s="237"/>
      <c r="M618" s="263"/>
      <c r="N618" s="348">
        <v>1842</v>
      </c>
      <c r="O618" s="348">
        <v>330</v>
      </c>
      <c r="P618" s="349">
        <v>2000</v>
      </c>
      <c r="Q618" s="236">
        <v>2000</v>
      </c>
      <c r="R618" s="235">
        <v>2000</v>
      </c>
      <c r="S618" s="235">
        <v>2000</v>
      </c>
      <c r="T618" s="235">
        <v>2000</v>
      </c>
      <c r="U618" s="235">
        <v>2000</v>
      </c>
      <c r="V618" s="235">
        <v>2000</v>
      </c>
    </row>
    <row r="619" spans="1:22" ht="24" customHeight="1">
      <c r="A619" s="421" t="s">
        <v>444</v>
      </c>
      <c r="B619" s="337"/>
      <c r="C619" s="337"/>
      <c r="D619" s="421" t="s">
        <v>1487</v>
      </c>
      <c r="E619" s="337"/>
      <c r="F619" s="337"/>
      <c r="G619" s="422"/>
      <c r="H619" s="422"/>
      <c r="I619" s="422"/>
      <c r="J619" s="422"/>
      <c r="K619" s="422"/>
      <c r="L619" s="237"/>
      <c r="M619" s="263"/>
      <c r="N619" s="348">
        <v>390</v>
      </c>
      <c r="O619" s="348">
        <v>287</v>
      </c>
      <c r="P619" s="349">
        <v>1600</v>
      </c>
      <c r="Q619" s="236">
        <v>1600</v>
      </c>
      <c r="R619" s="235">
        <v>1600</v>
      </c>
      <c r="S619" s="235">
        <v>1600</v>
      </c>
      <c r="T619" s="235">
        <v>1600</v>
      </c>
      <c r="U619" s="235">
        <v>1600</v>
      </c>
      <c r="V619" s="235">
        <v>1600</v>
      </c>
    </row>
    <row r="620" spans="1:22" ht="24" customHeight="1">
      <c r="A620" s="421" t="s">
        <v>445</v>
      </c>
      <c r="B620" s="337"/>
      <c r="C620" s="337"/>
      <c r="D620" s="421" t="s">
        <v>107</v>
      </c>
      <c r="E620" s="337"/>
      <c r="F620" s="337"/>
      <c r="G620" s="422"/>
      <c r="H620" s="422"/>
      <c r="I620" s="422"/>
      <c r="J620" s="422"/>
      <c r="K620" s="422"/>
      <c r="L620" s="237"/>
      <c r="M620" s="263"/>
      <c r="N620" s="348">
        <v>934</v>
      </c>
      <c r="O620" s="348">
        <v>1172</v>
      </c>
      <c r="P620" s="349">
        <v>1000</v>
      </c>
      <c r="Q620" s="236">
        <v>1000</v>
      </c>
      <c r="R620" s="235">
        <v>1000</v>
      </c>
      <c r="S620" s="235">
        <v>1000</v>
      </c>
      <c r="T620" s="235">
        <v>1000</v>
      </c>
      <c r="U620" s="235">
        <v>1000</v>
      </c>
      <c r="V620" s="235">
        <v>1000</v>
      </c>
    </row>
    <row r="621" spans="1:22" ht="24" customHeight="1">
      <c r="A621" s="421" t="s">
        <v>446</v>
      </c>
      <c r="B621" s="337"/>
      <c r="C621" s="337"/>
      <c r="D621" s="421" t="s">
        <v>447</v>
      </c>
      <c r="E621" s="337"/>
      <c r="F621" s="337"/>
      <c r="G621" s="422"/>
      <c r="H621" s="422"/>
      <c r="I621" s="422"/>
      <c r="J621" s="422"/>
      <c r="K621" s="422"/>
      <c r="L621" s="237"/>
      <c r="M621" s="247"/>
      <c r="N621" s="346">
        <v>10265</v>
      </c>
      <c r="O621" s="346">
        <v>4294</v>
      </c>
      <c r="P621" s="347">
        <v>14000</v>
      </c>
      <c r="Q621" s="232">
        <v>14000</v>
      </c>
      <c r="R621" s="231">
        <v>14000</v>
      </c>
      <c r="S621" s="231">
        <v>14000</v>
      </c>
      <c r="T621" s="231">
        <v>14000</v>
      </c>
      <c r="U621" s="231">
        <v>14000</v>
      </c>
      <c r="V621" s="231">
        <v>14000</v>
      </c>
    </row>
    <row r="622" spans="1:22" ht="24" customHeight="1">
      <c r="A622" s="421" t="s">
        <v>448</v>
      </c>
      <c r="B622" s="337"/>
      <c r="C622" s="337"/>
      <c r="D622" s="421" t="s">
        <v>1488</v>
      </c>
      <c r="E622" s="337"/>
      <c r="F622" s="337"/>
      <c r="G622" s="422"/>
      <c r="H622" s="422"/>
      <c r="I622" s="422"/>
      <c r="J622" s="422"/>
      <c r="K622" s="422"/>
      <c r="L622" s="237"/>
      <c r="M622" s="263"/>
      <c r="N622" s="348">
        <v>1164</v>
      </c>
      <c r="O622" s="348">
        <v>86</v>
      </c>
      <c r="P622" s="349">
        <v>2500</v>
      </c>
      <c r="Q622" s="236">
        <v>2500</v>
      </c>
      <c r="R622" s="235">
        <v>2500</v>
      </c>
      <c r="S622" s="235">
        <v>2500</v>
      </c>
      <c r="T622" s="235">
        <v>2500</v>
      </c>
      <c r="U622" s="235">
        <v>2500</v>
      </c>
      <c r="V622" s="235">
        <v>2500</v>
      </c>
    </row>
    <row r="623" spans="1:22" ht="24" customHeight="1">
      <c r="A623" s="421" t="s">
        <v>449</v>
      </c>
      <c r="B623" s="337"/>
      <c r="C623" s="337"/>
      <c r="D623" s="421" t="s">
        <v>294</v>
      </c>
      <c r="E623" s="337"/>
      <c r="F623" s="422"/>
      <c r="G623" s="337"/>
      <c r="H623" s="337"/>
      <c r="I623" s="337"/>
      <c r="J623" s="337"/>
      <c r="K623" s="337"/>
      <c r="L623" s="229"/>
      <c r="M623" s="263"/>
      <c r="N623" s="348">
        <v>15598</v>
      </c>
      <c r="O623" s="348">
        <v>19205</v>
      </c>
      <c r="P623" s="349">
        <v>24500</v>
      </c>
      <c r="Q623" s="236">
        <f t="shared" ref="Q623:V623" si="66">22000+2500</f>
        <v>24500</v>
      </c>
      <c r="R623" s="235">
        <f t="shared" si="66"/>
        <v>24500</v>
      </c>
      <c r="S623" s="235">
        <f t="shared" si="66"/>
        <v>24500</v>
      </c>
      <c r="T623" s="235">
        <f t="shared" si="66"/>
        <v>24500</v>
      </c>
      <c r="U623" s="235">
        <f t="shared" si="66"/>
        <v>24500</v>
      </c>
      <c r="V623" s="235">
        <f t="shared" si="66"/>
        <v>24500</v>
      </c>
    </row>
    <row r="624" spans="1:22" ht="24" customHeight="1">
      <c r="A624" s="421" t="s">
        <v>995</v>
      </c>
      <c r="B624" s="337"/>
      <c r="C624" s="337"/>
      <c r="D624" s="421" t="s">
        <v>996</v>
      </c>
      <c r="E624" s="337"/>
      <c r="F624" s="422"/>
      <c r="G624" s="337"/>
      <c r="H624" s="337"/>
      <c r="I624" s="337"/>
      <c r="J624" s="337"/>
      <c r="K624" s="337"/>
      <c r="L624" s="229"/>
      <c r="M624" s="263"/>
      <c r="N624" s="348">
        <v>64626</v>
      </c>
      <c r="O624" s="348">
        <v>85003</v>
      </c>
      <c r="P624" s="349">
        <v>100000</v>
      </c>
      <c r="Q624" s="236">
        <v>100000</v>
      </c>
      <c r="R624" s="235">
        <v>100000</v>
      </c>
      <c r="S624" s="235">
        <v>100000</v>
      </c>
      <c r="T624" s="235">
        <v>100000</v>
      </c>
      <c r="U624" s="235">
        <v>100000</v>
      </c>
      <c r="V624" s="235">
        <v>100000</v>
      </c>
    </row>
    <row r="625" spans="1:22" ht="24" customHeight="1">
      <c r="A625" s="421" t="s">
        <v>971</v>
      </c>
      <c r="B625" s="337"/>
      <c r="C625" s="337"/>
      <c r="D625" s="421" t="s">
        <v>54</v>
      </c>
      <c r="E625" s="337"/>
      <c r="F625" s="422"/>
      <c r="G625" s="337"/>
      <c r="H625" s="337"/>
      <c r="I625" s="337"/>
      <c r="J625" s="337"/>
      <c r="K625" s="337"/>
      <c r="L625" s="229"/>
      <c r="M625" s="263"/>
      <c r="N625" s="348">
        <v>4123</v>
      </c>
      <c r="O625" s="348">
        <v>5888</v>
      </c>
      <c r="P625" s="349">
        <v>6200</v>
      </c>
      <c r="Q625" s="236">
        <v>6200</v>
      </c>
      <c r="R625" s="235">
        <v>6200</v>
      </c>
      <c r="S625" s="235">
        <v>6200</v>
      </c>
      <c r="T625" s="235">
        <v>6200</v>
      </c>
      <c r="U625" s="235">
        <v>6200</v>
      </c>
      <c r="V625" s="235">
        <v>6200</v>
      </c>
    </row>
    <row r="626" spans="1:22" ht="24" customHeight="1">
      <c r="A626" s="421" t="s">
        <v>450</v>
      </c>
      <c r="B626" s="422"/>
      <c r="C626" s="422"/>
      <c r="D626" s="421" t="s">
        <v>106</v>
      </c>
      <c r="E626" s="422"/>
      <c r="F626" s="422"/>
      <c r="G626" s="337"/>
      <c r="H626" s="337"/>
      <c r="I626" s="337"/>
      <c r="J626" s="337"/>
      <c r="K626" s="337"/>
      <c r="L626" s="229"/>
      <c r="M626" s="247"/>
      <c r="N626" s="346">
        <v>16716</v>
      </c>
      <c r="O626" s="346">
        <v>17167</v>
      </c>
      <c r="P626" s="347">
        <v>22000</v>
      </c>
      <c r="Q626" s="232">
        <v>22000</v>
      </c>
      <c r="R626" s="231">
        <v>22000</v>
      </c>
      <c r="S626" s="231">
        <v>22000</v>
      </c>
      <c r="T626" s="231">
        <v>22000</v>
      </c>
      <c r="U626" s="231">
        <v>22000</v>
      </c>
      <c r="V626" s="231">
        <v>22000</v>
      </c>
    </row>
    <row r="627" spans="1:22" ht="24" customHeight="1">
      <c r="A627" s="421" t="s">
        <v>451</v>
      </c>
      <c r="B627" s="337"/>
      <c r="C627" s="337"/>
      <c r="D627" s="421" t="s">
        <v>1489</v>
      </c>
      <c r="E627" s="337"/>
      <c r="F627" s="337"/>
      <c r="G627" s="337"/>
      <c r="H627" s="337"/>
      <c r="I627" s="337"/>
      <c r="J627" s="337"/>
      <c r="K627" s="337"/>
      <c r="L627" s="229"/>
      <c r="M627" s="263"/>
      <c r="N627" s="348">
        <v>899</v>
      </c>
      <c r="O627" s="348">
        <v>629</v>
      </c>
      <c r="P627" s="349">
        <v>1250</v>
      </c>
      <c r="Q627" s="236">
        <f t="shared" ref="Q627:V627" si="67">1000+250</f>
        <v>1250</v>
      </c>
      <c r="R627" s="235">
        <f t="shared" si="67"/>
        <v>1250</v>
      </c>
      <c r="S627" s="235">
        <f t="shared" si="67"/>
        <v>1250</v>
      </c>
      <c r="T627" s="235">
        <f t="shared" si="67"/>
        <v>1250</v>
      </c>
      <c r="U627" s="235">
        <f t="shared" si="67"/>
        <v>1250</v>
      </c>
      <c r="V627" s="235">
        <f t="shared" si="67"/>
        <v>1250</v>
      </c>
    </row>
    <row r="628" spans="1:22" ht="24" customHeight="1">
      <c r="A628" s="421" t="s">
        <v>452</v>
      </c>
      <c r="B628" s="337"/>
      <c r="C628" s="337"/>
      <c r="D628" s="421" t="s">
        <v>10</v>
      </c>
      <c r="E628" s="337"/>
      <c r="F628" s="337"/>
      <c r="G628" s="422"/>
      <c r="H628" s="422"/>
      <c r="I628" s="422"/>
      <c r="J628" s="422"/>
      <c r="K628" s="422"/>
      <c r="L628" s="237"/>
      <c r="M628" s="247"/>
      <c r="N628" s="346">
        <v>3695</v>
      </c>
      <c r="O628" s="346">
        <v>9755</v>
      </c>
      <c r="P628" s="347">
        <v>8800</v>
      </c>
      <c r="Q628" s="232">
        <v>10000</v>
      </c>
      <c r="R628" s="231">
        <v>10000</v>
      </c>
      <c r="S628" s="231">
        <v>10000</v>
      </c>
      <c r="T628" s="231">
        <v>10000</v>
      </c>
      <c r="U628" s="231">
        <v>10000</v>
      </c>
      <c r="V628" s="231">
        <v>10000</v>
      </c>
    </row>
    <row r="629" spans="1:22" ht="24" customHeight="1">
      <c r="A629" s="421" t="s">
        <v>453</v>
      </c>
      <c r="B629" s="337"/>
      <c r="C629" s="337"/>
      <c r="D629" s="421" t="s">
        <v>173</v>
      </c>
      <c r="E629" s="337"/>
      <c r="F629" s="337"/>
      <c r="G629" s="422"/>
      <c r="H629" s="422"/>
      <c r="I629" s="422"/>
      <c r="J629" s="422"/>
      <c r="K629" s="422"/>
      <c r="L629" s="237"/>
      <c r="M629" s="263"/>
      <c r="N629" s="348">
        <v>0</v>
      </c>
      <c r="O629" s="348"/>
      <c r="P629" s="349">
        <v>2000</v>
      </c>
      <c r="Q629" s="236">
        <v>2000</v>
      </c>
      <c r="R629" s="235">
        <v>2000</v>
      </c>
      <c r="S629" s="235">
        <v>2000</v>
      </c>
      <c r="T629" s="235">
        <v>2000</v>
      </c>
      <c r="U629" s="235">
        <v>2000</v>
      </c>
      <c r="V629" s="235">
        <v>2000</v>
      </c>
    </row>
    <row r="630" spans="1:22" ht="24" customHeight="1">
      <c r="A630" s="421" t="s">
        <v>454</v>
      </c>
      <c r="B630" s="422"/>
      <c r="C630" s="422"/>
      <c r="D630" s="421" t="s">
        <v>21</v>
      </c>
      <c r="E630" s="422"/>
      <c r="F630" s="422"/>
      <c r="G630" s="422"/>
      <c r="H630" s="422"/>
      <c r="I630" s="422"/>
      <c r="J630" s="422"/>
      <c r="K630" s="422"/>
      <c r="L630" s="237"/>
      <c r="M630" s="263"/>
      <c r="N630" s="348">
        <v>262977</v>
      </c>
      <c r="O630" s="350">
        <v>239606</v>
      </c>
      <c r="P630" s="353">
        <v>299250</v>
      </c>
      <c r="Q630" s="243">
        <v>270000</v>
      </c>
      <c r="R630" s="239">
        <v>283500</v>
      </c>
      <c r="S630" s="239">
        <v>297675</v>
      </c>
      <c r="T630" s="239">
        <v>312559</v>
      </c>
      <c r="U630" s="239">
        <v>328187</v>
      </c>
      <c r="V630" s="239">
        <v>344596</v>
      </c>
    </row>
    <row r="631" spans="1:22" ht="24" customHeight="1">
      <c r="A631" s="421" t="s">
        <v>455</v>
      </c>
      <c r="B631" s="337"/>
      <c r="C631" s="337"/>
      <c r="D631" s="421" t="s">
        <v>456</v>
      </c>
      <c r="E631" s="337"/>
      <c r="F631" s="337"/>
      <c r="G631" s="337"/>
      <c r="H631" s="337"/>
      <c r="I631" s="337"/>
      <c r="J631" s="337"/>
      <c r="K631" s="337"/>
      <c r="L631" s="229"/>
      <c r="M631" s="229"/>
      <c r="N631" s="377">
        <v>2422</v>
      </c>
      <c r="O631" s="377">
        <v>3426</v>
      </c>
      <c r="P631" s="378">
        <v>3500</v>
      </c>
      <c r="Q631" s="284">
        <v>3500</v>
      </c>
      <c r="R631" s="283">
        <v>4500</v>
      </c>
      <c r="S631" s="283">
        <v>4500</v>
      </c>
      <c r="T631" s="283">
        <v>4500</v>
      </c>
      <c r="U631" s="283">
        <v>4500</v>
      </c>
      <c r="V631" s="283">
        <v>4500</v>
      </c>
    </row>
    <row r="632" spans="1:22" ht="24" customHeight="1">
      <c r="A632" s="421" t="s">
        <v>457</v>
      </c>
      <c r="B632" s="422"/>
      <c r="C632" s="422"/>
      <c r="D632" s="421" t="s">
        <v>102</v>
      </c>
      <c r="E632" s="422"/>
      <c r="F632" s="422"/>
      <c r="G632" s="337"/>
      <c r="H632" s="337"/>
      <c r="I632" s="337"/>
      <c r="J632" s="337"/>
      <c r="K632" s="337"/>
      <c r="L632" s="229"/>
      <c r="M632" s="229"/>
      <c r="N632" s="377">
        <v>0</v>
      </c>
      <c r="O632" s="377">
        <v>396</v>
      </c>
      <c r="P632" s="378">
        <v>1000</v>
      </c>
      <c r="Q632" s="284">
        <v>1000</v>
      </c>
      <c r="R632" s="283">
        <v>1000</v>
      </c>
      <c r="S632" s="283">
        <v>1000</v>
      </c>
      <c r="T632" s="283">
        <v>1000</v>
      </c>
      <c r="U632" s="283">
        <v>1000</v>
      </c>
      <c r="V632" s="283">
        <v>1000</v>
      </c>
    </row>
    <row r="633" spans="1:22" ht="24" customHeight="1">
      <c r="A633" s="421" t="s">
        <v>1369</v>
      </c>
      <c r="B633" s="422"/>
      <c r="C633" s="422"/>
      <c r="D633" s="421" t="s">
        <v>1366</v>
      </c>
      <c r="E633" s="422"/>
      <c r="F633" s="422"/>
      <c r="G633" s="422"/>
      <c r="H633" s="422"/>
      <c r="I633" s="422"/>
      <c r="J633" s="422"/>
      <c r="K633" s="422"/>
      <c r="L633" s="237"/>
      <c r="M633" s="275"/>
      <c r="N633" s="372">
        <v>3855</v>
      </c>
      <c r="O633" s="372">
        <v>12832</v>
      </c>
      <c r="P633" s="379">
        <f>10000</f>
        <v>10000</v>
      </c>
      <c r="Q633" s="285">
        <f>10000</f>
        <v>10000</v>
      </c>
      <c r="R633" s="276">
        <v>5000</v>
      </c>
      <c r="S633" s="276">
        <v>5000</v>
      </c>
      <c r="T633" s="276">
        <v>5000</v>
      </c>
      <c r="U633" s="276">
        <v>5000</v>
      </c>
      <c r="V633" s="276">
        <v>5000</v>
      </c>
    </row>
    <row r="634" spans="1:22" ht="24" customHeight="1">
      <c r="A634" s="421" t="s">
        <v>968</v>
      </c>
      <c r="B634" s="422"/>
      <c r="C634" s="422"/>
      <c r="D634" s="421" t="s">
        <v>417</v>
      </c>
      <c r="E634" s="422"/>
      <c r="F634" s="422"/>
      <c r="G634" s="422"/>
      <c r="H634" s="422"/>
      <c r="I634" s="422"/>
      <c r="J634" s="422"/>
      <c r="K634" s="422"/>
      <c r="L634" s="237"/>
      <c r="M634" s="275"/>
      <c r="N634" s="372">
        <v>1552</v>
      </c>
      <c r="O634" s="372">
        <v>1552</v>
      </c>
      <c r="P634" s="379">
        <v>1600</v>
      </c>
      <c r="Q634" s="285">
        <v>1600</v>
      </c>
      <c r="R634" s="276">
        <v>1400</v>
      </c>
      <c r="S634" s="276">
        <v>1400</v>
      </c>
      <c r="T634" s="276">
        <v>1400</v>
      </c>
      <c r="U634" s="276">
        <v>1400</v>
      </c>
      <c r="V634" s="276">
        <v>1400</v>
      </c>
    </row>
    <row r="635" spans="1:22" ht="24" customHeight="1">
      <c r="A635" s="421" t="s">
        <v>458</v>
      </c>
      <c r="B635" s="422"/>
      <c r="C635" s="422"/>
      <c r="D635" s="421" t="s">
        <v>22</v>
      </c>
      <c r="E635" s="422"/>
      <c r="F635" s="422"/>
      <c r="G635" s="422"/>
      <c r="H635" s="422"/>
      <c r="I635" s="422"/>
      <c r="J635" s="422"/>
      <c r="K635" s="422"/>
      <c r="L635" s="237"/>
      <c r="M635" s="275"/>
      <c r="N635" s="372">
        <v>10424</v>
      </c>
      <c r="O635" s="372">
        <v>13370</v>
      </c>
      <c r="P635" s="379">
        <v>0</v>
      </c>
      <c r="Q635" s="285">
        <v>15000</v>
      </c>
      <c r="R635" s="276">
        <v>15000</v>
      </c>
      <c r="S635" s="276">
        <v>15000</v>
      </c>
      <c r="T635" s="276">
        <v>15000</v>
      </c>
      <c r="U635" s="276">
        <v>15000</v>
      </c>
      <c r="V635" s="276">
        <v>15000</v>
      </c>
    </row>
    <row r="636" spans="1:22" ht="24" customHeight="1">
      <c r="A636" s="421" t="s">
        <v>459</v>
      </c>
      <c r="B636" s="422"/>
      <c r="C636" s="422"/>
      <c r="D636" s="421" t="s">
        <v>114</v>
      </c>
      <c r="E636" s="422"/>
      <c r="F636" s="422"/>
      <c r="G636" s="422"/>
      <c r="H636" s="422"/>
      <c r="I636" s="422"/>
      <c r="J636" s="422"/>
      <c r="K636" s="422"/>
      <c r="L636" s="237"/>
      <c r="M636" s="263"/>
      <c r="N636" s="348">
        <v>2206</v>
      </c>
      <c r="O636" s="350">
        <v>3045</v>
      </c>
      <c r="P636" s="353">
        <v>4000</v>
      </c>
      <c r="Q636" s="243">
        <v>4000</v>
      </c>
      <c r="R636" s="239">
        <v>4000</v>
      </c>
      <c r="S636" s="239">
        <v>4000</v>
      </c>
      <c r="T636" s="239">
        <v>4000</v>
      </c>
      <c r="U636" s="239">
        <v>4000</v>
      </c>
      <c r="V636" s="239">
        <v>4000</v>
      </c>
    </row>
    <row r="637" spans="1:22" ht="24" customHeight="1">
      <c r="A637" s="421" t="s">
        <v>460</v>
      </c>
      <c r="B637" s="422"/>
      <c r="C637" s="422"/>
      <c r="D637" s="421" t="s">
        <v>13</v>
      </c>
      <c r="E637" s="422"/>
      <c r="F637" s="422"/>
      <c r="G637" s="422"/>
      <c r="H637" s="422"/>
      <c r="I637" s="422"/>
      <c r="J637" s="422"/>
      <c r="K637" s="422"/>
      <c r="L637" s="237"/>
      <c r="M637" s="263"/>
      <c r="N637" s="348">
        <v>21468</v>
      </c>
      <c r="O637" s="348">
        <v>16036</v>
      </c>
      <c r="P637" s="349">
        <v>21425</v>
      </c>
      <c r="Q637" s="236">
        <f>19425+2000</f>
        <v>21425</v>
      </c>
      <c r="R637" s="235">
        <v>25000</v>
      </c>
      <c r="S637" s="235">
        <v>25000</v>
      </c>
      <c r="T637" s="235">
        <v>25000</v>
      </c>
      <c r="U637" s="235">
        <v>25000</v>
      </c>
      <c r="V637" s="235">
        <v>25000</v>
      </c>
    </row>
    <row r="638" spans="1:22" ht="24" customHeight="1">
      <c r="A638" s="421" t="s">
        <v>1370</v>
      </c>
      <c r="B638" s="422"/>
      <c r="C638" s="422"/>
      <c r="D638" s="421" t="s">
        <v>1368</v>
      </c>
      <c r="E638" s="422"/>
      <c r="F638" s="422"/>
      <c r="G638" s="422"/>
      <c r="H638" s="422"/>
      <c r="I638" s="422"/>
      <c r="J638" s="422"/>
      <c r="K638" s="422"/>
      <c r="L638" s="237"/>
      <c r="M638" s="263"/>
      <c r="N638" s="348">
        <v>0</v>
      </c>
      <c r="O638" s="348">
        <v>0</v>
      </c>
      <c r="P638" s="349">
        <v>0</v>
      </c>
      <c r="Q638" s="236">
        <v>0</v>
      </c>
      <c r="R638" s="235">
        <v>7500</v>
      </c>
      <c r="S638" s="235">
        <v>7500</v>
      </c>
      <c r="T638" s="235">
        <v>7500</v>
      </c>
      <c r="U638" s="235">
        <v>7500</v>
      </c>
      <c r="V638" s="235">
        <v>7500</v>
      </c>
    </row>
    <row r="639" spans="1:22" ht="24" customHeight="1">
      <c r="A639" s="421" t="s">
        <v>461</v>
      </c>
      <c r="B639" s="422"/>
      <c r="C639" s="422"/>
      <c r="D639" s="421" t="s">
        <v>20</v>
      </c>
      <c r="E639" s="422"/>
      <c r="F639" s="422"/>
      <c r="G639" s="422"/>
      <c r="H639" s="422"/>
      <c r="I639" s="422"/>
      <c r="J639" s="422"/>
      <c r="K639" s="422"/>
      <c r="L639" s="237"/>
      <c r="M639" s="263"/>
      <c r="N639" s="348">
        <v>412</v>
      </c>
      <c r="O639" s="348">
        <v>459</v>
      </c>
      <c r="P639" s="349">
        <v>4000</v>
      </c>
      <c r="Q639" s="236">
        <v>4000</v>
      </c>
      <c r="R639" s="235">
        <f>1000+1000</f>
        <v>2000</v>
      </c>
      <c r="S639" s="235">
        <f>1000+1000</f>
        <v>2000</v>
      </c>
      <c r="T639" s="235">
        <f>1000+1000</f>
        <v>2000</v>
      </c>
      <c r="U639" s="235">
        <f>1000+1000</f>
        <v>2000</v>
      </c>
      <c r="V639" s="235">
        <f>1000+1000</f>
        <v>2000</v>
      </c>
    </row>
    <row r="640" spans="1:22" ht="24" customHeight="1">
      <c r="A640" s="421" t="s">
        <v>462</v>
      </c>
      <c r="B640" s="422"/>
      <c r="C640" s="422"/>
      <c r="D640" s="421" t="s">
        <v>304</v>
      </c>
      <c r="E640" s="422"/>
      <c r="F640" s="422"/>
      <c r="G640" s="422"/>
      <c r="H640" s="422"/>
      <c r="I640" s="422"/>
      <c r="J640" s="422"/>
      <c r="K640" s="422"/>
      <c r="L640" s="237"/>
      <c r="M640" s="263"/>
      <c r="N640" s="348">
        <v>338</v>
      </c>
      <c r="O640" s="348">
        <v>560</v>
      </c>
      <c r="P640" s="349">
        <v>6000</v>
      </c>
      <c r="Q640" s="236">
        <v>6000</v>
      </c>
      <c r="R640" s="235">
        <v>6000</v>
      </c>
      <c r="S640" s="235">
        <v>6000</v>
      </c>
      <c r="T640" s="235">
        <v>6000</v>
      </c>
      <c r="U640" s="235">
        <v>6000</v>
      </c>
      <c r="V640" s="235">
        <v>6000</v>
      </c>
    </row>
    <row r="641" spans="1:33" ht="24" customHeight="1">
      <c r="A641" s="421" t="s">
        <v>463</v>
      </c>
      <c r="B641" s="422"/>
      <c r="C641" s="422"/>
      <c r="D641" s="421" t="s">
        <v>464</v>
      </c>
      <c r="E641" s="422"/>
      <c r="F641" s="422"/>
      <c r="G641" s="422"/>
      <c r="H641" s="422"/>
      <c r="I641" s="422"/>
      <c r="J641" s="422"/>
      <c r="K641" s="422"/>
      <c r="L641" s="237"/>
      <c r="M641" s="263"/>
      <c r="N641" s="348">
        <v>176762</v>
      </c>
      <c r="O641" s="350">
        <f>262646-O624</f>
        <v>177643</v>
      </c>
      <c r="P641" s="353">
        <v>165000</v>
      </c>
      <c r="Q641" s="243">
        <v>165000</v>
      </c>
      <c r="R641" s="239">
        <v>155000</v>
      </c>
      <c r="S641" s="239">
        <v>155000</v>
      </c>
      <c r="T641" s="239">
        <v>155000</v>
      </c>
      <c r="U641" s="239">
        <v>155000</v>
      </c>
      <c r="V641" s="239">
        <v>155000</v>
      </c>
    </row>
    <row r="642" spans="1:33" ht="24" customHeight="1">
      <c r="A642" s="421" t="s">
        <v>465</v>
      </c>
      <c r="B642" s="422"/>
      <c r="C642" s="422"/>
      <c r="D642" s="421" t="s">
        <v>1490</v>
      </c>
      <c r="E642" s="422"/>
      <c r="F642" s="422"/>
      <c r="G642" s="422"/>
      <c r="H642" s="422"/>
      <c r="I642" s="422"/>
      <c r="J642" s="422"/>
      <c r="K642" s="422"/>
      <c r="L642" s="237"/>
      <c r="M642" s="263"/>
      <c r="N642" s="348">
        <v>995</v>
      </c>
      <c r="O642" s="348">
        <v>7368</v>
      </c>
      <c r="P642" s="349">
        <v>9500</v>
      </c>
      <c r="Q642" s="236">
        <f t="shared" ref="Q642:V642" si="68">9000+500</f>
        <v>9500</v>
      </c>
      <c r="R642" s="235">
        <f t="shared" si="68"/>
        <v>9500</v>
      </c>
      <c r="S642" s="235">
        <f t="shared" si="68"/>
        <v>9500</v>
      </c>
      <c r="T642" s="235">
        <f t="shared" si="68"/>
        <v>9500</v>
      </c>
      <c r="U642" s="235">
        <f t="shared" si="68"/>
        <v>9500</v>
      </c>
      <c r="V642" s="235">
        <f t="shared" si="68"/>
        <v>9500</v>
      </c>
    </row>
    <row r="643" spans="1:33" ht="24" customHeight="1">
      <c r="A643" s="421" t="s">
        <v>466</v>
      </c>
      <c r="B643" s="337"/>
      <c r="C643" s="337"/>
      <c r="D643" s="421" t="s">
        <v>1493</v>
      </c>
      <c r="E643" s="337"/>
      <c r="F643" s="337"/>
      <c r="G643" s="337"/>
      <c r="H643" s="337"/>
      <c r="I643" s="337"/>
      <c r="J643" s="337"/>
      <c r="K643" s="337"/>
      <c r="L643" s="229"/>
      <c r="M643" s="263"/>
      <c r="N643" s="348">
        <v>32136</v>
      </c>
      <c r="O643" s="348">
        <v>29092</v>
      </c>
      <c r="P643" s="349">
        <v>46000</v>
      </c>
      <c r="Q643" s="236">
        <f t="shared" ref="Q643:V643" si="69">6000+40000</f>
        <v>46000</v>
      </c>
      <c r="R643" s="235">
        <v>52000</v>
      </c>
      <c r="S643" s="235">
        <f t="shared" si="69"/>
        <v>46000</v>
      </c>
      <c r="T643" s="235">
        <f t="shared" si="69"/>
        <v>46000</v>
      </c>
      <c r="U643" s="235">
        <f t="shared" si="69"/>
        <v>46000</v>
      </c>
      <c r="V643" s="235">
        <f t="shared" si="69"/>
        <v>46000</v>
      </c>
    </row>
    <row r="644" spans="1:33" ht="24" customHeight="1">
      <c r="A644" s="421" t="s">
        <v>467</v>
      </c>
      <c r="B644" s="422"/>
      <c r="C644" s="422"/>
      <c r="D644" s="421" t="s">
        <v>182</v>
      </c>
      <c r="E644" s="422"/>
      <c r="F644" s="422"/>
      <c r="G644" s="422"/>
      <c r="H644" s="422"/>
      <c r="I644" s="422"/>
      <c r="J644" s="422"/>
      <c r="K644" s="422"/>
      <c r="L644" s="237"/>
      <c r="M644" s="263"/>
      <c r="N644" s="348">
        <v>30008</v>
      </c>
      <c r="O644" s="350">
        <v>33646</v>
      </c>
      <c r="P644" s="353">
        <v>38199</v>
      </c>
      <c r="Q644" s="243">
        <v>36001</v>
      </c>
      <c r="R644" s="239">
        <v>40873</v>
      </c>
      <c r="S644" s="239">
        <v>43734</v>
      </c>
      <c r="T644" s="239">
        <v>46795</v>
      </c>
      <c r="U644" s="239">
        <v>50071</v>
      </c>
      <c r="V644" s="239">
        <v>53576</v>
      </c>
    </row>
    <row r="645" spans="1:33" ht="24" customHeight="1">
      <c r="A645" s="421" t="s">
        <v>1507</v>
      </c>
      <c r="B645" s="422"/>
      <c r="C645" s="422"/>
      <c r="D645" s="423" t="s">
        <v>1501</v>
      </c>
      <c r="E645" s="422"/>
      <c r="F645" s="422"/>
      <c r="G645" s="422"/>
      <c r="H645" s="422"/>
      <c r="I645" s="422"/>
      <c r="J645" s="422"/>
      <c r="K645" s="422"/>
      <c r="L645" s="237"/>
      <c r="M645" s="269"/>
      <c r="N645" s="350">
        <v>0</v>
      </c>
      <c r="O645" s="350">
        <v>0</v>
      </c>
      <c r="P645" s="353">
        <v>0</v>
      </c>
      <c r="Q645" s="243">
        <v>0</v>
      </c>
      <c r="R645" s="239">
        <v>206340</v>
      </c>
      <c r="S645" s="239">
        <v>845690</v>
      </c>
      <c r="T645" s="239">
        <v>972800</v>
      </c>
      <c r="U645" s="239">
        <v>667280</v>
      </c>
      <c r="V645" s="239">
        <v>107160</v>
      </c>
    </row>
    <row r="646" spans="1:33" ht="24" customHeight="1">
      <c r="A646" s="421" t="s">
        <v>960</v>
      </c>
      <c r="B646" s="436"/>
      <c r="C646" s="436"/>
      <c r="D646" s="421" t="s">
        <v>380</v>
      </c>
      <c r="E646" s="440"/>
      <c r="F646" s="436"/>
      <c r="G646" s="436"/>
      <c r="H646" s="436"/>
      <c r="I646" s="436"/>
      <c r="J646" s="436"/>
      <c r="K646" s="436"/>
      <c r="L646" s="310"/>
      <c r="M646" s="238"/>
      <c r="N646" s="350">
        <v>0</v>
      </c>
      <c r="O646" s="350">
        <v>0</v>
      </c>
      <c r="P646" s="353">
        <v>16000</v>
      </c>
      <c r="Q646" s="243">
        <v>16000</v>
      </c>
      <c r="R646" s="239">
        <v>10000</v>
      </c>
      <c r="S646" s="239">
        <v>10000</v>
      </c>
      <c r="T646" s="239">
        <v>10000</v>
      </c>
      <c r="U646" s="239">
        <v>10000</v>
      </c>
      <c r="V646" s="239">
        <v>10000</v>
      </c>
    </row>
    <row r="647" spans="1:33" ht="24" customHeight="1">
      <c r="A647" s="421" t="s">
        <v>1373</v>
      </c>
      <c r="B647" s="436"/>
      <c r="C647" s="436"/>
      <c r="D647" s="421" t="s">
        <v>381</v>
      </c>
      <c r="E647" s="440"/>
      <c r="F647" s="436"/>
      <c r="G647" s="436"/>
      <c r="H647" s="436"/>
      <c r="I647" s="436"/>
      <c r="J647" s="436"/>
      <c r="K647" s="436"/>
      <c r="L647" s="310"/>
      <c r="M647" s="238"/>
      <c r="N647" s="350">
        <v>0</v>
      </c>
      <c r="O647" s="350">
        <v>0</v>
      </c>
      <c r="P647" s="353">
        <v>0</v>
      </c>
      <c r="Q647" s="243">
        <v>0</v>
      </c>
      <c r="R647" s="239">
        <v>0</v>
      </c>
      <c r="S647" s="239">
        <v>18000</v>
      </c>
      <c r="T647" s="239">
        <v>0</v>
      </c>
      <c r="U647" s="239">
        <v>0</v>
      </c>
      <c r="V647" s="239">
        <v>0</v>
      </c>
    </row>
    <row r="648" spans="1:33" ht="24" customHeight="1">
      <c r="A648" s="421" t="s">
        <v>468</v>
      </c>
      <c r="B648" s="436"/>
      <c r="C648" s="436"/>
      <c r="D648" s="421" t="s">
        <v>374</v>
      </c>
      <c r="E648" s="440"/>
      <c r="F648" s="436"/>
      <c r="G648" s="436"/>
      <c r="H648" s="436"/>
      <c r="I648" s="436"/>
      <c r="J648" s="436"/>
      <c r="K648" s="436"/>
      <c r="L648" s="310"/>
      <c r="M648" s="279"/>
      <c r="N648" s="351">
        <v>0</v>
      </c>
      <c r="O648" s="351">
        <v>25054</v>
      </c>
      <c r="P648" s="352">
        <v>116000</v>
      </c>
      <c r="Q648" s="242">
        <v>75305</v>
      </c>
      <c r="R648" s="241">
        <v>129094</v>
      </c>
      <c r="S648" s="241">
        <v>129094</v>
      </c>
      <c r="T648" s="241">
        <v>129094</v>
      </c>
      <c r="U648" s="241">
        <v>129094</v>
      </c>
      <c r="V648" s="241">
        <v>129094</v>
      </c>
      <c r="W648" s="315"/>
    </row>
    <row r="649" spans="1:33" ht="24" customHeight="1">
      <c r="A649" s="421" t="s">
        <v>469</v>
      </c>
      <c r="B649" s="337"/>
      <c r="C649" s="337"/>
      <c r="D649" s="421" t="s">
        <v>470</v>
      </c>
      <c r="E649" s="337"/>
      <c r="F649" s="337"/>
      <c r="G649" s="337"/>
      <c r="H649" s="337"/>
      <c r="I649" s="337"/>
      <c r="J649" s="337"/>
      <c r="K649" s="337"/>
      <c r="L649" s="229"/>
      <c r="M649" s="234"/>
      <c r="N649" s="348">
        <v>275865</v>
      </c>
      <c r="O649" s="348">
        <v>275865</v>
      </c>
      <c r="P649" s="349">
        <v>160923</v>
      </c>
      <c r="Q649" s="236">
        <v>160921</v>
      </c>
      <c r="R649" s="235">
        <v>0</v>
      </c>
      <c r="S649" s="235">
        <v>0</v>
      </c>
      <c r="T649" s="235">
        <v>0</v>
      </c>
      <c r="U649" s="235">
        <v>0</v>
      </c>
      <c r="V649" s="235">
        <v>0</v>
      </c>
    </row>
    <row r="650" spans="1:33" ht="24" customHeight="1">
      <c r="A650" s="425" t="s">
        <v>471</v>
      </c>
      <c r="B650" s="425"/>
      <c r="C650" s="425"/>
      <c r="D650" s="425"/>
      <c r="E650" s="425"/>
      <c r="F650" s="425"/>
      <c r="G650" s="425"/>
      <c r="H650" s="425"/>
      <c r="I650" s="425"/>
      <c r="J650" s="425"/>
      <c r="K650" s="425"/>
      <c r="L650" s="257"/>
      <c r="M650" s="316"/>
      <c r="N650" s="361"/>
      <c r="O650" s="361"/>
      <c r="P650" s="360"/>
      <c r="Q650" s="255"/>
      <c r="R650" s="254"/>
      <c r="S650" s="254"/>
      <c r="T650" s="254"/>
      <c r="U650" s="254"/>
      <c r="V650" s="254"/>
      <c r="X650" s="332"/>
      <c r="Y650" s="332"/>
      <c r="Z650" s="332"/>
      <c r="AA650" s="332"/>
      <c r="AB650" s="332"/>
      <c r="AC650" s="332"/>
      <c r="AD650" s="332"/>
      <c r="AE650" s="332"/>
      <c r="AF650" s="332"/>
      <c r="AG650" s="332"/>
    </row>
    <row r="651" spans="1:33" ht="24" customHeight="1">
      <c r="A651" s="421" t="s">
        <v>472</v>
      </c>
      <c r="B651" s="422"/>
      <c r="C651" s="422"/>
      <c r="D651" s="421" t="s">
        <v>1417</v>
      </c>
      <c r="E651" s="422"/>
      <c r="F651" s="422"/>
      <c r="G651" s="422"/>
      <c r="H651" s="422"/>
      <c r="I651" s="422"/>
      <c r="J651" s="422"/>
      <c r="K651" s="422"/>
      <c r="L651" s="237"/>
      <c r="M651" s="263"/>
      <c r="N651" s="348">
        <v>10000</v>
      </c>
      <c r="O651" s="348">
        <v>10000</v>
      </c>
      <c r="P651" s="349">
        <v>10000</v>
      </c>
      <c r="Q651" s="236">
        <v>10000</v>
      </c>
      <c r="R651" s="235">
        <v>15000</v>
      </c>
      <c r="S651" s="235">
        <v>15000</v>
      </c>
      <c r="T651" s="235">
        <v>15000</v>
      </c>
      <c r="U651" s="235">
        <v>15000</v>
      </c>
      <c r="V651" s="235">
        <v>15000</v>
      </c>
      <c r="X651" s="311"/>
      <c r="Y651" s="311"/>
      <c r="Z651" s="311"/>
      <c r="AA651" s="311"/>
      <c r="AB651" s="311"/>
      <c r="AC651" s="311"/>
      <c r="AD651" s="311"/>
    </row>
    <row r="652" spans="1:33" ht="24" customHeight="1">
      <c r="A652" s="421" t="s">
        <v>473</v>
      </c>
      <c r="B652" s="422"/>
      <c r="C652" s="422"/>
      <c r="D652" s="421" t="s">
        <v>384</v>
      </c>
      <c r="E652" s="422"/>
      <c r="F652" s="422"/>
      <c r="G652" s="422"/>
      <c r="H652" s="422"/>
      <c r="I652" s="422"/>
      <c r="J652" s="422"/>
      <c r="K652" s="422"/>
      <c r="L652" s="237"/>
      <c r="M652" s="279"/>
      <c r="N652" s="351">
        <v>124266</v>
      </c>
      <c r="O652" s="351">
        <v>123866</v>
      </c>
      <c r="P652" s="349">
        <v>123454</v>
      </c>
      <c r="Q652" s="236">
        <v>123454</v>
      </c>
      <c r="R652" s="235">
        <v>123041</v>
      </c>
      <c r="S652" s="235">
        <v>122423</v>
      </c>
      <c r="T652" s="235">
        <v>121793</v>
      </c>
      <c r="U652" s="235">
        <v>121163</v>
      </c>
      <c r="V652" s="235">
        <v>120525</v>
      </c>
      <c r="X652" s="311"/>
      <c r="Y652" s="311"/>
      <c r="Z652" s="311"/>
      <c r="AA652" s="311"/>
      <c r="AB652" s="311"/>
      <c r="AC652" s="311"/>
      <c r="AD652" s="311"/>
    </row>
    <row r="653" spans="1:33" ht="24" customHeight="1">
      <c r="A653" s="425" t="s">
        <v>474</v>
      </c>
      <c r="B653" s="425"/>
      <c r="C653" s="425"/>
      <c r="D653" s="425"/>
      <c r="E653" s="425"/>
      <c r="F653" s="425"/>
      <c r="G653" s="425"/>
      <c r="H653" s="425"/>
      <c r="I653" s="425"/>
      <c r="J653" s="425"/>
      <c r="K653" s="425"/>
      <c r="L653" s="257"/>
      <c r="M653" s="316"/>
      <c r="N653" s="361"/>
      <c r="O653" s="361"/>
      <c r="P653" s="360"/>
      <c r="Q653" s="255"/>
      <c r="R653" s="254"/>
      <c r="S653" s="254"/>
      <c r="T653" s="254"/>
      <c r="U653" s="254"/>
      <c r="V653" s="254"/>
      <c r="X653" s="311"/>
      <c r="Y653" s="311"/>
      <c r="Z653" s="311"/>
      <c r="AA653" s="311"/>
      <c r="AB653" s="311"/>
      <c r="AC653" s="311"/>
      <c r="AD653" s="311"/>
    </row>
    <row r="654" spans="1:33" ht="24" customHeight="1">
      <c r="A654" s="421" t="s">
        <v>475</v>
      </c>
      <c r="B654" s="422"/>
      <c r="C654" s="422"/>
      <c r="D654" s="421" t="s">
        <v>1417</v>
      </c>
      <c r="E654" s="422"/>
      <c r="F654" s="422"/>
      <c r="G654" s="422"/>
      <c r="H654" s="422"/>
      <c r="I654" s="422"/>
      <c r="J654" s="422"/>
      <c r="K654" s="422"/>
      <c r="L654" s="237"/>
      <c r="M654" s="263"/>
      <c r="N654" s="348">
        <v>215000</v>
      </c>
      <c r="O654" s="348">
        <v>285000</v>
      </c>
      <c r="P654" s="349">
        <v>365000</v>
      </c>
      <c r="Q654" s="236">
        <v>365000</v>
      </c>
      <c r="R654" s="235">
        <v>0</v>
      </c>
      <c r="S654" s="235">
        <v>0</v>
      </c>
      <c r="T654" s="235">
        <v>0</v>
      </c>
      <c r="U654" s="235">
        <v>0</v>
      </c>
      <c r="V654" s="235">
        <v>0</v>
      </c>
      <c r="X654" s="311"/>
      <c r="Y654" s="311"/>
      <c r="Z654" s="311"/>
      <c r="AA654" s="311"/>
      <c r="AB654" s="311"/>
      <c r="AC654" s="311"/>
      <c r="AD654" s="311"/>
    </row>
    <row r="655" spans="1:33" ht="24" customHeight="1">
      <c r="A655" s="421" t="s">
        <v>476</v>
      </c>
      <c r="B655" s="422"/>
      <c r="C655" s="422"/>
      <c r="D655" s="421" t="s">
        <v>384</v>
      </c>
      <c r="E655" s="422"/>
      <c r="F655" s="422"/>
      <c r="G655" s="422"/>
      <c r="H655" s="422"/>
      <c r="I655" s="422"/>
      <c r="J655" s="422"/>
      <c r="K655" s="422"/>
      <c r="L655" s="237"/>
      <c r="M655" s="279"/>
      <c r="N655" s="351">
        <v>0</v>
      </c>
      <c r="O655" s="351">
        <v>0</v>
      </c>
      <c r="P655" s="352">
        <v>0</v>
      </c>
      <c r="Q655" s="242">
        <v>0</v>
      </c>
      <c r="R655" s="241">
        <v>0</v>
      </c>
      <c r="S655" s="241">
        <v>0</v>
      </c>
      <c r="T655" s="241">
        <v>0</v>
      </c>
      <c r="U655" s="241">
        <v>0</v>
      </c>
      <c r="V655" s="241">
        <v>0</v>
      </c>
      <c r="X655" s="311"/>
      <c r="Y655" s="311"/>
      <c r="Z655" s="311"/>
      <c r="AA655" s="311"/>
      <c r="AB655" s="311"/>
      <c r="AC655" s="311"/>
      <c r="AD655" s="311"/>
    </row>
    <row r="656" spans="1:33" ht="24" customHeight="1">
      <c r="A656" s="425" t="s">
        <v>477</v>
      </c>
      <c r="B656" s="425"/>
      <c r="C656" s="425"/>
      <c r="D656" s="425"/>
      <c r="E656" s="425"/>
      <c r="F656" s="425"/>
      <c r="G656" s="425"/>
      <c r="H656" s="425"/>
      <c r="I656" s="425"/>
      <c r="J656" s="425"/>
      <c r="K656" s="425"/>
      <c r="L656" s="257"/>
      <c r="M656" s="316"/>
      <c r="N656" s="361"/>
      <c r="O656" s="361"/>
      <c r="P656" s="360"/>
      <c r="Q656" s="255"/>
      <c r="R656" s="254"/>
      <c r="S656" s="254"/>
      <c r="T656" s="254"/>
      <c r="U656" s="254"/>
      <c r="V656" s="254"/>
      <c r="X656" s="311"/>
      <c r="Y656" s="311"/>
      <c r="Z656" s="311"/>
      <c r="AA656" s="311"/>
      <c r="AB656" s="311"/>
      <c r="AC656" s="311"/>
      <c r="AD656" s="311"/>
    </row>
    <row r="657" spans="1:30" ht="24" customHeight="1">
      <c r="A657" s="421" t="s">
        <v>478</v>
      </c>
      <c r="B657" s="422"/>
      <c r="C657" s="422"/>
      <c r="D657" s="421" t="s">
        <v>1417</v>
      </c>
      <c r="E657" s="422"/>
      <c r="F657" s="422"/>
      <c r="G657" s="422"/>
      <c r="H657" s="422"/>
      <c r="I657" s="422"/>
      <c r="J657" s="422"/>
      <c r="K657" s="422"/>
      <c r="L657" s="237"/>
      <c r="M657" s="263"/>
      <c r="N657" s="348">
        <v>0</v>
      </c>
      <c r="O657" s="348">
        <v>0</v>
      </c>
      <c r="P657" s="349">
        <v>0</v>
      </c>
      <c r="Q657" s="236">
        <v>0</v>
      </c>
      <c r="R657" s="235">
        <v>100000</v>
      </c>
      <c r="S657" s="235">
        <v>100000</v>
      </c>
      <c r="T657" s="235">
        <v>100000</v>
      </c>
      <c r="U657" s="235">
        <v>100000</v>
      </c>
      <c r="V657" s="235">
        <v>100000</v>
      </c>
      <c r="X657" s="311"/>
      <c r="Y657" s="311"/>
      <c r="Z657" s="311"/>
      <c r="AA657" s="311"/>
      <c r="AB657" s="311"/>
      <c r="AC657" s="311"/>
      <c r="AD657" s="311"/>
    </row>
    <row r="658" spans="1:30" ht="24" customHeight="1">
      <c r="A658" s="421" t="s">
        <v>479</v>
      </c>
      <c r="B658" s="422"/>
      <c r="C658" s="422"/>
      <c r="D658" s="421" t="s">
        <v>384</v>
      </c>
      <c r="E658" s="422"/>
      <c r="F658" s="422"/>
      <c r="G658" s="422"/>
      <c r="H658" s="422"/>
      <c r="I658" s="422"/>
      <c r="J658" s="422"/>
      <c r="K658" s="422"/>
      <c r="L658" s="237"/>
      <c r="M658" s="279"/>
      <c r="N658" s="351">
        <v>33150</v>
      </c>
      <c r="O658" s="351">
        <v>33150</v>
      </c>
      <c r="P658" s="349">
        <v>33150</v>
      </c>
      <c r="Q658" s="236">
        <v>33150</v>
      </c>
      <c r="R658" s="235">
        <v>33150</v>
      </c>
      <c r="S658" s="235">
        <v>29350</v>
      </c>
      <c r="T658" s="235">
        <v>25450</v>
      </c>
      <c r="U658" s="235">
        <v>21450</v>
      </c>
      <c r="V658" s="235">
        <v>17300</v>
      </c>
      <c r="X658" s="311"/>
      <c r="Y658" s="311"/>
      <c r="Z658" s="311"/>
      <c r="AA658" s="311"/>
      <c r="AB658" s="311"/>
      <c r="AC658" s="311"/>
      <c r="AD658" s="311"/>
    </row>
    <row r="659" spans="1:30" ht="24" customHeight="1">
      <c r="A659" s="425" t="s">
        <v>480</v>
      </c>
      <c r="B659" s="425"/>
      <c r="C659" s="425"/>
      <c r="D659" s="425"/>
      <c r="E659" s="425"/>
      <c r="F659" s="425"/>
      <c r="G659" s="425"/>
      <c r="H659" s="425"/>
      <c r="I659" s="425"/>
      <c r="J659" s="425"/>
      <c r="K659" s="425"/>
      <c r="L659" s="257"/>
      <c r="M659" s="316"/>
      <c r="N659" s="361"/>
      <c r="O659" s="361"/>
      <c r="P659" s="360"/>
      <c r="Q659" s="255"/>
      <c r="R659" s="254"/>
      <c r="S659" s="254"/>
      <c r="T659" s="254"/>
      <c r="U659" s="254"/>
      <c r="V659" s="254"/>
      <c r="X659" s="311"/>
      <c r="Y659" s="311"/>
      <c r="Z659" s="311"/>
      <c r="AA659" s="311"/>
      <c r="AB659" s="311"/>
      <c r="AC659" s="311"/>
      <c r="AD659" s="311"/>
    </row>
    <row r="660" spans="1:30" ht="24" customHeight="1">
      <c r="A660" s="421" t="s">
        <v>481</v>
      </c>
      <c r="B660" s="422"/>
      <c r="C660" s="422"/>
      <c r="D660" s="421" t="s">
        <v>1417</v>
      </c>
      <c r="E660" s="422"/>
      <c r="F660" s="422"/>
      <c r="G660" s="422"/>
      <c r="H660" s="422"/>
      <c r="I660" s="422"/>
      <c r="J660" s="422"/>
      <c r="K660" s="422"/>
      <c r="L660" s="237"/>
      <c r="M660" s="263"/>
      <c r="N660" s="348">
        <v>70000</v>
      </c>
      <c r="O660" s="348">
        <v>70000</v>
      </c>
      <c r="P660" s="349">
        <v>355000</v>
      </c>
      <c r="Q660" s="236">
        <v>355000</v>
      </c>
      <c r="R660" s="235">
        <v>405000</v>
      </c>
      <c r="S660" s="235">
        <v>420000</v>
      </c>
      <c r="T660" s="235">
        <v>435000</v>
      </c>
      <c r="U660" s="235">
        <v>460000</v>
      </c>
      <c r="V660" s="235">
        <v>475000</v>
      </c>
      <c r="X660" s="311"/>
      <c r="Y660" s="311"/>
      <c r="Z660" s="311"/>
      <c r="AA660" s="311"/>
      <c r="AB660" s="311"/>
      <c r="AC660" s="311"/>
      <c r="AD660" s="311"/>
    </row>
    <row r="661" spans="1:30" ht="24" customHeight="1">
      <c r="A661" s="421" t="s">
        <v>482</v>
      </c>
      <c r="B661" s="422"/>
      <c r="C661" s="422"/>
      <c r="D661" s="421" t="s">
        <v>384</v>
      </c>
      <c r="E661" s="422"/>
      <c r="F661" s="422"/>
      <c r="G661" s="422"/>
      <c r="H661" s="422"/>
      <c r="I661" s="422"/>
      <c r="J661" s="422"/>
      <c r="K661" s="422"/>
      <c r="L661" s="237"/>
      <c r="M661" s="279"/>
      <c r="N661" s="351">
        <v>91306</v>
      </c>
      <c r="O661" s="351">
        <v>88506</v>
      </c>
      <c r="P661" s="349">
        <v>219806</v>
      </c>
      <c r="Q661" s="236">
        <v>219806</v>
      </c>
      <c r="R661" s="235">
        <v>205606</v>
      </c>
      <c r="S661" s="235">
        <v>189406</v>
      </c>
      <c r="T661" s="235">
        <v>172606</v>
      </c>
      <c r="U661" s="235">
        <v>155206</v>
      </c>
      <c r="V661" s="235">
        <v>136806</v>
      </c>
      <c r="X661" s="311"/>
      <c r="Y661" s="311"/>
      <c r="Z661" s="311"/>
      <c r="AA661" s="311"/>
      <c r="AB661" s="311"/>
      <c r="AC661" s="311"/>
      <c r="AD661" s="311"/>
    </row>
    <row r="662" spans="1:30" ht="24" customHeight="1">
      <c r="A662" s="425" t="s">
        <v>483</v>
      </c>
      <c r="B662" s="425"/>
      <c r="C662" s="425"/>
      <c r="D662" s="425"/>
      <c r="E662" s="425"/>
      <c r="F662" s="425"/>
      <c r="G662" s="425"/>
      <c r="H662" s="425"/>
      <c r="I662" s="425"/>
      <c r="J662" s="425"/>
      <c r="K662" s="425"/>
      <c r="L662" s="257"/>
      <c r="M662" s="316"/>
      <c r="N662" s="361"/>
      <c r="O662" s="361"/>
      <c r="P662" s="360"/>
      <c r="Q662" s="255"/>
      <c r="R662" s="254"/>
      <c r="S662" s="254"/>
      <c r="T662" s="254"/>
      <c r="U662" s="254"/>
      <c r="V662" s="254"/>
      <c r="X662" s="311"/>
      <c r="Y662" s="311"/>
      <c r="Z662" s="311"/>
      <c r="AA662" s="311"/>
      <c r="AB662" s="311"/>
      <c r="AC662" s="311"/>
      <c r="AD662" s="311"/>
    </row>
    <row r="663" spans="1:30" ht="24" customHeight="1">
      <c r="A663" s="421" t="s">
        <v>484</v>
      </c>
      <c r="B663" s="422"/>
      <c r="C663" s="422"/>
      <c r="D663" s="421" t="s">
        <v>1417</v>
      </c>
      <c r="E663" s="422"/>
      <c r="F663" s="422"/>
      <c r="G663" s="422"/>
      <c r="H663" s="422"/>
      <c r="I663" s="422"/>
      <c r="J663" s="422"/>
      <c r="K663" s="422"/>
      <c r="L663" s="237"/>
      <c r="M663" s="263"/>
      <c r="N663" s="348">
        <v>85000</v>
      </c>
      <c r="O663" s="348">
        <v>90000</v>
      </c>
      <c r="P663" s="349">
        <v>90000</v>
      </c>
      <c r="Q663" s="236">
        <v>90000</v>
      </c>
      <c r="R663" s="235">
        <v>95000</v>
      </c>
      <c r="S663" s="235">
        <v>100000</v>
      </c>
      <c r="T663" s="235">
        <v>105000</v>
      </c>
      <c r="U663" s="235">
        <v>110000</v>
      </c>
      <c r="V663" s="235">
        <v>110000</v>
      </c>
      <c r="X663" s="311"/>
      <c r="Y663" s="311"/>
      <c r="Z663" s="311"/>
      <c r="AA663" s="311"/>
      <c r="AB663" s="311"/>
      <c r="AC663" s="311"/>
      <c r="AD663" s="311"/>
    </row>
    <row r="664" spans="1:30" ht="24" customHeight="1">
      <c r="A664" s="421" t="s">
        <v>485</v>
      </c>
      <c r="B664" s="422"/>
      <c r="C664" s="422"/>
      <c r="D664" s="421" t="s">
        <v>384</v>
      </c>
      <c r="E664" s="422"/>
      <c r="F664" s="422"/>
      <c r="G664" s="422"/>
      <c r="H664" s="422"/>
      <c r="I664" s="422"/>
      <c r="J664" s="422"/>
      <c r="K664" s="422"/>
      <c r="L664" s="237"/>
      <c r="M664" s="279"/>
      <c r="N664" s="351">
        <v>80700</v>
      </c>
      <c r="O664" s="351">
        <v>77725</v>
      </c>
      <c r="P664" s="349">
        <v>74575</v>
      </c>
      <c r="Q664" s="236">
        <v>74575</v>
      </c>
      <c r="R664" s="235">
        <v>70975</v>
      </c>
      <c r="S664" s="235">
        <v>67175</v>
      </c>
      <c r="T664" s="235">
        <v>63175</v>
      </c>
      <c r="U664" s="235">
        <v>58975</v>
      </c>
      <c r="V664" s="235">
        <v>54575</v>
      </c>
      <c r="X664" s="311"/>
      <c r="Y664" s="311"/>
      <c r="Z664" s="311"/>
      <c r="AA664" s="311"/>
      <c r="AB664" s="311"/>
      <c r="AC664" s="311"/>
      <c r="AD664" s="311"/>
    </row>
    <row r="665" spans="1:30" ht="24" customHeight="1">
      <c r="A665" s="425" t="s">
        <v>486</v>
      </c>
      <c r="B665" s="425"/>
      <c r="C665" s="425"/>
      <c r="D665" s="425"/>
      <c r="E665" s="425"/>
      <c r="F665" s="425"/>
      <c r="G665" s="425"/>
      <c r="H665" s="425"/>
      <c r="I665" s="425"/>
      <c r="J665" s="425"/>
      <c r="K665" s="425"/>
      <c r="L665" s="257"/>
      <c r="M665" s="316"/>
      <c r="N665" s="361"/>
      <c r="O665" s="361"/>
      <c r="P665" s="360"/>
      <c r="Q665" s="255"/>
      <c r="R665" s="254"/>
      <c r="S665" s="254"/>
      <c r="T665" s="254"/>
      <c r="U665" s="254"/>
      <c r="V665" s="254"/>
      <c r="X665" s="311"/>
      <c r="Y665" s="311"/>
      <c r="Z665" s="311"/>
      <c r="AA665" s="311"/>
      <c r="AB665" s="311"/>
      <c r="AC665" s="311"/>
      <c r="AD665" s="311"/>
    </row>
    <row r="666" spans="1:30" ht="24" customHeight="1">
      <c r="A666" s="421" t="s">
        <v>487</v>
      </c>
      <c r="B666" s="422"/>
      <c r="C666" s="422"/>
      <c r="D666" s="421" t="s">
        <v>1417</v>
      </c>
      <c r="E666" s="422"/>
      <c r="F666" s="422"/>
      <c r="G666" s="422"/>
      <c r="H666" s="422"/>
      <c r="I666" s="422"/>
      <c r="J666" s="422"/>
      <c r="K666" s="422"/>
      <c r="L666" s="237"/>
      <c r="M666" s="263"/>
      <c r="N666" s="348">
        <v>83500</v>
      </c>
      <c r="O666" s="348">
        <v>85600</v>
      </c>
      <c r="P666" s="349">
        <v>87754</v>
      </c>
      <c r="Q666" s="236">
        <v>87754</v>
      </c>
      <c r="R666" s="235">
        <v>89961</v>
      </c>
      <c r="S666" s="235">
        <v>92224</v>
      </c>
      <c r="T666" s="235">
        <v>94544</v>
      </c>
      <c r="U666" s="235">
        <v>96923</v>
      </c>
      <c r="V666" s="235">
        <v>99361</v>
      </c>
      <c r="X666" s="311"/>
      <c r="Y666" s="311"/>
      <c r="Z666" s="311"/>
      <c r="AA666" s="311"/>
      <c r="AB666" s="311"/>
      <c r="AC666" s="311"/>
      <c r="AD666" s="311"/>
    </row>
    <row r="667" spans="1:30" ht="24" customHeight="1">
      <c r="A667" s="421" t="s">
        <v>488</v>
      </c>
      <c r="B667" s="422"/>
      <c r="C667" s="422"/>
      <c r="D667" s="421" t="s">
        <v>384</v>
      </c>
      <c r="E667" s="422"/>
      <c r="F667" s="422"/>
      <c r="G667" s="422"/>
      <c r="H667" s="422"/>
      <c r="I667" s="422"/>
      <c r="J667" s="422"/>
      <c r="K667" s="422"/>
      <c r="L667" s="237"/>
      <c r="M667" s="314"/>
      <c r="N667" s="373">
        <v>41531</v>
      </c>
      <c r="O667" s="373">
        <v>39430</v>
      </c>
      <c r="P667" s="370">
        <v>37277</v>
      </c>
      <c r="Q667" s="272">
        <v>37277</v>
      </c>
      <c r="R667" s="271">
        <v>35069</v>
      </c>
      <c r="S667" s="271">
        <v>32806</v>
      </c>
      <c r="T667" s="271">
        <v>30486</v>
      </c>
      <c r="U667" s="271">
        <v>28108</v>
      </c>
      <c r="V667" s="271">
        <v>25669</v>
      </c>
      <c r="X667" s="311"/>
      <c r="Y667" s="311"/>
      <c r="Z667" s="311"/>
      <c r="AA667" s="311"/>
      <c r="AB667" s="311"/>
      <c r="AC667" s="311"/>
      <c r="AD667" s="311"/>
    </row>
    <row r="668" spans="1:30" ht="15" customHeight="1">
      <c r="A668" s="337"/>
      <c r="B668" s="337"/>
      <c r="C668" s="337"/>
      <c r="D668" s="337"/>
      <c r="E668" s="337"/>
      <c r="F668" s="337"/>
      <c r="G668" s="337"/>
      <c r="H668" s="337"/>
      <c r="I668" s="337"/>
      <c r="J668" s="337"/>
      <c r="K668" s="337"/>
      <c r="L668" s="229"/>
      <c r="N668" s="359"/>
      <c r="O668" s="359"/>
      <c r="P668" s="360"/>
      <c r="Q668" s="255"/>
      <c r="R668" s="254"/>
      <c r="S668" s="254"/>
      <c r="T668" s="254"/>
      <c r="U668" s="254"/>
      <c r="V668" s="254"/>
      <c r="X668" s="311"/>
      <c r="Y668" s="311"/>
      <c r="Z668" s="311"/>
      <c r="AA668" s="311"/>
      <c r="AB668" s="311"/>
      <c r="AC668" s="311"/>
      <c r="AD668" s="311"/>
    </row>
    <row r="669" spans="1:30" s="337" customFormat="1" ht="24" customHeight="1">
      <c r="K669" s="425" t="s">
        <v>763</v>
      </c>
      <c r="L669" s="449"/>
      <c r="M669" s="469"/>
      <c r="N669" s="361">
        <f t="shared" ref="N669:V669" si="70">SUM(N606:N668)</f>
        <v>2272173</v>
      </c>
      <c r="O669" s="361">
        <f t="shared" si="70"/>
        <v>2379621</v>
      </c>
      <c r="P669" s="362">
        <f t="shared" si="70"/>
        <v>3085983</v>
      </c>
      <c r="Q669" s="362">
        <f t="shared" si="70"/>
        <v>3053376</v>
      </c>
      <c r="R669" s="361">
        <f t="shared" si="70"/>
        <v>2859595</v>
      </c>
      <c r="S669" s="361">
        <f t="shared" si="70"/>
        <v>3536059</v>
      </c>
      <c r="T669" s="361">
        <f t="shared" si="70"/>
        <v>3671470</v>
      </c>
      <c r="U669" s="361">
        <f t="shared" si="70"/>
        <v>3398285</v>
      </c>
      <c r="V669" s="361">
        <f t="shared" si="70"/>
        <v>2855727</v>
      </c>
    </row>
    <row r="670" spans="1:30" s="337" customFormat="1" ht="15" customHeight="1">
      <c r="L670" s="451"/>
      <c r="M670" s="463"/>
      <c r="N670" s="359"/>
      <c r="O670" s="359"/>
      <c r="P670" s="360"/>
      <c r="Q670" s="360"/>
      <c r="R670" s="359"/>
      <c r="S670" s="359"/>
      <c r="T670" s="359"/>
      <c r="U670" s="359"/>
      <c r="V670" s="359"/>
    </row>
    <row r="671" spans="1:30" s="337" customFormat="1" ht="24" customHeight="1">
      <c r="K671" s="425" t="s">
        <v>762</v>
      </c>
      <c r="L671" s="449"/>
      <c r="M671" s="449"/>
      <c r="N671" s="383">
        <f t="shared" ref="N671:V671" si="71">N603-N669</f>
        <v>356361</v>
      </c>
      <c r="O671" s="383">
        <f t="shared" si="71"/>
        <v>475577</v>
      </c>
      <c r="P671" s="384">
        <f t="shared" si="71"/>
        <v>-284604</v>
      </c>
      <c r="Q671" s="384">
        <f t="shared" si="71"/>
        <v>78435</v>
      </c>
      <c r="R671" s="383">
        <f t="shared" si="71"/>
        <v>-218504</v>
      </c>
      <c r="S671" s="383">
        <f t="shared" si="71"/>
        <v>-864446</v>
      </c>
      <c r="T671" s="383">
        <f t="shared" si="71"/>
        <v>-1009853</v>
      </c>
      <c r="U671" s="383">
        <f t="shared" si="71"/>
        <v>-704326</v>
      </c>
      <c r="V671" s="383">
        <f t="shared" si="71"/>
        <v>-131538</v>
      </c>
    </row>
    <row r="672" spans="1:30" s="337" customFormat="1" ht="15" customHeight="1">
      <c r="L672" s="451"/>
      <c r="M672" s="449"/>
      <c r="N672" s="383"/>
      <c r="O672" s="383"/>
      <c r="P672" s="384"/>
      <c r="Q672" s="384"/>
      <c r="R672" s="383"/>
      <c r="S672" s="383"/>
      <c r="T672" s="383"/>
      <c r="U672" s="383"/>
      <c r="V672" s="383"/>
    </row>
    <row r="673" spans="1:22" s="337" customFormat="1" ht="24" customHeight="1">
      <c r="J673" s="441" t="s">
        <v>776</v>
      </c>
      <c r="L673" s="451"/>
      <c r="M673" s="449"/>
      <c r="N673" s="383">
        <f>695723+129538</f>
        <v>825261</v>
      </c>
      <c r="O673" s="383">
        <v>1300837</v>
      </c>
      <c r="P673" s="384">
        <v>642452</v>
      </c>
      <c r="Q673" s="384">
        <f>O673+Q671</f>
        <v>1379272</v>
      </c>
      <c r="R673" s="383">
        <f>Q673+R671</f>
        <v>1160768</v>
      </c>
      <c r="S673" s="383">
        <f>R673+S671</f>
        <v>296322</v>
      </c>
      <c r="T673" s="383">
        <f>S673+T671</f>
        <v>-713531</v>
      </c>
      <c r="U673" s="383">
        <f>T673+U671</f>
        <v>-1417857</v>
      </c>
      <c r="V673" s="383">
        <f>U673+V671</f>
        <v>-1549395</v>
      </c>
    </row>
    <row r="674" spans="1:22" s="434" customFormat="1" ht="24" customHeight="1">
      <c r="L674" s="468"/>
      <c r="M674" s="467"/>
      <c r="N674" s="385">
        <f t="shared" ref="N674:V674" si="72">N673/N669</f>
        <v>0.36320341804959394</v>
      </c>
      <c r="O674" s="385">
        <f t="shared" si="72"/>
        <v>0.54665721978415893</v>
      </c>
      <c r="P674" s="386">
        <f t="shared" si="72"/>
        <v>0.20818390768840916</v>
      </c>
      <c r="Q674" s="386">
        <f t="shared" si="72"/>
        <v>0.45172032530549794</v>
      </c>
      <c r="R674" s="385">
        <f t="shared" si="72"/>
        <v>0.4059204188005644</v>
      </c>
      <c r="S674" s="385">
        <f t="shared" si="72"/>
        <v>8.3800072340421916E-2</v>
      </c>
      <c r="T674" s="385">
        <f t="shared" si="72"/>
        <v>-0.1943447719850632</v>
      </c>
      <c r="U674" s="385">
        <f t="shared" si="72"/>
        <v>-0.41722721902371346</v>
      </c>
      <c r="V674" s="385">
        <f t="shared" si="72"/>
        <v>-0.54255711417793084</v>
      </c>
    </row>
    <row r="675" spans="1:22" ht="15" customHeight="1">
      <c r="A675" s="337"/>
      <c r="B675" s="337"/>
      <c r="C675" s="337"/>
      <c r="D675" s="337"/>
      <c r="E675" s="337"/>
      <c r="F675" s="337"/>
      <c r="G675" s="337"/>
      <c r="H675" s="337"/>
      <c r="I675" s="337"/>
      <c r="J675" s="337"/>
      <c r="K675" s="337"/>
      <c r="L675" s="229"/>
      <c r="M675" s="257"/>
      <c r="N675" s="383"/>
      <c r="O675" s="383"/>
      <c r="P675" s="384"/>
      <c r="Q675" s="293"/>
      <c r="R675" s="292"/>
      <c r="S675" s="292"/>
      <c r="T675" s="292"/>
      <c r="U675" s="292"/>
      <c r="V675" s="292"/>
    </row>
    <row r="676" spans="1:22" ht="24" customHeight="1">
      <c r="A676" s="432" t="s">
        <v>787</v>
      </c>
      <c r="B676" s="337"/>
      <c r="C676" s="337"/>
      <c r="D676" s="337"/>
      <c r="E676" s="337"/>
      <c r="F676" s="337"/>
      <c r="G676" s="337"/>
      <c r="H676" s="337"/>
      <c r="I676" s="337"/>
      <c r="J676" s="337"/>
      <c r="K676" s="337"/>
      <c r="L676" s="229"/>
      <c r="N676" s="359"/>
      <c r="O676" s="359"/>
      <c r="P676" s="360"/>
      <c r="Q676" s="255"/>
      <c r="R676" s="254"/>
      <c r="S676" s="254"/>
      <c r="T676" s="254"/>
      <c r="U676" s="254"/>
      <c r="V676" s="254"/>
    </row>
    <row r="677" spans="1:22" ht="15" customHeight="1">
      <c r="A677" s="337"/>
      <c r="B677" s="337"/>
      <c r="C677" s="337"/>
      <c r="D677" s="337"/>
      <c r="E677" s="337"/>
      <c r="F677" s="337"/>
      <c r="G677" s="337"/>
      <c r="H677" s="337"/>
      <c r="I677" s="337"/>
      <c r="J677" s="337"/>
      <c r="K677" s="337"/>
      <c r="L677" s="229"/>
      <c r="N677" s="359"/>
      <c r="O677" s="359"/>
      <c r="P677" s="360"/>
      <c r="Q677" s="255"/>
      <c r="R677" s="254"/>
      <c r="S677" s="254"/>
      <c r="T677" s="254"/>
      <c r="U677" s="254"/>
      <c r="V677" s="254"/>
    </row>
    <row r="678" spans="1:22" ht="24" customHeight="1">
      <c r="A678" s="421" t="s">
        <v>490</v>
      </c>
      <c r="B678" s="422"/>
      <c r="C678" s="422"/>
      <c r="D678" s="337" t="s">
        <v>491</v>
      </c>
      <c r="E678" s="422"/>
      <c r="F678" s="422"/>
      <c r="G678" s="422"/>
      <c r="H678" s="422"/>
      <c r="I678" s="422"/>
      <c r="J678" s="422"/>
      <c r="K678" s="422"/>
      <c r="L678" s="237"/>
      <c r="M678" s="305"/>
      <c r="N678" s="365">
        <v>0</v>
      </c>
      <c r="O678" s="350">
        <v>257989</v>
      </c>
      <c r="P678" s="366">
        <v>263850</v>
      </c>
      <c r="Q678" s="266">
        <v>262543</v>
      </c>
      <c r="R678" s="265">
        <v>114940</v>
      </c>
      <c r="S678" s="265">
        <v>0</v>
      </c>
      <c r="T678" s="265">
        <v>0</v>
      </c>
      <c r="U678" s="265">
        <v>0</v>
      </c>
      <c r="V678" s="265">
        <v>0</v>
      </c>
    </row>
    <row r="679" spans="1:22" ht="24" customHeight="1">
      <c r="A679" s="421" t="s">
        <v>492</v>
      </c>
      <c r="B679" s="422"/>
      <c r="C679" s="422"/>
      <c r="D679" s="337" t="s">
        <v>493</v>
      </c>
      <c r="E679" s="422"/>
      <c r="F679" s="422"/>
      <c r="G679" s="422"/>
      <c r="H679" s="422"/>
      <c r="I679" s="422"/>
      <c r="J679" s="422"/>
      <c r="K679" s="422"/>
      <c r="L679" s="237"/>
      <c r="M679" s="305"/>
      <c r="N679" s="365">
        <v>0</v>
      </c>
      <c r="O679" s="350">
        <v>1382408</v>
      </c>
      <c r="P679" s="366">
        <v>0</v>
      </c>
      <c r="Q679" s="266">
        <v>0</v>
      </c>
      <c r="R679" s="265">
        <v>0</v>
      </c>
      <c r="S679" s="265">
        <v>0</v>
      </c>
      <c r="T679" s="265">
        <v>0</v>
      </c>
      <c r="U679" s="265">
        <v>0</v>
      </c>
      <c r="V679" s="265">
        <v>0</v>
      </c>
    </row>
    <row r="680" spans="1:22" ht="24" customHeight="1">
      <c r="A680" s="421" t="s">
        <v>494</v>
      </c>
      <c r="B680" s="422"/>
      <c r="C680" s="422"/>
      <c r="D680" s="337" t="s">
        <v>495</v>
      </c>
      <c r="E680" s="422"/>
      <c r="F680" s="422"/>
      <c r="G680" s="422"/>
      <c r="H680" s="422"/>
      <c r="I680" s="422"/>
      <c r="J680" s="422"/>
      <c r="K680" s="422"/>
      <c r="L680" s="237"/>
      <c r="M680" s="305"/>
      <c r="N680" s="365">
        <v>0</v>
      </c>
      <c r="O680" s="350">
        <v>109809</v>
      </c>
      <c r="P680" s="366">
        <v>0</v>
      </c>
      <c r="Q680" s="266">
        <v>0</v>
      </c>
      <c r="R680" s="265">
        <v>0</v>
      </c>
      <c r="S680" s="265">
        <v>0</v>
      </c>
      <c r="T680" s="265">
        <v>0</v>
      </c>
      <c r="U680" s="265">
        <v>0</v>
      </c>
      <c r="V680" s="265">
        <v>0</v>
      </c>
    </row>
    <row r="681" spans="1:22" ht="24" customHeight="1">
      <c r="A681" s="421" t="s">
        <v>1184</v>
      </c>
      <c r="B681" s="422"/>
      <c r="C681" s="422"/>
      <c r="D681" s="421" t="s">
        <v>1215</v>
      </c>
      <c r="E681" s="422"/>
      <c r="F681" s="422"/>
      <c r="G681" s="422"/>
      <c r="H681" s="422"/>
      <c r="I681" s="422"/>
      <c r="J681" s="422"/>
      <c r="K681" s="422"/>
      <c r="L681" s="237"/>
      <c r="M681" s="305"/>
      <c r="N681" s="365">
        <v>0</v>
      </c>
      <c r="O681" s="350">
        <v>4000</v>
      </c>
      <c r="P681" s="366">
        <v>0</v>
      </c>
      <c r="Q681" s="266">
        <v>18000</v>
      </c>
      <c r="R681" s="265">
        <v>0</v>
      </c>
      <c r="S681" s="265">
        <v>0</v>
      </c>
      <c r="T681" s="265">
        <v>0</v>
      </c>
      <c r="U681" s="265">
        <v>0</v>
      </c>
      <c r="V681" s="265">
        <v>0</v>
      </c>
    </row>
    <row r="682" spans="1:22" ht="24" customHeight="1">
      <c r="A682" s="421" t="s">
        <v>496</v>
      </c>
      <c r="B682" s="337"/>
      <c r="C682" s="337"/>
      <c r="D682" s="421" t="s">
        <v>497</v>
      </c>
      <c r="E682" s="337"/>
      <c r="F682" s="337"/>
      <c r="G682" s="422"/>
      <c r="H682" s="422"/>
      <c r="I682" s="422"/>
      <c r="J682" s="422"/>
      <c r="K682" s="422"/>
      <c r="L682" s="237">
        <v>712331</v>
      </c>
      <c r="M682" s="238">
        <v>723012</v>
      </c>
      <c r="N682" s="350">
        <v>731743</v>
      </c>
      <c r="O682" s="350">
        <v>742022</v>
      </c>
      <c r="P682" s="353">
        <v>728280</v>
      </c>
      <c r="Q682" s="243">
        <v>741255</v>
      </c>
      <c r="R682" s="239">
        <v>740000</v>
      </c>
      <c r="S682" s="239">
        <v>740000</v>
      </c>
      <c r="T682" s="239">
        <v>740000</v>
      </c>
      <c r="U682" s="239">
        <v>740000</v>
      </c>
      <c r="V682" s="239">
        <v>740000</v>
      </c>
    </row>
    <row r="683" spans="1:22" ht="24" customHeight="1">
      <c r="A683" s="421" t="s">
        <v>1425</v>
      </c>
      <c r="B683" s="422"/>
      <c r="C683" s="422"/>
      <c r="D683" s="421" t="s">
        <v>1427</v>
      </c>
      <c r="E683" s="422"/>
      <c r="F683" s="422"/>
      <c r="G683" s="422"/>
      <c r="H683" s="422"/>
      <c r="I683" s="422"/>
      <c r="J683" s="422"/>
      <c r="K683" s="422"/>
      <c r="L683" s="237"/>
      <c r="M683" s="238"/>
      <c r="N683" s="350">
        <v>0</v>
      </c>
      <c r="O683" s="350">
        <v>0</v>
      </c>
      <c r="P683" s="353">
        <v>0</v>
      </c>
      <c r="Q683" s="243">
        <v>0</v>
      </c>
      <c r="R683" s="239">
        <v>334560</v>
      </c>
      <c r="S683" s="239">
        <v>334560</v>
      </c>
      <c r="T683" s="239">
        <v>334560</v>
      </c>
      <c r="U683" s="239">
        <v>334560</v>
      </c>
      <c r="V683" s="239">
        <v>334560</v>
      </c>
    </row>
    <row r="684" spans="1:22" ht="24" customHeight="1">
      <c r="A684" s="421" t="s">
        <v>498</v>
      </c>
      <c r="B684" s="422"/>
      <c r="C684" s="422"/>
      <c r="D684" s="421" t="s">
        <v>499</v>
      </c>
      <c r="E684" s="422"/>
      <c r="F684" s="422"/>
      <c r="G684" s="422"/>
      <c r="H684" s="422"/>
      <c r="I684" s="422"/>
      <c r="J684" s="422"/>
      <c r="K684" s="422"/>
      <c r="L684" s="237">
        <v>69950</v>
      </c>
      <c r="M684" s="238">
        <v>23400</v>
      </c>
      <c r="N684" s="350">
        <v>4000</v>
      </c>
      <c r="O684" s="350">
        <v>4800</v>
      </c>
      <c r="P684" s="353">
        <v>5100</v>
      </c>
      <c r="Q684" s="243">
        <v>1000</v>
      </c>
      <c r="R684" s="239">
        <v>1000</v>
      </c>
      <c r="S684" s="239">
        <v>1000</v>
      </c>
      <c r="T684" s="239">
        <v>1000</v>
      </c>
      <c r="U684" s="239">
        <v>1000</v>
      </c>
      <c r="V684" s="239">
        <v>1000</v>
      </c>
    </row>
    <row r="685" spans="1:22" ht="24" customHeight="1">
      <c r="A685" s="421" t="s">
        <v>500</v>
      </c>
      <c r="B685" s="422"/>
      <c r="C685" s="422"/>
      <c r="D685" s="421" t="s">
        <v>501</v>
      </c>
      <c r="E685" s="422"/>
      <c r="F685" s="422"/>
      <c r="G685" s="422"/>
      <c r="H685" s="422"/>
      <c r="I685" s="422"/>
      <c r="J685" s="422"/>
      <c r="K685" s="422"/>
      <c r="L685" s="237">
        <v>238138</v>
      </c>
      <c r="M685" s="238">
        <v>60400</v>
      </c>
      <c r="N685" s="350">
        <v>38000</v>
      </c>
      <c r="O685" s="350">
        <v>43200</v>
      </c>
      <c r="P685" s="353">
        <v>35000</v>
      </c>
      <c r="Q685" s="243">
        <v>7000</v>
      </c>
      <c r="R685" s="239">
        <v>10000</v>
      </c>
      <c r="S685" s="239">
        <v>10000</v>
      </c>
      <c r="T685" s="239">
        <v>10000</v>
      </c>
      <c r="U685" s="239">
        <v>10000</v>
      </c>
      <c r="V685" s="239">
        <v>10000</v>
      </c>
    </row>
    <row r="686" spans="1:22" ht="24" customHeight="1">
      <c r="A686" s="421" t="s">
        <v>502</v>
      </c>
      <c r="B686" s="422"/>
      <c r="C686" s="422"/>
      <c r="D686" s="421" t="s">
        <v>503</v>
      </c>
      <c r="E686" s="422"/>
      <c r="F686" s="422"/>
      <c r="G686" s="422"/>
      <c r="H686" s="422"/>
      <c r="I686" s="422"/>
      <c r="J686" s="422"/>
      <c r="K686" s="422"/>
      <c r="L686" s="237">
        <v>0</v>
      </c>
      <c r="M686" s="238">
        <v>1176889</v>
      </c>
      <c r="N686" s="350">
        <v>698000</v>
      </c>
      <c r="O686" s="350">
        <v>572000</v>
      </c>
      <c r="P686" s="353">
        <v>600000</v>
      </c>
      <c r="Q686" s="243">
        <v>586000</v>
      </c>
      <c r="R686" s="239">
        <v>0</v>
      </c>
      <c r="S686" s="239">
        <v>0</v>
      </c>
      <c r="T686" s="239">
        <v>0</v>
      </c>
      <c r="U686" s="239">
        <v>0</v>
      </c>
      <c r="V686" s="239">
        <v>0</v>
      </c>
    </row>
    <row r="687" spans="1:22" ht="24" customHeight="1">
      <c r="A687" s="421" t="s">
        <v>1426</v>
      </c>
      <c r="B687" s="422"/>
      <c r="C687" s="422"/>
      <c r="D687" s="421" t="s">
        <v>1360</v>
      </c>
      <c r="E687" s="422"/>
      <c r="F687" s="422"/>
      <c r="G687" s="422"/>
      <c r="H687" s="422"/>
      <c r="I687" s="422"/>
      <c r="J687" s="422"/>
      <c r="K687" s="422"/>
      <c r="L687" s="237"/>
      <c r="M687" s="305"/>
      <c r="N687" s="365">
        <v>0</v>
      </c>
      <c r="O687" s="350">
        <v>0</v>
      </c>
      <c r="P687" s="366">
        <v>0</v>
      </c>
      <c r="Q687" s="266">
        <v>12000</v>
      </c>
      <c r="R687" s="265">
        <v>12000</v>
      </c>
      <c r="S687" s="265">
        <v>12000</v>
      </c>
      <c r="T687" s="265">
        <v>12000</v>
      </c>
      <c r="U687" s="265">
        <v>12000</v>
      </c>
      <c r="V687" s="265">
        <v>12000</v>
      </c>
    </row>
    <row r="688" spans="1:22" ht="24" customHeight="1">
      <c r="A688" s="421" t="s">
        <v>504</v>
      </c>
      <c r="B688" s="422"/>
      <c r="C688" s="422"/>
      <c r="D688" s="421" t="s">
        <v>505</v>
      </c>
      <c r="E688" s="422"/>
      <c r="F688" s="422"/>
      <c r="G688" s="422"/>
      <c r="H688" s="422"/>
      <c r="I688" s="422"/>
      <c r="J688" s="422"/>
      <c r="K688" s="422"/>
      <c r="L688" s="237"/>
      <c r="M688" s="238"/>
      <c r="N688" s="350">
        <v>238</v>
      </c>
      <c r="O688" s="350">
        <v>0</v>
      </c>
      <c r="P688" s="353">
        <v>0</v>
      </c>
      <c r="Q688" s="243">
        <v>514</v>
      </c>
      <c r="R688" s="239">
        <v>0</v>
      </c>
      <c r="S688" s="239">
        <v>0</v>
      </c>
      <c r="T688" s="239">
        <v>0</v>
      </c>
      <c r="U688" s="239">
        <v>0</v>
      </c>
      <c r="V688" s="239">
        <v>0</v>
      </c>
    </row>
    <row r="689" spans="1:22" ht="24" customHeight="1">
      <c r="A689" s="421" t="s">
        <v>506</v>
      </c>
      <c r="B689" s="422"/>
      <c r="C689" s="422"/>
      <c r="D689" s="421" t="s">
        <v>435</v>
      </c>
      <c r="E689" s="422"/>
      <c r="F689" s="422"/>
      <c r="G689" s="422"/>
      <c r="H689" s="422"/>
      <c r="I689" s="422"/>
      <c r="J689" s="422"/>
      <c r="K689" s="422"/>
      <c r="L689" s="237"/>
      <c r="M689" s="238"/>
      <c r="N689" s="350">
        <v>0</v>
      </c>
      <c r="O689" s="350">
        <v>0</v>
      </c>
      <c r="P689" s="353">
        <v>0</v>
      </c>
      <c r="Q689" s="243">
        <v>0</v>
      </c>
      <c r="R689" s="239">
        <v>0</v>
      </c>
      <c r="S689" s="239">
        <v>0</v>
      </c>
      <c r="T689" s="239">
        <v>0</v>
      </c>
      <c r="U689" s="239">
        <v>0</v>
      </c>
      <c r="V689" s="239">
        <v>0</v>
      </c>
    </row>
    <row r="690" spans="1:22" ht="24" customHeight="1">
      <c r="A690" s="421" t="s">
        <v>507</v>
      </c>
      <c r="B690" s="422"/>
      <c r="C690" s="422"/>
      <c r="D690" s="535" t="s">
        <v>6</v>
      </c>
      <c r="E690" s="535"/>
      <c r="F690" s="535"/>
      <c r="G690" s="535"/>
      <c r="H690" s="535"/>
      <c r="I690" s="535"/>
      <c r="J690" s="535"/>
      <c r="K690" s="535"/>
      <c r="L690" s="237"/>
      <c r="M690" s="234"/>
      <c r="N690" s="348">
        <v>1517</v>
      </c>
      <c r="O690" s="348">
        <v>2405</v>
      </c>
      <c r="P690" s="349">
        <v>3000</v>
      </c>
      <c r="Q690" s="236">
        <v>6200</v>
      </c>
      <c r="R690" s="235">
        <v>5500</v>
      </c>
      <c r="S690" s="235">
        <v>5500</v>
      </c>
      <c r="T690" s="235">
        <v>5000</v>
      </c>
      <c r="U690" s="235">
        <v>4500</v>
      </c>
      <c r="V690" s="235">
        <v>4500</v>
      </c>
    </row>
    <row r="691" spans="1:22" ht="24" customHeight="1">
      <c r="A691" s="421" t="s">
        <v>837</v>
      </c>
      <c r="B691" s="422"/>
      <c r="C691" s="422"/>
      <c r="D691" s="421" t="s">
        <v>323</v>
      </c>
      <c r="E691" s="422"/>
      <c r="F691" s="422"/>
      <c r="G691" s="422"/>
      <c r="H691" s="422"/>
      <c r="I691" s="422"/>
      <c r="J691" s="422"/>
      <c r="K691" s="422"/>
      <c r="L691" s="237"/>
      <c r="M691" s="234"/>
      <c r="N691" s="348">
        <v>0</v>
      </c>
      <c r="O691" s="348">
        <v>0</v>
      </c>
      <c r="P691" s="349">
        <v>4587</v>
      </c>
      <c r="Q691" s="236">
        <v>4637</v>
      </c>
      <c r="R691" s="235">
        <v>0</v>
      </c>
      <c r="S691" s="235">
        <v>0</v>
      </c>
      <c r="T691" s="235">
        <v>0</v>
      </c>
      <c r="U691" s="235">
        <v>0</v>
      </c>
      <c r="V691" s="235">
        <v>0</v>
      </c>
    </row>
    <row r="692" spans="1:22" ht="24" customHeight="1">
      <c r="A692" s="421" t="s">
        <v>508</v>
      </c>
      <c r="B692" s="422"/>
      <c r="C692" s="422"/>
      <c r="D692" s="535" t="s">
        <v>73</v>
      </c>
      <c r="E692" s="535"/>
      <c r="F692" s="535"/>
      <c r="G692" s="535"/>
      <c r="H692" s="535"/>
      <c r="I692" s="535"/>
      <c r="J692" s="535"/>
      <c r="K692" s="535"/>
      <c r="L692" s="237"/>
      <c r="M692" s="234"/>
      <c r="N692" s="348">
        <v>4576</v>
      </c>
      <c r="O692" s="348">
        <v>1741</v>
      </c>
      <c r="P692" s="349">
        <v>0</v>
      </c>
      <c r="Q692" s="236">
        <v>4103</v>
      </c>
      <c r="R692" s="235">
        <v>0</v>
      </c>
      <c r="S692" s="235">
        <v>0</v>
      </c>
      <c r="T692" s="235">
        <v>0</v>
      </c>
      <c r="U692" s="235">
        <v>0</v>
      </c>
      <c r="V692" s="235">
        <v>0</v>
      </c>
    </row>
    <row r="693" spans="1:22" ht="24" customHeight="1">
      <c r="A693" s="421" t="s">
        <v>509</v>
      </c>
      <c r="B693" s="422"/>
      <c r="C693" s="422"/>
      <c r="D693" s="421" t="s">
        <v>353</v>
      </c>
      <c r="E693" s="422"/>
      <c r="F693" s="422"/>
      <c r="G693" s="422"/>
      <c r="H693" s="422"/>
      <c r="I693" s="422"/>
      <c r="J693" s="422"/>
      <c r="K693" s="422"/>
      <c r="L693" s="237"/>
      <c r="M693" s="317"/>
      <c r="N693" s="369">
        <v>0</v>
      </c>
      <c r="O693" s="369">
        <v>0</v>
      </c>
      <c r="P693" s="370">
        <v>0</v>
      </c>
      <c r="Q693" s="272">
        <v>0</v>
      </c>
      <c r="R693" s="271">
        <f>R745+R746</f>
        <v>1137220</v>
      </c>
      <c r="S693" s="271">
        <f>S745+S746</f>
        <v>1133972</v>
      </c>
      <c r="T693" s="271">
        <f>T745+T746</f>
        <v>1134654</v>
      </c>
      <c r="U693" s="271">
        <f>U745+U746</f>
        <v>1134052</v>
      </c>
      <c r="V693" s="271">
        <f>V745+V746</f>
        <v>1137166</v>
      </c>
    </row>
    <row r="694" spans="1:22" ht="15" customHeight="1">
      <c r="A694" s="421"/>
      <c r="B694" s="422"/>
      <c r="C694" s="422"/>
      <c r="D694" s="337"/>
      <c r="E694" s="422"/>
      <c r="F694" s="422"/>
      <c r="G694" s="422"/>
      <c r="H694" s="422"/>
      <c r="I694" s="422"/>
      <c r="J694" s="422"/>
      <c r="K694" s="422"/>
      <c r="L694" s="237"/>
      <c r="M694" s="262"/>
      <c r="N694" s="357"/>
      <c r="O694" s="357"/>
      <c r="P694" s="358"/>
      <c r="Q694" s="252"/>
      <c r="R694" s="251"/>
      <c r="S694" s="251"/>
      <c r="T694" s="251"/>
      <c r="U694" s="251"/>
      <c r="V694" s="251"/>
    </row>
    <row r="695" spans="1:22" s="337" customFormat="1" ht="24" customHeight="1">
      <c r="K695" s="425" t="s">
        <v>758</v>
      </c>
      <c r="L695" s="449"/>
      <c r="M695" s="450"/>
      <c r="N695" s="361">
        <f t="shared" ref="N695:V695" si="73">SUM(N678:N694)</f>
        <v>1478074</v>
      </c>
      <c r="O695" s="361">
        <f t="shared" si="73"/>
        <v>3120374</v>
      </c>
      <c r="P695" s="362">
        <f t="shared" si="73"/>
        <v>1639817</v>
      </c>
      <c r="Q695" s="362">
        <f t="shared" si="73"/>
        <v>1643252</v>
      </c>
      <c r="R695" s="361">
        <f t="shared" si="73"/>
        <v>2355220</v>
      </c>
      <c r="S695" s="361">
        <f t="shared" si="73"/>
        <v>2237032</v>
      </c>
      <c r="T695" s="361">
        <f t="shared" si="73"/>
        <v>2237214</v>
      </c>
      <c r="U695" s="361">
        <f t="shared" si="73"/>
        <v>2236112</v>
      </c>
      <c r="V695" s="361">
        <f t="shared" si="73"/>
        <v>2239226</v>
      </c>
    </row>
    <row r="696" spans="1:22" ht="15" customHeight="1">
      <c r="A696" s="337"/>
      <c r="B696" s="337"/>
      <c r="C696" s="337"/>
      <c r="D696" s="337"/>
      <c r="E696" s="337"/>
      <c r="F696" s="337"/>
      <c r="G696" s="337"/>
      <c r="H696" s="337"/>
      <c r="I696" s="337"/>
      <c r="J696" s="337"/>
      <c r="K696" s="337"/>
      <c r="L696" s="229"/>
      <c r="M696" s="258"/>
      <c r="N696" s="361"/>
      <c r="O696" s="361"/>
      <c r="P696" s="362"/>
      <c r="Q696" s="260"/>
      <c r="R696" s="259"/>
      <c r="S696" s="259"/>
      <c r="T696" s="259"/>
      <c r="U696" s="259"/>
      <c r="V696" s="259"/>
    </row>
    <row r="697" spans="1:22" ht="24" customHeight="1">
      <c r="A697" s="425" t="s">
        <v>1506</v>
      </c>
      <c r="B697" s="337"/>
      <c r="C697" s="337"/>
      <c r="D697" s="337"/>
      <c r="E697" s="337"/>
      <c r="F697" s="337"/>
      <c r="G697" s="337"/>
      <c r="H697" s="337"/>
      <c r="I697" s="337"/>
      <c r="J697" s="337"/>
      <c r="K697" s="337"/>
      <c r="L697" s="229"/>
      <c r="M697" s="258"/>
      <c r="N697" s="361"/>
      <c r="O697" s="361"/>
      <c r="P697" s="362"/>
      <c r="Q697" s="260"/>
      <c r="R697" s="259"/>
      <c r="S697" s="259"/>
      <c r="T697" s="259"/>
      <c r="U697" s="259"/>
      <c r="V697" s="259"/>
    </row>
    <row r="698" spans="1:22" ht="24" customHeight="1">
      <c r="A698" s="421" t="s">
        <v>510</v>
      </c>
      <c r="B698" s="422"/>
      <c r="C698" s="422"/>
      <c r="D698" s="421" t="s">
        <v>1238</v>
      </c>
      <c r="E698" s="422"/>
      <c r="F698" s="422"/>
      <c r="G698" s="422"/>
      <c r="H698" s="422"/>
      <c r="I698" s="422"/>
      <c r="J698" s="422"/>
      <c r="K698" s="422"/>
      <c r="L698" s="237"/>
      <c r="M698" s="263"/>
      <c r="N698" s="348">
        <v>241173</v>
      </c>
      <c r="O698" s="348">
        <v>198017</v>
      </c>
      <c r="P698" s="349">
        <v>210000</v>
      </c>
      <c r="Q698" s="236">
        <v>210000</v>
      </c>
      <c r="R698" s="235">
        <v>187544</v>
      </c>
      <c r="S698" s="235">
        <v>187544</v>
      </c>
      <c r="T698" s="235">
        <v>187544</v>
      </c>
      <c r="U698" s="235">
        <v>187544</v>
      </c>
      <c r="V698" s="235">
        <v>187544</v>
      </c>
    </row>
    <row r="699" spans="1:22" ht="24" customHeight="1">
      <c r="A699" s="421" t="s">
        <v>511</v>
      </c>
      <c r="B699" s="422"/>
      <c r="C699" s="422"/>
      <c r="D699" s="421" t="s">
        <v>18</v>
      </c>
      <c r="E699" s="422"/>
      <c r="F699" s="422"/>
      <c r="G699" s="422"/>
      <c r="H699" s="422"/>
      <c r="I699" s="422"/>
      <c r="J699" s="422"/>
      <c r="K699" s="422"/>
      <c r="L699" s="237"/>
      <c r="M699" s="263"/>
      <c r="N699" s="348">
        <v>448</v>
      </c>
      <c r="O699" s="348">
        <v>201</v>
      </c>
      <c r="P699" s="349">
        <v>2000</v>
      </c>
      <c r="Q699" s="236">
        <v>2000</v>
      </c>
      <c r="R699" s="235">
        <v>2000</v>
      </c>
      <c r="S699" s="235">
        <v>2000</v>
      </c>
      <c r="T699" s="235">
        <v>2000</v>
      </c>
      <c r="U699" s="235">
        <v>2000</v>
      </c>
      <c r="V699" s="235">
        <v>2000</v>
      </c>
    </row>
    <row r="700" spans="1:22" ht="24" customHeight="1">
      <c r="A700" s="421" t="s">
        <v>512</v>
      </c>
      <c r="B700" s="422"/>
      <c r="C700" s="422"/>
      <c r="D700" s="421" t="s">
        <v>8</v>
      </c>
      <c r="E700" s="422"/>
      <c r="F700" s="422"/>
      <c r="G700" s="422"/>
      <c r="H700" s="422"/>
      <c r="I700" s="422"/>
      <c r="J700" s="422"/>
      <c r="K700" s="422"/>
      <c r="L700" s="237"/>
      <c r="M700" s="263"/>
      <c r="N700" s="348">
        <v>22383</v>
      </c>
      <c r="O700" s="348">
        <v>18927</v>
      </c>
      <c r="P700" s="349">
        <v>21290</v>
      </c>
      <c r="Q700" s="236">
        <v>21290</v>
      </c>
      <c r="R700" s="235">
        <v>21007</v>
      </c>
      <c r="S700" s="235">
        <v>21007</v>
      </c>
      <c r="T700" s="235">
        <v>21007</v>
      </c>
      <c r="U700" s="235">
        <v>21007</v>
      </c>
      <c r="V700" s="235">
        <v>21007</v>
      </c>
    </row>
    <row r="701" spans="1:22" ht="24" customHeight="1">
      <c r="A701" s="421" t="s">
        <v>513</v>
      </c>
      <c r="B701" s="337"/>
      <c r="C701" s="337"/>
      <c r="D701" s="421" t="s">
        <v>9</v>
      </c>
      <c r="E701" s="337"/>
      <c r="F701" s="337"/>
      <c r="G701" s="337"/>
      <c r="H701" s="337"/>
      <c r="I701" s="337"/>
      <c r="J701" s="337"/>
      <c r="K701" s="337"/>
      <c r="L701" s="229"/>
      <c r="M701" s="263"/>
      <c r="N701" s="348">
        <v>17663</v>
      </c>
      <c r="O701" s="348">
        <v>14636</v>
      </c>
      <c r="P701" s="349">
        <v>18000</v>
      </c>
      <c r="Q701" s="236">
        <v>18000</v>
      </c>
      <c r="R701" s="235">
        <v>14223</v>
      </c>
      <c r="S701" s="235">
        <v>14223</v>
      </c>
      <c r="T701" s="235">
        <v>14223</v>
      </c>
      <c r="U701" s="235">
        <v>14223</v>
      </c>
      <c r="V701" s="235">
        <v>14223</v>
      </c>
    </row>
    <row r="702" spans="1:22" ht="24" customHeight="1">
      <c r="A702" s="421" t="s">
        <v>810</v>
      </c>
      <c r="B702" s="337"/>
      <c r="C702" s="337"/>
      <c r="D702" s="421" t="s">
        <v>14</v>
      </c>
      <c r="E702" s="337"/>
      <c r="F702" s="337"/>
      <c r="G702" s="337"/>
      <c r="H702" s="337"/>
      <c r="I702" s="337"/>
      <c r="J702" s="337"/>
      <c r="K702" s="337"/>
      <c r="L702" s="229"/>
      <c r="M702" s="263"/>
      <c r="N702" s="348">
        <v>0</v>
      </c>
      <c r="O702" s="348">
        <v>0</v>
      </c>
      <c r="P702" s="349">
        <v>63595</v>
      </c>
      <c r="Q702" s="236">
        <v>63595</v>
      </c>
      <c r="R702" s="235">
        <v>41481</v>
      </c>
      <c r="S702" s="241">
        <v>45629</v>
      </c>
      <c r="T702" s="241">
        <v>50192</v>
      </c>
      <c r="U702" s="241">
        <v>53204</v>
      </c>
      <c r="V702" s="241">
        <v>56396</v>
      </c>
    </row>
    <row r="703" spans="1:22" ht="24" customHeight="1">
      <c r="A703" s="421" t="s">
        <v>811</v>
      </c>
      <c r="B703" s="337"/>
      <c r="C703" s="337"/>
      <c r="D703" s="421" t="s">
        <v>229</v>
      </c>
      <c r="E703" s="337"/>
      <c r="F703" s="337"/>
      <c r="G703" s="337"/>
      <c r="H703" s="337"/>
      <c r="I703" s="337"/>
      <c r="J703" s="337"/>
      <c r="K703" s="337"/>
      <c r="L703" s="229"/>
      <c r="M703" s="263"/>
      <c r="N703" s="348">
        <v>0</v>
      </c>
      <c r="O703" s="348">
        <v>0</v>
      </c>
      <c r="P703" s="349">
        <v>537</v>
      </c>
      <c r="Q703" s="236">
        <v>537</v>
      </c>
      <c r="R703" s="235">
        <v>365</v>
      </c>
      <c r="S703" s="241">
        <v>369</v>
      </c>
      <c r="T703" s="241">
        <v>372</v>
      </c>
      <c r="U703" s="241">
        <v>376</v>
      </c>
      <c r="V703" s="241">
        <v>380</v>
      </c>
    </row>
    <row r="704" spans="1:22" ht="24" customHeight="1">
      <c r="A704" s="421" t="s">
        <v>812</v>
      </c>
      <c r="B704" s="337"/>
      <c r="C704" s="337"/>
      <c r="D704" s="421" t="s">
        <v>819</v>
      </c>
      <c r="E704" s="337"/>
      <c r="F704" s="337"/>
      <c r="G704" s="337"/>
      <c r="H704" s="337"/>
      <c r="I704" s="337"/>
      <c r="J704" s="337"/>
      <c r="K704" s="337"/>
      <c r="L704" s="229"/>
      <c r="M704" s="263"/>
      <c r="N704" s="348">
        <v>0</v>
      </c>
      <c r="O704" s="348">
        <v>0</v>
      </c>
      <c r="P704" s="349">
        <v>4687</v>
      </c>
      <c r="Q704" s="236">
        <v>4687</v>
      </c>
      <c r="R704" s="235">
        <v>2653</v>
      </c>
      <c r="S704" s="241">
        <v>2918</v>
      </c>
      <c r="T704" s="241">
        <v>3210</v>
      </c>
      <c r="U704" s="241">
        <v>3403</v>
      </c>
      <c r="V704" s="241">
        <v>3607</v>
      </c>
    </row>
    <row r="705" spans="1:22" ht="24" customHeight="1">
      <c r="A705" s="421" t="s">
        <v>828</v>
      </c>
      <c r="B705" s="337"/>
      <c r="C705" s="337"/>
      <c r="D705" s="421" t="s">
        <v>821</v>
      </c>
      <c r="E705" s="337"/>
      <c r="F705" s="337"/>
      <c r="G705" s="337"/>
      <c r="H705" s="337"/>
      <c r="I705" s="337"/>
      <c r="J705" s="337"/>
      <c r="K705" s="337"/>
      <c r="L705" s="229"/>
      <c r="M705" s="263"/>
      <c r="N705" s="348">
        <v>0</v>
      </c>
      <c r="O705" s="348">
        <v>0</v>
      </c>
      <c r="P705" s="349">
        <v>532</v>
      </c>
      <c r="Q705" s="236">
        <v>532</v>
      </c>
      <c r="R705" s="235">
        <v>307</v>
      </c>
      <c r="S705" s="241">
        <v>338</v>
      </c>
      <c r="T705" s="241">
        <v>371</v>
      </c>
      <c r="U705" s="241">
        <v>394</v>
      </c>
      <c r="V705" s="241">
        <v>417</v>
      </c>
    </row>
    <row r="706" spans="1:22" ht="24" customHeight="1">
      <c r="A706" s="421" t="s">
        <v>791</v>
      </c>
      <c r="B706" s="337"/>
      <c r="C706" s="337"/>
      <c r="D706" s="421" t="s">
        <v>227</v>
      </c>
      <c r="E706" s="337"/>
      <c r="F706" s="337"/>
      <c r="G706" s="337"/>
      <c r="H706" s="337"/>
      <c r="I706" s="337"/>
      <c r="J706" s="337"/>
      <c r="K706" s="337"/>
      <c r="L706" s="229"/>
      <c r="M706" s="263"/>
      <c r="N706" s="348">
        <v>0</v>
      </c>
      <c r="O706" s="348">
        <v>0</v>
      </c>
      <c r="P706" s="349">
        <v>2571</v>
      </c>
      <c r="Q706" s="236">
        <v>2100</v>
      </c>
      <c r="R706" s="235">
        <v>2500</v>
      </c>
      <c r="S706" s="235">
        <v>2500</v>
      </c>
      <c r="T706" s="235">
        <v>2500</v>
      </c>
      <c r="U706" s="235">
        <v>2500</v>
      </c>
      <c r="V706" s="235">
        <v>2500</v>
      </c>
    </row>
    <row r="707" spans="1:22" ht="24" customHeight="1">
      <c r="A707" s="421" t="s">
        <v>789</v>
      </c>
      <c r="B707" s="337"/>
      <c r="C707" s="337"/>
      <c r="D707" s="421" t="s">
        <v>300</v>
      </c>
      <c r="E707" s="337"/>
      <c r="F707" s="337"/>
      <c r="G707" s="337"/>
      <c r="H707" s="337"/>
      <c r="I707" s="337"/>
      <c r="J707" s="337"/>
      <c r="K707" s="337"/>
      <c r="L707" s="229"/>
      <c r="M707" s="263"/>
      <c r="N707" s="348">
        <v>0</v>
      </c>
      <c r="O707" s="348">
        <v>0</v>
      </c>
      <c r="P707" s="349">
        <v>21590</v>
      </c>
      <c r="Q707" s="236">
        <v>15750</v>
      </c>
      <c r="R707" s="235">
        <v>16004</v>
      </c>
      <c r="S707" s="235">
        <v>16964</v>
      </c>
      <c r="T707" s="235">
        <v>17982</v>
      </c>
      <c r="U707" s="235">
        <v>19061</v>
      </c>
      <c r="V707" s="235">
        <v>20205</v>
      </c>
    </row>
    <row r="708" spans="1:22" ht="24" customHeight="1">
      <c r="A708" s="421" t="s">
        <v>1258</v>
      </c>
      <c r="B708" s="422"/>
      <c r="C708" s="422"/>
      <c r="D708" s="421" t="s">
        <v>1264</v>
      </c>
      <c r="E708" s="422"/>
      <c r="F708" s="422"/>
      <c r="G708" s="422"/>
      <c r="H708" s="422"/>
      <c r="I708" s="422"/>
      <c r="J708" s="422"/>
      <c r="K708" s="422"/>
      <c r="L708" s="237"/>
      <c r="M708" s="279"/>
      <c r="N708" s="351">
        <v>83045</v>
      </c>
      <c r="O708" s="350">
        <v>83045</v>
      </c>
      <c r="P708" s="353">
        <v>0</v>
      </c>
      <c r="Q708" s="243">
        <v>0</v>
      </c>
      <c r="R708" s="235">
        <v>0</v>
      </c>
      <c r="S708" s="239">
        <v>0</v>
      </c>
      <c r="T708" s="239">
        <v>0</v>
      </c>
      <c r="U708" s="239">
        <v>0</v>
      </c>
      <c r="V708" s="239">
        <v>0</v>
      </c>
    </row>
    <row r="709" spans="1:22" ht="24" customHeight="1">
      <c r="A709" s="421" t="s">
        <v>1185</v>
      </c>
      <c r="B709" s="337"/>
      <c r="C709" s="337"/>
      <c r="D709" s="337" t="s">
        <v>1180</v>
      </c>
      <c r="E709" s="337"/>
      <c r="F709" s="337"/>
      <c r="G709" s="337"/>
      <c r="H709" s="337"/>
      <c r="I709" s="337"/>
      <c r="J709" s="337"/>
      <c r="K709" s="337"/>
      <c r="L709" s="229"/>
      <c r="M709" s="263"/>
      <c r="N709" s="348">
        <v>0</v>
      </c>
      <c r="O709" s="348">
        <v>4000</v>
      </c>
      <c r="P709" s="349">
        <v>0</v>
      </c>
      <c r="Q709" s="236">
        <f t="shared" ref="Q709:V709" si="74">Q681</f>
        <v>18000</v>
      </c>
      <c r="R709" s="235">
        <f t="shared" si="74"/>
        <v>0</v>
      </c>
      <c r="S709" s="235">
        <f t="shared" si="74"/>
        <v>0</v>
      </c>
      <c r="T709" s="235">
        <f t="shared" si="74"/>
        <v>0</v>
      </c>
      <c r="U709" s="235">
        <f t="shared" si="74"/>
        <v>0</v>
      </c>
      <c r="V709" s="235">
        <f t="shared" si="74"/>
        <v>0</v>
      </c>
    </row>
    <row r="710" spans="1:22" ht="24" customHeight="1">
      <c r="A710" s="421" t="s">
        <v>514</v>
      </c>
      <c r="B710" s="422"/>
      <c r="C710" s="422"/>
      <c r="D710" s="421" t="s">
        <v>108</v>
      </c>
      <c r="E710" s="422"/>
      <c r="F710" s="422"/>
      <c r="G710" s="422"/>
      <c r="H710" s="422"/>
      <c r="I710" s="422"/>
      <c r="J710" s="422"/>
      <c r="K710" s="422"/>
      <c r="L710" s="237"/>
      <c r="M710" s="263"/>
      <c r="N710" s="348">
        <v>0</v>
      </c>
      <c r="O710" s="348">
        <v>0</v>
      </c>
      <c r="P710" s="349">
        <v>500</v>
      </c>
      <c r="Q710" s="236">
        <v>500</v>
      </c>
      <c r="R710" s="235">
        <v>500</v>
      </c>
      <c r="S710" s="235">
        <v>500</v>
      </c>
      <c r="T710" s="235">
        <v>500</v>
      </c>
      <c r="U710" s="235">
        <v>500</v>
      </c>
      <c r="V710" s="235">
        <v>500</v>
      </c>
    </row>
    <row r="711" spans="1:22" ht="24" customHeight="1">
      <c r="A711" s="421" t="s">
        <v>515</v>
      </c>
      <c r="B711" s="337"/>
      <c r="C711" s="337"/>
      <c r="D711" s="421" t="s">
        <v>1487</v>
      </c>
      <c r="E711" s="337"/>
      <c r="F711" s="337"/>
      <c r="G711" s="422"/>
      <c r="H711" s="422"/>
      <c r="I711" s="422"/>
      <c r="J711" s="422"/>
      <c r="K711" s="422"/>
      <c r="L711" s="237"/>
      <c r="M711" s="263"/>
      <c r="N711" s="348">
        <v>0</v>
      </c>
      <c r="O711" s="348">
        <v>0</v>
      </c>
      <c r="P711" s="349">
        <v>500</v>
      </c>
      <c r="Q711" s="236">
        <v>500</v>
      </c>
      <c r="R711" s="235">
        <v>500</v>
      </c>
      <c r="S711" s="235">
        <v>500</v>
      </c>
      <c r="T711" s="235">
        <v>500</v>
      </c>
      <c r="U711" s="235">
        <v>500</v>
      </c>
      <c r="V711" s="235">
        <v>500</v>
      </c>
    </row>
    <row r="712" spans="1:22" ht="24" customHeight="1">
      <c r="A712" s="421" t="s">
        <v>959</v>
      </c>
      <c r="B712" s="337"/>
      <c r="C712" s="337"/>
      <c r="D712" s="421" t="s">
        <v>1488</v>
      </c>
      <c r="E712" s="337"/>
      <c r="F712" s="337"/>
      <c r="G712" s="422"/>
      <c r="H712" s="422"/>
      <c r="I712" s="422"/>
      <c r="J712" s="422"/>
      <c r="K712" s="422"/>
      <c r="L712" s="237"/>
      <c r="M712" s="263"/>
      <c r="N712" s="348">
        <v>0</v>
      </c>
      <c r="O712" s="348">
        <v>0</v>
      </c>
      <c r="P712" s="349">
        <v>100</v>
      </c>
      <c r="Q712" s="236">
        <v>100</v>
      </c>
      <c r="R712" s="235">
        <v>100</v>
      </c>
      <c r="S712" s="235">
        <v>100</v>
      </c>
      <c r="T712" s="235">
        <v>100</v>
      </c>
      <c r="U712" s="235">
        <v>100</v>
      </c>
      <c r="V712" s="235">
        <v>100</v>
      </c>
    </row>
    <row r="713" spans="1:22" ht="24" customHeight="1">
      <c r="A713" s="421" t="s">
        <v>516</v>
      </c>
      <c r="B713" s="337"/>
      <c r="C713" s="337"/>
      <c r="D713" s="421" t="s">
        <v>294</v>
      </c>
      <c r="E713" s="337"/>
      <c r="F713" s="422"/>
      <c r="G713" s="337"/>
      <c r="H713" s="337"/>
      <c r="I713" s="337"/>
      <c r="J713" s="337"/>
      <c r="K713" s="337"/>
      <c r="L713" s="229"/>
      <c r="M713" s="263"/>
      <c r="N713" s="348">
        <v>1399</v>
      </c>
      <c r="O713" s="348">
        <v>1699</v>
      </c>
      <c r="P713" s="349">
        <v>1800</v>
      </c>
      <c r="Q713" s="236">
        <v>1800</v>
      </c>
      <c r="R713" s="235">
        <v>2500</v>
      </c>
      <c r="S713" s="235">
        <v>2500</v>
      </c>
      <c r="T713" s="235">
        <v>2500</v>
      </c>
      <c r="U713" s="235">
        <v>2500</v>
      </c>
      <c r="V713" s="235">
        <v>2500</v>
      </c>
    </row>
    <row r="714" spans="1:22" ht="24" customHeight="1">
      <c r="A714" s="421" t="s">
        <v>997</v>
      </c>
      <c r="B714" s="337"/>
      <c r="C714" s="337"/>
      <c r="D714" s="421" t="s">
        <v>998</v>
      </c>
      <c r="E714" s="337"/>
      <c r="F714" s="422"/>
      <c r="G714" s="337"/>
      <c r="H714" s="337"/>
      <c r="I714" s="337"/>
      <c r="J714" s="337"/>
      <c r="K714" s="337"/>
      <c r="L714" s="229"/>
      <c r="M714" s="263"/>
      <c r="N714" s="348">
        <f>5623</f>
        <v>5623</v>
      </c>
      <c r="O714" s="348">
        <v>16541</v>
      </c>
      <c r="P714" s="349">
        <v>15000</v>
      </c>
      <c r="Q714" s="236">
        <v>15000</v>
      </c>
      <c r="R714" s="235">
        <v>15750</v>
      </c>
      <c r="S714" s="235">
        <v>16538</v>
      </c>
      <c r="T714" s="235">
        <v>17364</v>
      </c>
      <c r="U714" s="235">
        <v>18233</v>
      </c>
      <c r="V714" s="235">
        <v>19144</v>
      </c>
    </row>
    <row r="715" spans="1:22" ht="24" customHeight="1">
      <c r="A715" s="421" t="s">
        <v>517</v>
      </c>
      <c r="B715" s="337"/>
      <c r="C715" s="337"/>
      <c r="D715" s="421" t="s">
        <v>10</v>
      </c>
      <c r="E715" s="337"/>
      <c r="F715" s="337"/>
      <c r="G715" s="422"/>
      <c r="H715" s="422"/>
      <c r="I715" s="422"/>
      <c r="J715" s="422"/>
      <c r="K715" s="422"/>
      <c r="L715" s="237"/>
      <c r="M715" s="263"/>
      <c r="N715" s="348">
        <v>4022</v>
      </c>
      <c r="O715" s="348">
        <v>5960</v>
      </c>
      <c r="P715" s="349">
        <v>5000</v>
      </c>
      <c r="Q715" s="236">
        <v>5000</v>
      </c>
      <c r="R715" s="235">
        <v>5000</v>
      </c>
      <c r="S715" s="235">
        <v>5000</v>
      </c>
      <c r="T715" s="235">
        <v>5000</v>
      </c>
      <c r="U715" s="235">
        <v>5000</v>
      </c>
      <c r="V715" s="235">
        <v>5000</v>
      </c>
    </row>
    <row r="716" spans="1:22" ht="24" customHeight="1">
      <c r="A716" s="421" t="s">
        <v>518</v>
      </c>
      <c r="B716" s="422"/>
      <c r="C716" s="422"/>
      <c r="D716" s="421" t="s">
        <v>21</v>
      </c>
      <c r="E716" s="422"/>
      <c r="F716" s="422"/>
      <c r="G716" s="422"/>
      <c r="H716" s="422"/>
      <c r="I716" s="422"/>
      <c r="J716" s="422"/>
      <c r="K716" s="422"/>
      <c r="L716" s="237"/>
      <c r="M716" s="263"/>
      <c r="N716" s="348">
        <v>21071</v>
      </c>
      <c r="O716" s="350">
        <v>19782</v>
      </c>
      <c r="P716" s="353">
        <v>42000</v>
      </c>
      <c r="Q716" s="243">
        <v>42000</v>
      </c>
      <c r="R716" s="239">
        <v>44100</v>
      </c>
      <c r="S716" s="239">
        <v>46305</v>
      </c>
      <c r="T716" s="239">
        <v>48620</v>
      </c>
      <c r="U716" s="239">
        <v>51051</v>
      </c>
      <c r="V716" s="239">
        <v>53604</v>
      </c>
    </row>
    <row r="717" spans="1:22" ht="24" customHeight="1">
      <c r="A717" s="421" t="s">
        <v>519</v>
      </c>
      <c r="B717" s="422"/>
      <c r="C717" s="422"/>
      <c r="D717" s="421" t="s">
        <v>102</v>
      </c>
      <c r="E717" s="422"/>
      <c r="F717" s="422"/>
      <c r="G717" s="337"/>
      <c r="H717" s="337"/>
      <c r="I717" s="337"/>
      <c r="J717" s="337"/>
      <c r="K717" s="337"/>
      <c r="L717" s="229"/>
      <c r="M717" s="229"/>
      <c r="N717" s="377">
        <v>0</v>
      </c>
      <c r="O717" s="377">
        <v>396</v>
      </c>
      <c r="P717" s="378">
        <v>1500</v>
      </c>
      <c r="Q717" s="284">
        <v>1500</v>
      </c>
      <c r="R717" s="283">
        <v>1500</v>
      </c>
      <c r="S717" s="283">
        <v>1500</v>
      </c>
      <c r="T717" s="283">
        <v>1500</v>
      </c>
      <c r="U717" s="283">
        <v>1500</v>
      </c>
      <c r="V717" s="283">
        <v>1500</v>
      </c>
    </row>
    <row r="718" spans="1:22" ht="24" customHeight="1">
      <c r="A718" s="421" t="s">
        <v>1371</v>
      </c>
      <c r="B718" s="422"/>
      <c r="C718" s="422"/>
      <c r="D718" s="421" t="s">
        <v>1366</v>
      </c>
      <c r="E718" s="422"/>
      <c r="F718" s="422"/>
      <c r="G718" s="422"/>
      <c r="H718" s="422"/>
      <c r="I718" s="422"/>
      <c r="J718" s="422"/>
      <c r="K718" s="422"/>
      <c r="L718" s="237"/>
      <c r="M718" s="275"/>
      <c r="N718" s="372">
        <v>4908</v>
      </c>
      <c r="O718" s="372">
        <v>3997</v>
      </c>
      <c r="P718" s="379">
        <v>4000</v>
      </c>
      <c r="Q718" s="285">
        <v>12000</v>
      </c>
      <c r="R718" s="276">
        <v>5000</v>
      </c>
      <c r="S718" s="276">
        <v>5000</v>
      </c>
      <c r="T718" s="276">
        <v>5000</v>
      </c>
      <c r="U718" s="276">
        <v>5000</v>
      </c>
      <c r="V718" s="276">
        <v>5000</v>
      </c>
    </row>
    <row r="719" spans="1:22" ht="24" customHeight="1">
      <c r="A719" s="421" t="s">
        <v>970</v>
      </c>
      <c r="B719" s="422"/>
      <c r="C719" s="422"/>
      <c r="D719" s="421" t="s">
        <v>417</v>
      </c>
      <c r="E719" s="422"/>
      <c r="F719" s="422"/>
      <c r="G719" s="422"/>
      <c r="H719" s="422"/>
      <c r="I719" s="422"/>
      <c r="J719" s="422"/>
      <c r="K719" s="422"/>
      <c r="L719" s="237"/>
      <c r="M719" s="275"/>
      <c r="N719" s="372">
        <v>0</v>
      </c>
      <c r="O719" s="372">
        <v>2511</v>
      </c>
      <c r="P719" s="379">
        <v>3000</v>
      </c>
      <c r="Q719" s="285">
        <v>3000</v>
      </c>
      <c r="R719" s="276">
        <v>3000</v>
      </c>
      <c r="S719" s="276">
        <v>3000</v>
      </c>
      <c r="T719" s="276">
        <v>2700</v>
      </c>
      <c r="U719" s="276">
        <v>2700</v>
      </c>
      <c r="V719" s="276">
        <v>2700</v>
      </c>
    </row>
    <row r="720" spans="1:22" ht="24" customHeight="1">
      <c r="A720" s="421" t="s">
        <v>969</v>
      </c>
      <c r="B720" s="422"/>
      <c r="C720" s="422"/>
      <c r="D720" s="421" t="s">
        <v>22</v>
      </c>
      <c r="E720" s="422"/>
      <c r="F720" s="422"/>
      <c r="G720" s="422"/>
      <c r="H720" s="422"/>
      <c r="I720" s="422"/>
      <c r="J720" s="422"/>
      <c r="K720" s="422"/>
      <c r="L720" s="237"/>
      <c r="M720" s="263"/>
      <c r="N720" s="348">
        <v>15859</v>
      </c>
      <c r="O720" s="348">
        <v>2529</v>
      </c>
      <c r="P720" s="349">
        <v>0</v>
      </c>
      <c r="Q720" s="236">
        <v>3000</v>
      </c>
      <c r="R720" s="235">
        <v>3000</v>
      </c>
      <c r="S720" s="235">
        <v>3000</v>
      </c>
      <c r="T720" s="235">
        <v>3000</v>
      </c>
      <c r="U720" s="235">
        <v>3000</v>
      </c>
      <c r="V720" s="235">
        <v>3000</v>
      </c>
    </row>
    <row r="721" spans="1:25" ht="24" customHeight="1">
      <c r="A721" s="421" t="s">
        <v>520</v>
      </c>
      <c r="B721" s="422"/>
      <c r="C721" s="422"/>
      <c r="D721" s="421" t="s">
        <v>114</v>
      </c>
      <c r="E721" s="422"/>
      <c r="F721" s="422"/>
      <c r="G721" s="422"/>
      <c r="H721" s="422"/>
      <c r="I721" s="422"/>
      <c r="J721" s="422"/>
      <c r="K721" s="422"/>
      <c r="L721" s="237"/>
      <c r="M721" s="263"/>
      <c r="N721" s="348">
        <v>1830</v>
      </c>
      <c r="O721" s="348">
        <v>2753</v>
      </c>
      <c r="P721" s="349">
        <v>2500</v>
      </c>
      <c r="Q721" s="236">
        <v>2500</v>
      </c>
      <c r="R721" s="235">
        <v>2500</v>
      </c>
      <c r="S721" s="235">
        <v>2500</v>
      </c>
      <c r="T721" s="235">
        <v>2500</v>
      </c>
      <c r="U721" s="235">
        <v>2500</v>
      </c>
      <c r="V721" s="235">
        <v>2500</v>
      </c>
    </row>
    <row r="722" spans="1:25" ht="24" customHeight="1">
      <c r="A722" s="421" t="s">
        <v>521</v>
      </c>
      <c r="B722" s="422"/>
      <c r="C722" s="422"/>
      <c r="D722" s="421" t="s">
        <v>11</v>
      </c>
      <c r="E722" s="422"/>
      <c r="F722" s="422"/>
      <c r="G722" s="422"/>
      <c r="H722" s="422"/>
      <c r="I722" s="422"/>
      <c r="J722" s="422"/>
      <c r="K722" s="422"/>
      <c r="L722" s="237"/>
      <c r="M722" s="263"/>
      <c r="N722" s="348">
        <v>1072</v>
      </c>
      <c r="O722" s="348">
        <v>519</v>
      </c>
      <c r="P722" s="349">
        <v>2000</v>
      </c>
      <c r="Q722" s="236">
        <v>2000</v>
      </c>
      <c r="R722" s="235">
        <v>2000</v>
      </c>
      <c r="S722" s="235">
        <v>2000</v>
      </c>
      <c r="T722" s="235">
        <v>2000</v>
      </c>
      <c r="U722" s="235">
        <v>2000</v>
      </c>
      <c r="V722" s="235">
        <v>2000</v>
      </c>
    </row>
    <row r="723" spans="1:25" ht="24" customHeight="1">
      <c r="A723" s="421" t="s">
        <v>522</v>
      </c>
      <c r="B723" s="422"/>
      <c r="C723" s="422"/>
      <c r="D723" s="421" t="s">
        <v>523</v>
      </c>
      <c r="E723" s="422"/>
      <c r="F723" s="422"/>
      <c r="G723" s="422"/>
      <c r="H723" s="422"/>
      <c r="I723" s="422"/>
      <c r="J723" s="422"/>
      <c r="K723" s="422"/>
      <c r="L723" s="237"/>
      <c r="M723" s="247"/>
      <c r="N723" s="346">
        <v>4747</v>
      </c>
      <c r="O723" s="350">
        <f>17853-O714</f>
        <v>1312</v>
      </c>
      <c r="P723" s="347">
        <v>10000</v>
      </c>
      <c r="Q723" s="232">
        <v>10000</v>
      </c>
      <c r="R723" s="231">
        <v>10500</v>
      </c>
      <c r="S723" s="231">
        <v>11025</v>
      </c>
      <c r="T723" s="231">
        <v>11576</v>
      </c>
      <c r="U723" s="231">
        <v>12155</v>
      </c>
      <c r="V723" s="231">
        <v>12763</v>
      </c>
    </row>
    <row r="724" spans="1:25" ht="24" customHeight="1">
      <c r="A724" s="421" t="s">
        <v>524</v>
      </c>
      <c r="B724" s="422"/>
      <c r="C724" s="422"/>
      <c r="D724" s="421" t="s">
        <v>13</v>
      </c>
      <c r="E724" s="422"/>
      <c r="F724" s="422"/>
      <c r="G724" s="422"/>
      <c r="H724" s="422"/>
      <c r="I724" s="422"/>
      <c r="J724" s="422"/>
      <c r="K724" s="422"/>
      <c r="L724" s="237"/>
      <c r="M724" s="263"/>
      <c r="N724" s="348">
        <v>1891</v>
      </c>
      <c r="O724" s="348">
        <v>3690</v>
      </c>
      <c r="P724" s="349">
        <v>4500</v>
      </c>
      <c r="Q724" s="236">
        <f t="shared" ref="Q724:V724" si="75">2500+2000</f>
        <v>4500</v>
      </c>
      <c r="R724" s="235">
        <f t="shared" si="75"/>
        <v>4500</v>
      </c>
      <c r="S724" s="235">
        <f t="shared" si="75"/>
        <v>4500</v>
      </c>
      <c r="T724" s="235">
        <f t="shared" si="75"/>
        <v>4500</v>
      </c>
      <c r="U724" s="235">
        <f t="shared" si="75"/>
        <v>4500</v>
      </c>
      <c r="V724" s="235">
        <f t="shared" si="75"/>
        <v>4500</v>
      </c>
    </row>
    <row r="725" spans="1:25" ht="24" customHeight="1">
      <c r="A725" s="421" t="s">
        <v>1372</v>
      </c>
      <c r="B725" s="422"/>
      <c r="C725" s="422"/>
      <c r="D725" s="421" t="s">
        <v>1368</v>
      </c>
      <c r="E725" s="422"/>
      <c r="F725" s="422"/>
      <c r="G725" s="422"/>
      <c r="H725" s="422"/>
      <c r="I725" s="422"/>
      <c r="J725" s="422"/>
      <c r="K725" s="422"/>
      <c r="L725" s="237"/>
      <c r="M725" s="263"/>
      <c r="N725" s="348">
        <v>0</v>
      </c>
      <c r="O725" s="348">
        <v>0</v>
      </c>
      <c r="P725" s="349">
        <v>0</v>
      </c>
      <c r="Q725" s="236">
        <v>0</v>
      </c>
      <c r="R725" s="235">
        <v>2000</v>
      </c>
      <c r="S725" s="235">
        <v>2000</v>
      </c>
      <c r="T725" s="235">
        <v>2000</v>
      </c>
      <c r="U725" s="235">
        <v>2000</v>
      </c>
      <c r="V725" s="235">
        <v>2000</v>
      </c>
      <c r="W725" s="282"/>
    </row>
    <row r="726" spans="1:25" ht="24" customHeight="1">
      <c r="A726" s="421" t="s">
        <v>525</v>
      </c>
      <c r="B726" s="422"/>
      <c r="C726" s="422"/>
      <c r="D726" s="421" t="s">
        <v>20</v>
      </c>
      <c r="E726" s="422"/>
      <c r="F726" s="422"/>
      <c r="G726" s="422"/>
      <c r="H726" s="422"/>
      <c r="I726" s="422"/>
      <c r="J726" s="422"/>
      <c r="K726" s="422"/>
      <c r="L726" s="237"/>
      <c r="M726" s="263"/>
      <c r="N726" s="348">
        <v>1354</v>
      </c>
      <c r="O726" s="348">
        <v>781</v>
      </c>
      <c r="P726" s="349">
        <v>4500</v>
      </c>
      <c r="Q726" s="236">
        <v>4500</v>
      </c>
      <c r="R726" s="235">
        <f>1000+500+1000</f>
        <v>2500</v>
      </c>
      <c r="S726" s="235">
        <f>1000+500+1000</f>
        <v>2500</v>
      </c>
      <c r="T726" s="235">
        <f>1000+500+1000</f>
        <v>2500</v>
      </c>
      <c r="U726" s="235">
        <f>1000+500+1000</f>
        <v>2500</v>
      </c>
      <c r="V726" s="235">
        <f>1000+500+1000</f>
        <v>2500</v>
      </c>
    </row>
    <row r="727" spans="1:25" ht="24" customHeight="1">
      <c r="A727" s="421" t="s">
        <v>526</v>
      </c>
      <c r="B727" s="422"/>
      <c r="C727" s="422"/>
      <c r="D727" s="421" t="s">
        <v>304</v>
      </c>
      <c r="E727" s="422"/>
      <c r="F727" s="422"/>
      <c r="G727" s="440"/>
      <c r="H727" s="440"/>
      <c r="I727" s="440"/>
      <c r="J727" s="440"/>
      <c r="K727" s="440"/>
      <c r="L727" s="318"/>
      <c r="M727" s="263"/>
      <c r="N727" s="348">
        <v>879</v>
      </c>
      <c r="O727" s="348">
        <v>77</v>
      </c>
      <c r="P727" s="349">
        <v>3000</v>
      </c>
      <c r="Q727" s="236">
        <v>3000</v>
      </c>
      <c r="R727" s="235">
        <v>1200</v>
      </c>
      <c r="S727" s="235">
        <v>1200</v>
      </c>
      <c r="T727" s="235">
        <v>1200</v>
      </c>
      <c r="U727" s="235">
        <v>1200</v>
      </c>
      <c r="V727" s="235">
        <v>1200</v>
      </c>
    </row>
    <row r="728" spans="1:25" ht="24" customHeight="1">
      <c r="A728" s="421" t="s">
        <v>527</v>
      </c>
      <c r="B728" s="422"/>
      <c r="C728" s="422"/>
      <c r="D728" s="421" t="s">
        <v>1490</v>
      </c>
      <c r="E728" s="422"/>
      <c r="F728" s="422"/>
      <c r="G728" s="422"/>
      <c r="H728" s="422"/>
      <c r="I728" s="422"/>
      <c r="J728" s="422"/>
      <c r="K728" s="422"/>
      <c r="L728" s="237"/>
      <c r="M728" s="247"/>
      <c r="N728" s="346">
        <v>10954</v>
      </c>
      <c r="O728" s="346">
        <v>5246</v>
      </c>
      <c r="P728" s="347">
        <v>10000</v>
      </c>
      <c r="Q728" s="232">
        <v>10000</v>
      </c>
      <c r="R728" s="231">
        <v>26750</v>
      </c>
      <c r="S728" s="231">
        <v>28623</v>
      </c>
      <c r="T728" s="231">
        <v>30626</v>
      </c>
      <c r="U728" s="231">
        <v>32770</v>
      </c>
      <c r="V728" s="231">
        <v>32770</v>
      </c>
    </row>
    <row r="729" spans="1:25" ht="24" customHeight="1">
      <c r="A729" s="421" t="s">
        <v>528</v>
      </c>
      <c r="B729" s="422"/>
      <c r="C729" s="422"/>
      <c r="D729" s="421" t="s">
        <v>182</v>
      </c>
      <c r="E729" s="422"/>
      <c r="F729" s="422"/>
      <c r="G729" s="422"/>
      <c r="H729" s="422"/>
      <c r="I729" s="422"/>
      <c r="J729" s="422"/>
      <c r="K729" s="422"/>
      <c r="L729" s="237"/>
      <c r="M729" s="263"/>
      <c r="N729" s="348">
        <v>28692</v>
      </c>
      <c r="O729" s="350">
        <v>31003</v>
      </c>
      <c r="P729" s="353">
        <v>29211</v>
      </c>
      <c r="Q729" s="243">
        <v>33173</v>
      </c>
      <c r="R729" s="239">
        <v>31256</v>
      </c>
      <c r="S729" s="239">
        <v>33444</v>
      </c>
      <c r="T729" s="239">
        <v>35785</v>
      </c>
      <c r="U729" s="239">
        <v>38290</v>
      </c>
      <c r="V729" s="239">
        <v>40970</v>
      </c>
    </row>
    <row r="730" spans="1:25" ht="24" customHeight="1">
      <c r="A730" s="421" t="s">
        <v>1511</v>
      </c>
      <c r="B730" s="422"/>
      <c r="C730" s="422"/>
      <c r="D730" s="423" t="s">
        <v>1501</v>
      </c>
      <c r="E730" s="422"/>
      <c r="F730" s="422"/>
      <c r="G730" s="422"/>
      <c r="H730" s="422"/>
      <c r="I730" s="422"/>
      <c r="J730" s="422"/>
      <c r="K730" s="422"/>
      <c r="L730" s="237"/>
      <c r="M730" s="263"/>
      <c r="N730" s="348">
        <v>0</v>
      </c>
      <c r="O730" s="350">
        <v>0</v>
      </c>
      <c r="P730" s="353">
        <v>0</v>
      </c>
      <c r="Q730" s="243">
        <v>0</v>
      </c>
      <c r="R730" s="239">
        <v>0</v>
      </c>
      <c r="S730" s="239">
        <v>343640</v>
      </c>
      <c r="T730" s="239">
        <v>186580</v>
      </c>
      <c r="U730" s="239">
        <v>342950</v>
      </c>
      <c r="V730" s="239">
        <v>0</v>
      </c>
    </row>
    <row r="731" spans="1:25" ht="24" customHeight="1">
      <c r="A731" s="421" t="s">
        <v>1398</v>
      </c>
      <c r="B731" s="422"/>
      <c r="C731" s="422"/>
      <c r="D731" s="421" t="s">
        <v>381</v>
      </c>
      <c r="E731" s="422"/>
      <c r="F731" s="422"/>
      <c r="G731" s="422"/>
      <c r="H731" s="422"/>
      <c r="I731" s="422"/>
      <c r="J731" s="422"/>
      <c r="K731" s="422"/>
      <c r="L731" s="237"/>
      <c r="M731" s="263"/>
      <c r="N731" s="348">
        <v>0</v>
      </c>
      <c r="O731" s="350">
        <v>0</v>
      </c>
      <c r="P731" s="353">
        <v>0</v>
      </c>
      <c r="Q731" s="243">
        <v>0</v>
      </c>
      <c r="R731" s="239">
        <v>0</v>
      </c>
      <c r="S731" s="239">
        <v>30000</v>
      </c>
      <c r="T731" s="239">
        <v>0</v>
      </c>
      <c r="U731" s="239">
        <v>0</v>
      </c>
      <c r="V731" s="239">
        <v>0</v>
      </c>
    </row>
    <row r="732" spans="1:25" ht="24" customHeight="1">
      <c r="A732" s="421" t="s">
        <v>529</v>
      </c>
      <c r="B732" s="337"/>
      <c r="C732" s="337"/>
      <c r="D732" s="421" t="s">
        <v>374</v>
      </c>
      <c r="E732" s="337"/>
      <c r="F732" s="337"/>
      <c r="G732" s="337"/>
      <c r="H732" s="337"/>
      <c r="I732" s="337"/>
      <c r="J732" s="337"/>
      <c r="K732" s="337"/>
      <c r="L732" s="229"/>
      <c r="M732" s="234"/>
      <c r="N732" s="348">
        <v>0</v>
      </c>
      <c r="O732" s="348">
        <v>25054</v>
      </c>
      <c r="P732" s="349">
        <v>60000</v>
      </c>
      <c r="Q732" s="236">
        <v>38951</v>
      </c>
      <c r="R732" s="235">
        <v>66773</v>
      </c>
      <c r="S732" s="235">
        <v>66773</v>
      </c>
      <c r="T732" s="235">
        <v>66773</v>
      </c>
      <c r="U732" s="235">
        <v>66773</v>
      </c>
      <c r="V732" s="235">
        <v>66773</v>
      </c>
      <c r="W732" s="235"/>
    </row>
    <row r="733" spans="1:25" ht="24" customHeight="1">
      <c r="A733" s="421" t="s">
        <v>530</v>
      </c>
      <c r="B733" s="337"/>
      <c r="C733" s="337"/>
      <c r="D733" s="421" t="s">
        <v>531</v>
      </c>
      <c r="E733" s="337"/>
      <c r="F733" s="337"/>
      <c r="G733" s="337"/>
      <c r="H733" s="337"/>
      <c r="I733" s="337"/>
      <c r="J733" s="337"/>
      <c r="K733" s="337"/>
      <c r="L733" s="229"/>
      <c r="M733" s="234"/>
      <c r="N733" s="348">
        <v>30996</v>
      </c>
      <c r="O733" s="348">
        <v>30996</v>
      </c>
      <c r="P733" s="349">
        <v>30996</v>
      </c>
      <c r="Q733" s="236">
        <v>30996</v>
      </c>
      <c r="R733" s="235">
        <v>0</v>
      </c>
      <c r="S733" s="235">
        <v>0</v>
      </c>
      <c r="T733" s="235">
        <v>0</v>
      </c>
      <c r="U733" s="235">
        <v>0</v>
      </c>
      <c r="V733" s="235">
        <v>0</v>
      </c>
    </row>
    <row r="734" spans="1:25" ht="24" customHeight="1">
      <c r="A734" s="421" t="s">
        <v>852</v>
      </c>
      <c r="B734" s="337"/>
      <c r="C734" s="337"/>
      <c r="D734" s="421" t="s">
        <v>853</v>
      </c>
      <c r="E734" s="337"/>
      <c r="F734" s="337"/>
      <c r="G734" s="337"/>
      <c r="H734" s="337"/>
      <c r="I734" s="337"/>
      <c r="J734" s="337"/>
      <c r="K734" s="337"/>
      <c r="L734" s="229"/>
      <c r="M734" s="234"/>
      <c r="N734" s="348">
        <v>0</v>
      </c>
      <c r="O734" s="350">
        <v>0</v>
      </c>
      <c r="P734" s="353">
        <v>150000</v>
      </c>
      <c r="Q734" s="243">
        <v>0</v>
      </c>
      <c r="R734" s="239">
        <v>0</v>
      </c>
      <c r="S734" s="239">
        <v>0</v>
      </c>
      <c r="T734" s="239">
        <v>0</v>
      </c>
      <c r="U734" s="239">
        <v>0</v>
      </c>
      <c r="V734" s="239">
        <v>0</v>
      </c>
    </row>
    <row r="735" spans="1:25" ht="24" customHeight="1">
      <c r="A735" s="425" t="s">
        <v>532</v>
      </c>
      <c r="B735" s="425"/>
      <c r="C735" s="425"/>
      <c r="D735" s="425"/>
      <c r="E735" s="425"/>
      <c r="F735" s="425"/>
      <c r="G735" s="425"/>
      <c r="H735" s="425"/>
      <c r="I735" s="425"/>
      <c r="J735" s="425"/>
      <c r="K735" s="425"/>
      <c r="L735" s="257"/>
      <c r="M735" s="316"/>
      <c r="N735" s="361"/>
      <c r="O735" s="361"/>
      <c r="P735" s="360"/>
      <c r="Q735" s="255"/>
      <c r="R735" s="254"/>
      <c r="S735" s="254"/>
      <c r="T735" s="254"/>
      <c r="U735" s="254"/>
      <c r="V735" s="254"/>
      <c r="X735" s="332"/>
      <c r="Y735" s="332"/>
    </row>
    <row r="736" spans="1:25" ht="24" customHeight="1">
      <c r="A736" s="421" t="s">
        <v>533</v>
      </c>
      <c r="B736" s="422"/>
      <c r="C736" s="422"/>
      <c r="D736" s="421" t="s">
        <v>1417</v>
      </c>
      <c r="E736" s="422"/>
      <c r="F736" s="422"/>
      <c r="G736" s="422"/>
      <c r="H736" s="422"/>
      <c r="I736" s="422"/>
      <c r="J736" s="422"/>
      <c r="K736" s="422"/>
      <c r="L736" s="237"/>
      <c r="M736" s="263"/>
      <c r="N736" s="348">
        <v>155000</v>
      </c>
      <c r="O736" s="348">
        <v>160000</v>
      </c>
      <c r="P736" s="349">
        <v>170000</v>
      </c>
      <c r="Q736" s="236">
        <v>170000</v>
      </c>
      <c r="R736" s="235">
        <v>280000</v>
      </c>
      <c r="S736" s="235">
        <v>375000</v>
      </c>
      <c r="T736" s="235">
        <v>395000</v>
      </c>
      <c r="U736" s="235">
        <v>410000</v>
      </c>
      <c r="V736" s="235">
        <v>435000</v>
      </c>
      <c r="X736" s="311"/>
      <c r="Y736" s="311"/>
    </row>
    <row r="737" spans="1:25" ht="24" customHeight="1">
      <c r="A737" s="421" t="s">
        <v>534</v>
      </c>
      <c r="B737" s="422"/>
      <c r="C737" s="422"/>
      <c r="D737" s="421" t="s">
        <v>384</v>
      </c>
      <c r="E737" s="422"/>
      <c r="F737" s="422"/>
      <c r="G737" s="422"/>
      <c r="H737" s="422"/>
      <c r="I737" s="422"/>
      <c r="J737" s="422"/>
      <c r="K737" s="422"/>
      <c r="L737" s="237"/>
      <c r="M737" s="279"/>
      <c r="N737" s="351">
        <v>103300</v>
      </c>
      <c r="O737" s="351">
        <v>98650</v>
      </c>
      <c r="P737" s="349">
        <v>93850</v>
      </c>
      <c r="Q737" s="236">
        <v>93850</v>
      </c>
      <c r="R737" s="235">
        <v>88750</v>
      </c>
      <c r="S737" s="235">
        <v>78950</v>
      </c>
      <c r="T737" s="235">
        <v>65825</v>
      </c>
      <c r="U737" s="235">
        <v>52000</v>
      </c>
      <c r="V737" s="235">
        <v>35600</v>
      </c>
      <c r="X737" s="311"/>
      <c r="Y737" s="311"/>
    </row>
    <row r="738" spans="1:25" ht="24" customHeight="1">
      <c r="A738" s="425" t="s">
        <v>535</v>
      </c>
      <c r="B738" s="425"/>
      <c r="C738" s="425"/>
      <c r="D738" s="425"/>
      <c r="E738" s="425"/>
      <c r="F738" s="425"/>
      <c r="G738" s="425"/>
      <c r="H738" s="425"/>
      <c r="I738" s="425"/>
      <c r="J738" s="425"/>
      <c r="K738" s="425"/>
      <c r="L738" s="257"/>
      <c r="M738" s="316"/>
      <c r="N738" s="361"/>
      <c r="O738" s="361"/>
      <c r="P738" s="360"/>
      <c r="Q738" s="255"/>
      <c r="R738" s="254"/>
      <c r="S738" s="254"/>
      <c r="T738" s="254"/>
      <c r="U738" s="254"/>
      <c r="V738" s="254"/>
      <c r="X738" s="311"/>
      <c r="Y738" s="311"/>
    </row>
    <row r="739" spans="1:25" ht="24" customHeight="1">
      <c r="A739" s="421" t="s">
        <v>536</v>
      </c>
      <c r="B739" s="422"/>
      <c r="C739" s="422"/>
      <c r="D739" s="421" t="s">
        <v>1417</v>
      </c>
      <c r="E739" s="422"/>
      <c r="F739" s="422"/>
      <c r="G739" s="422"/>
      <c r="H739" s="422"/>
      <c r="I739" s="422"/>
      <c r="J739" s="422"/>
      <c r="K739" s="422"/>
      <c r="L739" s="237"/>
      <c r="M739" s="263"/>
      <c r="N739" s="348">
        <v>90000</v>
      </c>
      <c r="O739" s="348">
        <v>95000</v>
      </c>
      <c r="P739" s="349">
        <v>100000</v>
      </c>
      <c r="Q739" s="236">
        <v>100000</v>
      </c>
      <c r="R739" s="235">
        <v>100000</v>
      </c>
      <c r="S739" s="235">
        <v>105000</v>
      </c>
      <c r="T739" s="235">
        <v>110000</v>
      </c>
      <c r="U739" s="235">
        <v>115000</v>
      </c>
      <c r="V739" s="235">
        <v>120000</v>
      </c>
      <c r="X739" s="311"/>
      <c r="Y739" s="311"/>
    </row>
    <row r="740" spans="1:25" ht="24" customHeight="1">
      <c r="A740" s="421" t="s">
        <v>537</v>
      </c>
      <c r="B740" s="422"/>
      <c r="C740" s="422"/>
      <c r="D740" s="421" t="s">
        <v>384</v>
      </c>
      <c r="E740" s="422"/>
      <c r="F740" s="422"/>
      <c r="G740" s="422"/>
      <c r="H740" s="422"/>
      <c r="I740" s="422"/>
      <c r="J740" s="422"/>
      <c r="K740" s="422"/>
      <c r="L740" s="237"/>
      <c r="M740" s="279"/>
      <c r="N740" s="351">
        <v>73653</v>
      </c>
      <c r="O740" s="351">
        <v>70143</v>
      </c>
      <c r="P740" s="349">
        <v>66248</v>
      </c>
      <c r="Q740" s="236">
        <v>66248</v>
      </c>
      <c r="R740" s="235">
        <v>62048</v>
      </c>
      <c r="S740" s="235">
        <v>57648</v>
      </c>
      <c r="T740" s="235">
        <v>52870</v>
      </c>
      <c r="U740" s="235">
        <v>47755</v>
      </c>
      <c r="V740" s="235">
        <v>42293</v>
      </c>
      <c r="X740" s="311"/>
      <c r="Y740" s="311"/>
    </row>
    <row r="741" spans="1:25" ht="24" customHeight="1">
      <c r="A741" s="425" t="s">
        <v>538</v>
      </c>
      <c r="B741" s="425"/>
      <c r="C741" s="425"/>
      <c r="D741" s="425"/>
      <c r="E741" s="425"/>
      <c r="F741" s="425"/>
      <c r="G741" s="425"/>
      <c r="H741" s="425"/>
      <c r="I741" s="425"/>
      <c r="J741" s="425"/>
      <c r="K741" s="425"/>
      <c r="L741" s="257"/>
      <c r="M741" s="316"/>
      <c r="N741" s="361"/>
      <c r="O741" s="361"/>
      <c r="P741" s="360"/>
      <c r="Q741" s="255"/>
      <c r="R741" s="254"/>
      <c r="S741" s="254"/>
      <c r="T741" s="254"/>
      <c r="U741" s="254"/>
      <c r="V741" s="254"/>
      <c r="X741" s="311"/>
      <c r="Y741" s="311"/>
    </row>
    <row r="742" spans="1:25" ht="24" customHeight="1">
      <c r="A742" s="421" t="s">
        <v>539</v>
      </c>
      <c r="B742" s="422"/>
      <c r="C742" s="422"/>
      <c r="D742" s="421" t="s">
        <v>1417</v>
      </c>
      <c r="E742" s="422"/>
      <c r="F742" s="422"/>
      <c r="G742" s="422"/>
      <c r="H742" s="422"/>
      <c r="I742" s="422"/>
      <c r="J742" s="422"/>
      <c r="K742" s="422"/>
      <c r="L742" s="237"/>
      <c r="M742" s="263"/>
      <c r="N742" s="348">
        <v>160000</v>
      </c>
      <c r="O742" s="348">
        <v>170000</v>
      </c>
      <c r="P742" s="349">
        <v>175000</v>
      </c>
      <c r="Q742" s="236">
        <v>175000</v>
      </c>
      <c r="R742" s="235">
        <v>180000</v>
      </c>
      <c r="S742" s="235">
        <v>190000</v>
      </c>
      <c r="T742" s="235">
        <v>0</v>
      </c>
      <c r="U742" s="235">
        <v>0</v>
      </c>
      <c r="V742" s="235">
        <v>0</v>
      </c>
      <c r="X742" s="311"/>
      <c r="Y742" s="311"/>
    </row>
    <row r="743" spans="1:25" ht="24" customHeight="1">
      <c r="A743" s="421" t="s">
        <v>540</v>
      </c>
      <c r="B743" s="422"/>
      <c r="C743" s="422"/>
      <c r="D743" s="421" t="s">
        <v>384</v>
      </c>
      <c r="E743" s="422"/>
      <c r="F743" s="422"/>
      <c r="G743" s="422"/>
      <c r="H743" s="422"/>
      <c r="I743" s="422"/>
      <c r="J743" s="422"/>
      <c r="K743" s="422"/>
      <c r="L743" s="237"/>
      <c r="M743" s="279"/>
      <c r="N743" s="351">
        <v>28573</v>
      </c>
      <c r="O743" s="351">
        <v>24093</v>
      </c>
      <c r="P743" s="349">
        <v>18738</v>
      </c>
      <c r="Q743" s="236">
        <v>18738</v>
      </c>
      <c r="R743" s="235">
        <v>13050</v>
      </c>
      <c r="S743" s="235">
        <v>6840</v>
      </c>
      <c r="T743" s="235">
        <v>0</v>
      </c>
      <c r="U743" s="235">
        <v>0</v>
      </c>
      <c r="V743" s="235">
        <v>0</v>
      </c>
      <c r="X743" s="311"/>
      <c r="Y743" s="311"/>
    </row>
    <row r="744" spans="1:25" ht="24" customHeight="1">
      <c r="A744" s="425" t="s">
        <v>547</v>
      </c>
      <c r="B744" s="425"/>
      <c r="C744" s="425"/>
      <c r="D744" s="425"/>
      <c r="E744" s="425"/>
      <c r="F744" s="425"/>
      <c r="G744" s="425"/>
      <c r="H744" s="425"/>
      <c r="I744" s="425"/>
      <c r="J744" s="425"/>
      <c r="K744" s="425"/>
      <c r="L744" s="257"/>
      <c r="M744" s="316"/>
      <c r="N744" s="361"/>
      <c r="O744" s="361"/>
      <c r="P744" s="360"/>
      <c r="Q744" s="255"/>
      <c r="R744" s="254"/>
      <c r="S744" s="254"/>
      <c r="T744" s="254"/>
      <c r="U744" s="254"/>
      <c r="V744" s="254"/>
      <c r="X744" s="311"/>
      <c r="Y744" s="311"/>
    </row>
    <row r="745" spans="1:25" ht="24" customHeight="1">
      <c r="A745" s="421" t="s">
        <v>1190</v>
      </c>
      <c r="B745" s="422"/>
      <c r="C745" s="422"/>
      <c r="D745" s="421" t="s">
        <v>1417</v>
      </c>
      <c r="E745" s="422"/>
      <c r="F745" s="422"/>
      <c r="G745" s="422"/>
      <c r="H745" s="422"/>
      <c r="I745" s="422"/>
      <c r="J745" s="422"/>
      <c r="K745" s="422"/>
      <c r="L745" s="237"/>
      <c r="M745" s="263"/>
      <c r="N745" s="348">
        <v>0</v>
      </c>
      <c r="O745" s="348">
        <v>0</v>
      </c>
      <c r="P745" s="349">
        <v>0</v>
      </c>
      <c r="Q745" s="236">
        <v>0</v>
      </c>
      <c r="R745" s="235">
        <v>660000</v>
      </c>
      <c r="S745" s="235">
        <v>685000</v>
      </c>
      <c r="T745" s="235">
        <v>715000</v>
      </c>
      <c r="U745" s="235">
        <v>745000</v>
      </c>
      <c r="V745" s="235">
        <v>780000</v>
      </c>
      <c r="X745" s="311"/>
      <c r="Y745" s="311"/>
    </row>
    <row r="746" spans="1:25" ht="24" customHeight="1">
      <c r="A746" s="421" t="s">
        <v>1191</v>
      </c>
      <c r="B746" s="422"/>
      <c r="C746" s="422"/>
      <c r="D746" s="421" t="s">
        <v>384</v>
      </c>
      <c r="E746" s="422"/>
      <c r="F746" s="422"/>
      <c r="G746" s="422"/>
      <c r="H746" s="422"/>
      <c r="I746" s="422"/>
      <c r="J746" s="422"/>
      <c r="K746" s="422"/>
      <c r="L746" s="237"/>
      <c r="M746" s="279"/>
      <c r="N746" s="351">
        <v>0</v>
      </c>
      <c r="O746" s="351">
        <v>225354</v>
      </c>
      <c r="P746" s="352">
        <v>318147</v>
      </c>
      <c r="Q746" s="242">
        <v>318147</v>
      </c>
      <c r="R746" s="241">
        <v>477220</v>
      </c>
      <c r="S746" s="241">
        <v>448972</v>
      </c>
      <c r="T746" s="241">
        <v>419654</v>
      </c>
      <c r="U746" s="241">
        <v>389052</v>
      </c>
      <c r="V746" s="241">
        <v>357166</v>
      </c>
      <c r="X746" s="311"/>
      <c r="Y746" s="311"/>
    </row>
    <row r="747" spans="1:25" ht="24" customHeight="1">
      <c r="A747" s="425" t="s">
        <v>541</v>
      </c>
      <c r="B747" s="425"/>
      <c r="C747" s="425"/>
      <c r="D747" s="425"/>
      <c r="E747" s="425"/>
      <c r="F747" s="425"/>
      <c r="G747" s="425"/>
      <c r="H747" s="425"/>
      <c r="I747" s="425"/>
      <c r="J747" s="425"/>
      <c r="K747" s="425"/>
      <c r="L747" s="257"/>
      <c r="M747" s="316"/>
      <c r="N747" s="361"/>
      <c r="O747" s="361"/>
      <c r="P747" s="360"/>
      <c r="Q747" s="255"/>
      <c r="R747" s="254"/>
      <c r="S747" s="254"/>
      <c r="T747" s="254"/>
      <c r="U747" s="254"/>
      <c r="V747" s="254"/>
      <c r="X747" s="311"/>
      <c r="Y747" s="311"/>
    </row>
    <row r="748" spans="1:25" ht="24" customHeight="1">
      <c r="A748" s="421" t="s">
        <v>542</v>
      </c>
      <c r="B748" s="422"/>
      <c r="C748" s="422"/>
      <c r="D748" s="421" t="s">
        <v>1417</v>
      </c>
      <c r="E748" s="422"/>
      <c r="F748" s="422"/>
      <c r="G748" s="422"/>
      <c r="H748" s="422"/>
      <c r="I748" s="422"/>
      <c r="J748" s="422"/>
      <c r="K748" s="422"/>
      <c r="L748" s="237"/>
      <c r="M748" s="263"/>
      <c r="N748" s="348">
        <v>0</v>
      </c>
      <c r="O748" s="377">
        <v>0</v>
      </c>
      <c r="P748" s="349">
        <v>0</v>
      </c>
      <c r="Q748" s="236">
        <v>0</v>
      </c>
      <c r="R748" s="235">
        <v>0</v>
      </c>
      <c r="S748" s="235">
        <v>0</v>
      </c>
      <c r="T748" s="235">
        <v>0</v>
      </c>
      <c r="U748" s="235">
        <v>0</v>
      </c>
      <c r="V748" s="235">
        <v>0</v>
      </c>
      <c r="X748" s="311"/>
      <c r="Y748" s="311"/>
    </row>
    <row r="749" spans="1:25" ht="24" customHeight="1">
      <c r="A749" s="421" t="s">
        <v>543</v>
      </c>
      <c r="B749" s="422"/>
      <c r="C749" s="422"/>
      <c r="D749" s="421" t="s">
        <v>384</v>
      </c>
      <c r="E749" s="422"/>
      <c r="F749" s="422"/>
      <c r="G749" s="422"/>
      <c r="H749" s="422"/>
      <c r="I749" s="422"/>
      <c r="J749" s="422"/>
      <c r="K749" s="422"/>
      <c r="L749" s="237"/>
      <c r="M749" s="279"/>
      <c r="N749" s="351">
        <v>385950</v>
      </c>
      <c r="O749" s="351">
        <v>332346</v>
      </c>
      <c r="P749" s="349">
        <v>0</v>
      </c>
      <c r="Q749" s="236">
        <v>0</v>
      </c>
      <c r="R749" s="235">
        <v>0</v>
      </c>
      <c r="S749" s="235">
        <v>0</v>
      </c>
      <c r="T749" s="235">
        <v>0</v>
      </c>
      <c r="U749" s="235">
        <v>0</v>
      </c>
      <c r="V749" s="235">
        <v>0</v>
      </c>
      <c r="X749" s="311"/>
      <c r="Y749" s="311"/>
    </row>
    <row r="750" spans="1:25" ht="24" customHeight="1">
      <c r="A750" s="425" t="s">
        <v>544</v>
      </c>
      <c r="B750" s="425"/>
      <c r="C750" s="425"/>
      <c r="D750" s="425"/>
      <c r="E750" s="425"/>
      <c r="F750" s="425"/>
      <c r="G750" s="425"/>
      <c r="H750" s="425"/>
      <c r="I750" s="425"/>
      <c r="J750" s="425"/>
      <c r="K750" s="425"/>
      <c r="L750" s="257"/>
      <c r="M750" s="316"/>
      <c r="N750" s="361"/>
      <c r="O750" s="361"/>
      <c r="P750" s="360"/>
      <c r="Q750" s="255"/>
      <c r="R750" s="254"/>
      <c r="S750" s="254"/>
      <c r="T750" s="254"/>
      <c r="U750" s="254"/>
      <c r="V750" s="254"/>
      <c r="X750" s="311"/>
      <c r="Y750" s="311"/>
    </row>
    <row r="751" spans="1:25" ht="24" customHeight="1">
      <c r="A751" s="421" t="s">
        <v>545</v>
      </c>
      <c r="B751" s="422"/>
      <c r="C751" s="422"/>
      <c r="D751" s="421" t="s">
        <v>1417</v>
      </c>
      <c r="E751" s="422"/>
      <c r="F751" s="422"/>
      <c r="G751" s="422"/>
      <c r="H751" s="422"/>
      <c r="I751" s="422"/>
      <c r="J751" s="422"/>
      <c r="K751" s="422"/>
      <c r="L751" s="237"/>
      <c r="M751" s="263"/>
      <c r="N751" s="348">
        <v>0</v>
      </c>
      <c r="O751" s="348">
        <v>0</v>
      </c>
      <c r="P751" s="349">
        <v>0</v>
      </c>
      <c r="Q751" s="236">
        <v>0</v>
      </c>
      <c r="R751" s="235">
        <v>0</v>
      </c>
      <c r="S751" s="235">
        <v>0</v>
      </c>
      <c r="T751" s="235">
        <v>0</v>
      </c>
      <c r="U751" s="235">
        <v>0</v>
      </c>
      <c r="V751" s="235">
        <v>0</v>
      </c>
      <c r="X751" s="311"/>
      <c r="Y751" s="311"/>
    </row>
    <row r="752" spans="1:25" ht="24" customHeight="1">
      <c r="A752" s="421" t="s">
        <v>546</v>
      </c>
      <c r="B752" s="422"/>
      <c r="C752" s="422"/>
      <c r="D752" s="421" t="s">
        <v>384</v>
      </c>
      <c r="E752" s="422"/>
      <c r="F752" s="422"/>
      <c r="G752" s="422"/>
      <c r="H752" s="422"/>
      <c r="I752" s="422"/>
      <c r="J752" s="422"/>
      <c r="K752" s="422"/>
      <c r="L752" s="237"/>
      <c r="M752" s="279"/>
      <c r="N752" s="351">
        <v>110090</v>
      </c>
      <c r="O752" s="351">
        <v>94800</v>
      </c>
      <c r="P752" s="352">
        <v>0</v>
      </c>
      <c r="Q752" s="242">
        <v>0</v>
      </c>
      <c r="R752" s="241">
        <v>0</v>
      </c>
      <c r="S752" s="241">
        <v>0</v>
      </c>
      <c r="T752" s="241">
        <v>0</v>
      </c>
      <c r="U752" s="241">
        <v>0</v>
      </c>
      <c r="V752" s="241">
        <v>0</v>
      </c>
      <c r="X752" s="311"/>
      <c r="Y752" s="311"/>
    </row>
    <row r="753" spans="1:25" ht="24" customHeight="1">
      <c r="A753" s="425" t="s">
        <v>548</v>
      </c>
      <c r="B753" s="425"/>
      <c r="C753" s="425"/>
      <c r="D753" s="425"/>
      <c r="E753" s="425"/>
      <c r="F753" s="425"/>
      <c r="G753" s="425"/>
      <c r="H753" s="425"/>
      <c r="I753" s="425"/>
      <c r="J753" s="425"/>
      <c r="K753" s="425"/>
      <c r="L753" s="257"/>
      <c r="M753" s="316"/>
      <c r="N753" s="361"/>
      <c r="O753" s="361"/>
      <c r="P753" s="360"/>
      <c r="Q753" s="255"/>
      <c r="R753" s="254"/>
      <c r="S753" s="254"/>
      <c r="T753" s="254"/>
      <c r="U753" s="254"/>
      <c r="V753" s="254"/>
      <c r="X753" s="311"/>
      <c r="Y753" s="311"/>
    </row>
    <row r="754" spans="1:25" ht="24" customHeight="1">
      <c r="A754" s="421" t="s">
        <v>549</v>
      </c>
      <c r="B754" s="422"/>
      <c r="C754" s="422"/>
      <c r="D754" s="421" t="s">
        <v>1417</v>
      </c>
      <c r="E754" s="422"/>
      <c r="F754" s="422"/>
      <c r="G754" s="422"/>
      <c r="H754" s="422"/>
      <c r="I754" s="422"/>
      <c r="J754" s="422"/>
      <c r="K754" s="422"/>
      <c r="L754" s="237"/>
      <c r="M754" s="263"/>
      <c r="N754" s="348">
        <v>35357</v>
      </c>
      <c r="O754" s="348">
        <v>36635</v>
      </c>
      <c r="P754" s="349">
        <v>37958</v>
      </c>
      <c r="Q754" s="236">
        <v>37958</v>
      </c>
      <c r="R754" s="235">
        <v>0</v>
      </c>
      <c r="S754" s="235">
        <v>0</v>
      </c>
      <c r="T754" s="235">
        <v>0</v>
      </c>
      <c r="U754" s="235">
        <v>0</v>
      </c>
      <c r="V754" s="235">
        <v>0</v>
      </c>
      <c r="X754" s="311"/>
      <c r="Y754" s="311"/>
    </row>
    <row r="755" spans="1:25" ht="24" customHeight="1">
      <c r="A755" s="421" t="s">
        <v>550</v>
      </c>
      <c r="B755" s="422"/>
      <c r="C755" s="422"/>
      <c r="D755" s="421" t="s">
        <v>384</v>
      </c>
      <c r="E755" s="422"/>
      <c r="F755" s="422"/>
      <c r="G755" s="422"/>
      <c r="H755" s="422"/>
      <c r="I755" s="422"/>
      <c r="J755" s="422"/>
      <c r="K755" s="422"/>
      <c r="L755" s="237"/>
      <c r="M755" s="279"/>
      <c r="N755" s="351">
        <v>3623</v>
      </c>
      <c r="O755" s="351">
        <v>2345</v>
      </c>
      <c r="P755" s="349">
        <v>1022</v>
      </c>
      <c r="Q755" s="236">
        <v>1022</v>
      </c>
      <c r="R755" s="235">
        <v>0</v>
      </c>
      <c r="S755" s="235">
        <v>0</v>
      </c>
      <c r="T755" s="235">
        <v>0</v>
      </c>
      <c r="U755" s="235">
        <v>0</v>
      </c>
      <c r="V755" s="235">
        <v>0</v>
      </c>
      <c r="X755" s="311"/>
      <c r="Y755" s="311"/>
    </row>
    <row r="756" spans="1:25" ht="24" customHeight="1">
      <c r="A756" s="425" t="s">
        <v>551</v>
      </c>
      <c r="B756" s="425"/>
      <c r="C756" s="425"/>
      <c r="D756" s="425"/>
      <c r="E756" s="425"/>
      <c r="F756" s="425"/>
      <c r="G756" s="425"/>
      <c r="H756" s="425"/>
      <c r="I756" s="425"/>
      <c r="J756" s="425"/>
      <c r="K756" s="425"/>
      <c r="L756" s="257"/>
      <c r="M756" s="316"/>
      <c r="N756" s="361"/>
      <c r="O756" s="361"/>
      <c r="P756" s="360"/>
      <c r="Q756" s="255"/>
      <c r="R756" s="254"/>
      <c r="S756" s="254"/>
      <c r="T756" s="254"/>
      <c r="U756" s="254"/>
      <c r="V756" s="254"/>
      <c r="X756" s="311"/>
      <c r="Y756" s="311"/>
    </row>
    <row r="757" spans="1:25" ht="24" customHeight="1">
      <c r="A757" s="421" t="s">
        <v>552</v>
      </c>
      <c r="B757" s="422"/>
      <c r="C757" s="422"/>
      <c r="D757" s="421" t="s">
        <v>1417</v>
      </c>
      <c r="E757" s="422"/>
      <c r="F757" s="422"/>
      <c r="G757" s="422"/>
      <c r="H757" s="422"/>
      <c r="I757" s="422"/>
      <c r="J757" s="422"/>
      <c r="K757" s="422"/>
      <c r="L757" s="237"/>
      <c r="M757" s="263"/>
      <c r="N757" s="348">
        <v>84107</v>
      </c>
      <c r="O757" s="348">
        <v>86329</v>
      </c>
      <c r="P757" s="349">
        <v>88610</v>
      </c>
      <c r="Q757" s="236">
        <v>88610</v>
      </c>
      <c r="R757" s="235">
        <v>90952</v>
      </c>
      <c r="S757" s="235">
        <v>93355</v>
      </c>
      <c r="T757" s="235">
        <v>95821</v>
      </c>
      <c r="U757" s="235">
        <v>98353</v>
      </c>
      <c r="V757" s="235">
        <v>100952</v>
      </c>
      <c r="X757" s="311"/>
      <c r="Y757" s="311"/>
    </row>
    <row r="758" spans="1:25" ht="24" customHeight="1">
      <c r="A758" s="421" t="s">
        <v>553</v>
      </c>
      <c r="B758" s="422"/>
      <c r="C758" s="422"/>
      <c r="D758" s="421" t="s">
        <v>384</v>
      </c>
      <c r="E758" s="422"/>
      <c r="F758" s="422"/>
      <c r="G758" s="422"/>
      <c r="H758" s="422"/>
      <c r="I758" s="422"/>
      <c r="J758" s="422"/>
      <c r="K758" s="422"/>
      <c r="L758" s="237"/>
      <c r="M758" s="279"/>
      <c r="N758" s="351">
        <v>22944</v>
      </c>
      <c r="O758" s="351">
        <v>20721</v>
      </c>
      <c r="P758" s="349">
        <v>18440</v>
      </c>
      <c r="Q758" s="236">
        <v>18440</v>
      </c>
      <c r="R758" s="235">
        <v>16099</v>
      </c>
      <c r="S758" s="235">
        <v>13696</v>
      </c>
      <c r="T758" s="235">
        <v>11229</v>
      </c>
      <c r="U758" s="235">
        <v>8697</v>
      </c>
      <c r="V758" s="235">
        <v>6099</v>
      </c>
      <c r="X758" s="311"/>
      <c r="Y758" s="311"/>
    </row>
    <row r="759" spans="1:25" ht="24" customHeight="1">
      <c r="A759" s="421" t="s">
        <v>1200</v>
      </c>
      <c r="B759" s="422"/>
      <c r="C759" s="422"/>
      <c r="D759" s="421" t="s">
        <v>274</v>
      </c>
      <c r="E759" s="422"/>
      <c r="F759" s="422"/>
      <c r="G759" s="422"/>
      <c r="H759" s="422"/>
      <c r="I759" s="422"/>
      <c r="J759" s="422"/>
      <c r="K759" s="422"/>
      <c r="L759" s="237"/>
      <c r="M759" s="240"/>
      <c r="N759" s="351">
        <v>82850</v>
      </c>
      <c r="O759" s="351">
        <v>83863</v>
      </c>
      <c r="P759" s="352">
        <v>82288</v>
      </c>
      <c r="Q759" s="242">
        <v>82288</v>
      </c>
      <c r="R759" s="241">
        <v>82988</v>
      </c>
      <c r="S759" s="241">
        <v>83588</v>
      </c>
      <c r="T759" s="241">
        <v>84088</v>
      </c>
      <c r="U759" s="241">
        <v>84488</v>
      </c>
      <c r="V759" s="241">
        <v>82288</v>
      </c>
    </row>
    <row r="760" spans="1:25" ht="24" customHeight="1">
      <c r="A760" s="421" t="s">
        <v>870</v>
      </c>
      <c r="B760" s="337"/>
      <c r="C760" s="337"/>
      <c r="D760" s="421" t="s">
        <v>1199</v>
      </c>
      <c r="E760" s="337"/>
      <c r="F760" s="337"/>
      <c r="G760" s="337"/>
      <c r="H760" s="337"/>
      <c r="I760" s="337"/>
      <c r="J760" s="337"/>
      <c r="K760" s="337"/>
      <c r="L760" s="229"/>
      <c r="M760" s="319"/>
      <c r="N760" s="402">
        <v>0</v>
      </c>
      <c r="O760" s="373">
        <v>520719</v>
      </c>
      <c r="P760" s="403">
        <v>0</v>
      </c>
      <c r="Q760" s="321">
        <v>0</v>
      </c>
      <c r="R760" s="320">
        <v>0</v>
      </c>
      <c r="S760" s="320">
        <v>0</v>
      </c>
      <c r="T760" s="320">
        <v>0</v>
      </c>
      <c r="U760" s="320">
        <v>0</v>
      </c>
      <c r="V760" s="320">
        <v>0</v>
      </c>
    </row>
    <row r="761" spans="1:25" ht="15" customHeight="1">
      <c r="A761" s="421"/>
      <c r="B761" s="337"/>
      <c r="C761" s="337"/>
      <c r="D761" s="421"/>
      <c r="E761" s="337"/>
      <c r="F761" s="337"/>
      <c r="G761" s="337"/>
      <c r="H761" s="337"/>
      <c r="I761" s="337"/>
      <c r="J761" s="337"/>
      <c r="K761" s="337"/>
      <c r="L761" s="229"/>
      <c r="N761" s="359"/>
      <c r="O761" s="359"/>
      <c r="P761" s="360"/>
      <c r="Q761" s="255"/>
      <c r="R761" s="254"/>
      <c r="S761" s="254"/>
      <c r="T761" s="254"/>
      <c r="U761" s="254"/>
      <c r="V761" s="254"/>
    </row>
    <row r="762" spans="1:25" s="337" customFormat="1" ht="24" customHeight="1">
      <c r="K762" s="425" t="s">
        <v>763</v>
      </c>
      <c r="L762" s="449"/>
      <c r="M762" s="469"/>
      <c r="N762" s="361">
        <f t="shared" ref="N762:V762" si="76">SUM(N698:N760)</f>
        <v>1835456</v>
      </c>
      <c r="O762" s="361">
        <f t="shared" si="76"/>
        <v>2494670</v>
      </c>
      <c r="P762" s="362">
        <f t="shared" si="76"/>
        <v>1895210</v>
      </c>
      <c r="Q762" s="362">
        <f t="shared" si="76"/>
        <v>1750812</v>
      </c>
      <c r="R762" s="361">
        <f t="shared" si="76"/>
        <v>2570120</v>
      </c>
      <c r="S762" s="361">
        <f t="shared" si="76"/>
        <v>3043689</v>
      </c>
      <c r="T762" s="361">
        <f t="shared" si="76"/>
        <v>2681712</v>
      </c>
      <c r="U762" s="361">
        <f t="shared" si="76"/>
        <v>2851779</v>
      </c>
      <c r="V762" s="361">
        <f t="shared" si="76"/>
        <v>2529201</v>
      </c>
    </row>
    <row r="763" spans="1:25" s="337" customFormat="1" ht="15" customHeight="1">
      <c r="L763" s="451"/>
      <c r="M763" s="449"/>
      <c r="N763" s="383"/>
      <c r="O763" s="383"/>
      <c r="P763" s="384"/>
      <c r="Q763" s="384"/>
      <c r="R763" s="383"/>
      <c r="S763" s="383"/>
      <c r="T763" s="383"/>
      <c r="U763" s="383"/>
      <c r="V763" s="383"/>
    </row>
    <row r="764" spans="1:25" s="337" customFormat="1" ht="24" customHeight="1">
      <c r="K764" s="425" t="s">
        <v>762</v>
      </c>
      <c r="L764" s="449"/>
      <c r="M764" s="449"/>
      <c r="N764" s="383">
        <f t="shared" ref="N764:V764" si="77">N695-N762</f>
        <v>-357382</v>
      </c>
      <c r="O764" s="383">
        <f t="shared" si="77"/>
        <v>625704</v>
      </c>
      <c r="P764" s="384">
        <f t="shared" si="77"/>
        <v>-255393</v>
      </c>
      <c r="Q764" s="384">
        <f t="shared" si="77"/>
        <v>-107560</v>
      </c>
      <c r="R764" s="383">
        <f t="shared" si="77"/>
        <v>-214900</v>
      </c>
      <c r="S764" s="383">
        <f t="shared" si="77"/>
        <v>-806657</v>
      </c>
      <c r="T764" s="383">
        <f t="shared" si="77"/>
        <v>-444498</v>
      </c>
      <c r="U764" s="383">
        <f t="shared" si="77"/>
        <v>-615667</v>
      </c>
      <c r="V764" s="383">
        <f t="shared" si="77"/>
        <v>-289975</v>
      </c>
    </row>
    <row r="765" spans="1:25" s="337" customFormat="1" ht="15" customHeight="1">
      <c r="L765" s="451"/>
      <c r="M765" s="449"/>
      <c r="N765" s="383"/>
      <c r="O765" s="383"/>
      <c r="P765" s="384"/>
      <c r="Q765" s="384"/>
      <c r="R765" s="383"/>
      <c r="S765" s="383"/>
      <c r="T765" s="383"/>
      <c r="U765" s="383"/>
      <c r="V765" s="383"/>
    </row>
    <row r="766" spans="1:25" s="337" customFormat="1" ht="24" customHeight="1">
      <c r="J766" s="430" t="s">
        <v>776</v>
      </c>
      <c r="L766" s="451"/>
      <c r="M766" s="449"/>
      <c r="N766" s="383">
        <v>2377831</v>
      </c>
      <c r="O766" s="383">
        <v>3003537</v>
      </c>
      <c r="P766" s="384">
        <v>2625761</v>
      </c>
      <c r="Q766" s="384">
        <f>O766+Q764</f>
        <v>2895977</v>
      </c>
      <c r="R766" s="383">
        <f>Q766+R764</f>
        <v>2681077</v>
      </c>
      <c r="S766" s="383">
        <f>R766+S764</f>
        <v>1874420</v>
      </c>
      <c r="T766" s="383">
        <f>S766+T764</f>
        <v>1429922</v>
      </c>
      <c r="U766" s="383">
        <f>T766+U764</f>
        <v>814255</v>
      </c>
      <c r="V766" s="383">
        <f>U766+V764</f>
        <v>524280</v>
      </c>
    </row>
    <row r="767" spans="1:25" s="434" customFormat="1" ht="24" customHeight="1">
      <c r="L767" s="468"/>
      <c r="M767" s="467"/>
      <c r="N767" s="385">
        <f t="shared" ref="N767:V767" si="78">N766/N762</f>
        <v>1.2954987752362355</v>
      </c>
      <c r="O767" s="385">
        <f t="shared" si="78"/>
        <v>1.2039816889608645</v>
      </c>
      <c r="P767" s="386">
        <f t="shared" si="78"/>
        <v>1.3854723223283962</v>
      </c>
      <c r="Q767" s="386">
        <f t="shared" si="78"/>
        <v>1.6540765085000559</v>
      </c>
      <c r="R767" s="385">
        <f t="shared" si="78"/>
        <v>1.0431719141518685</v>
      </c>
      <c r="S767" s="385">
        <f t="shared" si="78"/>
        <v>0.6158382147453304</v>
      </c>
      <c r="T767" s="385">
        <f t="shared" si="78"/>
        <v>0.53321236583197595</v>
      </c>
      <c r="U767" s="385">
        <f t="shared" si="78"/>
        <v>0.28552528088607149</v>
      </c>
      <c r="V767" s="385">
        <f t="shared" si="78"/>
        <v>0.20729076099527083</v>
      </c>
    </row>
    <row r="768" spans="1:25" ht="15" customHeight="1">
      <c r="A768" s="337"/>
      <c r="B768" s="337"/>
      <c r="C768" s="337"/>
      <c r="D768" s="337"/>
      <c r="E768" s="337"/>
      <c r="F768" s="337"/>
      <c r="G768" s="337"/>
      <c r="H768" s="337"/>
      <c r="I768" s="337"/>
      <c r="J768" s="337"/>
      <c r="K768" s="337"/>
      <c r="L768" s="229"/>
      <c r="M768" s="257"/>
      <c r="N768" s="383"/>
      <c r="O768" s="383"/>
      <c r="P768" s="384"/>
      <c r="Q768" s="293"/>
      <c r="R768" s="292"/>
      <c r="S768" s="292"/>
      <c r="T768" s="292"/>
      <c r="U768" s="292"/>
      <c r="V768" s="292"/>
    </row>
    <row r="769" spans="1:22" ht="24" customHeight="1">
      <c r="A769" s="432" t="s">
        <v>784</v>
      </c>
      <c r="B769" s="337"/>
      <c r="C769" s="337"/>
      <c r="D769" s="337"/>
      <c r="E769" s="337"/>
      <c r="F769" s="337"/>
      <c r="G769" s="337"/>
      <c r="H769" s="337"/>
      <c r="I769" s="337"/>
      <c r="J769" s="337"/>
      <c r="K769" s="337"/>
      <c r="L769" s="229"/>
      <c r="N769" s="359"/>
      <c r="O769" s="359"/>
      <c r="P769" s="360"/>
      <c r="Q769" s="255"/>
      <c r="R769" s="254"/>
      <c r="S769" s="254"/>
      <c r="T769" s="254"/>
      <c r="U769" s="254"/>
      <c r="V769" s="254"/>
    </row>
    <row r="770" spans="1:22" ht="15" customHeight="1">
      <c r="A770" s="337"/>
      <c r="B770" s="337"/>
      <c r="C770" s="337"/>
      <c r="D770" s="337"/>
      <c r="E770" s="337"/>
      <c r="F770" s="337"/>
      <c r="G770" s="337"/>
      <c r="H770" s="337"/>
      <c r="I770" s="337"/>
      <c r="J770" s="337"/>
      <c r="K770" s="337"/>
      <c r="L770" s="229"/>
      <c r="N770" s="359"/>
      <c r="O770" s="359"/>
      <c r="P770" s="360"/>
      <c r="Q770" s="255"/>
      <c r="R770" s="254"/>
      <c r="S770" s="254"/>
      <c r="T770" s="254"/>
      <c r="U770" s="254"/>
      <c r="V770" s="254"/>
    </row>
    <row r="771" spans="1:22" ht="24" customHeight="1">
      <c r="A771" s="421" t="s">
        <v>554</v>
      </c>
      <c r="B771" s="422"/>
      <c r="C771" s="422"/>
      <c r="D771" s="422" t="s">
        <v>48</v>
      </c>
      <c r="E771" s="422"/>
      <c r="F771" s="422"/>
      <c r="G771" s="422"/>
      <c r="H771" s="422"/>
      <c r="I771" s="422"/>
      <c r="J771" s="422"/>
      <c r="K771" s="422"/>
      <c r="L771" s="237"/>
      <c r="M771" s="240"/>
      <c r="N771" s="351">
        <f>42285</f>
        <v>42285</v>
      </c>
      <c r="O771" s="351">
        <v>0</v>
      </c>
      <c r="P771" s="352">
        <v>0</v>
      </c>
      <c r="Q771" s="242">
        <v>0</v>
      </c>
      <c r="R771" s="241">
        <v>0</v>
      </c>
      <c r="S771" s="241">
        <v>0</v>
      </c>
      <c r="T771" s="241">
        <v>0</v>
      </c>
      <c r="U771" s="241">
        <v>0</v>
      </c>
      <c r="V771" s="241">
        <v>0</v>
      </c>
    </row>
    <row r="772" spans="1:22" ht="24" customHeight="1">
      <c r="A772" s="421" t="s">
        <v>923</v>
      </c>
      <c r="B772" s="422"/>
      <c r="C772" s="422"/>
      <c r="D772" s="422" t="s">
        <v>948</v>
      </c>
      <c r="E772" s="422"/>
      <c r="F772" s="422"/>
      <c r="G772" s="422"/>
      <c r="H772" s="422"/>
      <c r="I772" s="422"/>
      <c r="J772" s="422"/>
      <c r="K772" s="422"/>
      <c r="L772" s="237"/>
      <c r="M772" s="238"/>
      <c r="N772" s="350">
        <v>0</v>
      </c>
      <c r="O772" s="350">
        <v>400000</v>
      </c>
      <c r="P772" s="353">
        <v>0</v>
      </c>
      <c r="Q772" s="243">
        <v>0</v>
      </c>
      <c r="R772" s="239">
        <v>0</v>
      </c>
      <c r="S772" s="239">
        <v>0</v>
      </c>
      <c r="T772" s="239">
        <v>0</v>
      </c>
      <c r="U772" s="239">
        <v>0</v>
      </c>
      <c r="V772" s="239">
        <v>0</v>
      </c>
    </row>
    <row r="773" spans="1:22" ht="24" customHeight="1">
      <c r="A773" s="421" t="s">
        <v>924</v>
      </c>
      <c r="B773" s="422"/>
      <c r="C773" s="422"/>
      <c r="D773" s="442" t="s">
        <v>949</v>
      </c>
      <c r="E773" s="422"/>
      <c r="F773" s="422"/>
      <c r="G773" s="422"/>
      <c r="H773" s="422"/>
      <c r="I773" s="422"/>
      <c r="J773" s="422"/>
      <c r="K773" s="422"/>
      <c r="L773" s="237"/>
      <c r="M773" s="238"/>
      <c r="N773" s="350">
        <v>0</v>
      </c>
      <c r="O773" s="350">
        <v>0</v>
      </c>
      <c r="P773" s="353">
        <v>400000</v>
      </c>
      <c r="Q773" s="243">
        <v>400000</v>
      </c>
      <c r="R773" s="239">
        <v>0</v>
      </c>
      <c r="S773" s="239">
        <v>0</v>
      </c>
      <c r="T773" s="239">
        <v>0</v>
      </c>
      <c r="U773" s="239">
        <v>0</v>
      </c>
      <c r="V773" s="239">
        <v>0</v>
      </c>
    </row>
    <row r="774" spans="1:22" ht="24" customHeight="1">
      <c r="A774" s="421" t="s">
        <v>925</v>
      </c>
      <c r="B774" s="422"/>
      <c r="C774" s="422"/>
      <c r="D774" s="442" t="s">
        <v>1245</v>
      </c>
      <c r="E774" s="422"/>
      <c r="F774" s="422"/>
      <c r="G774" s="422"/>
      <c r="H774" s="422"/>
      <c r="I774" s="422"/>
      <c r="J774" s="422"/>
      <c r="K774" s="422"/>
      <c r="L774" s="237"/>
      <c r="M774" s="238"/>
      <c r="N774" s="350">
        <v>0</v>
      </c>
      <c r="O774" s="350">
        <v>0</v>
      </c>
      <c r="P774" s="353">
        <v>0</v>
      </c>
      <c r="Q774" s="243">
        <v>0</v>
      </c>
      <c r="R774" s="239">
        <v>96000</v>
      </c>
      <c r="S774" s="239">
        <v>0</v>
      </c>
      <c r="T774" s="239">
        <v>0</v>
      </c>
      <c r="U774" s="239">
        <v>0</v>
      </c>
      <c r="V774" s="239">
        <v>0</v>
      </c>
    </row>
    <row r="775" spans="1:22" ht="24" customHeight="1">
      <c r="A775" s="421" t="s">
        <v>926</v>
      </c>
      <c r="B775" s="422"/>
      <c r="C775" s="422"/>
      <c r="D775" s="442" t="s">
        <v>950</v>
      </c>
      <c r="E775" s="422"/>
      <c r="F775" s="422"/>
      <c r="G775" s="422"/>
      <c r="H775" s="422"/>
      <c r="I775" s="422"/>
      <c r="J775" s="422"/>
      <c r="K775" s="422"/>
      <c r="L775" s="237"/>
      <c r="M775" s="238"/>
      <c r="N775" s="350">
        <v>0</v>
      </c>
      <c r="O775" s="350">
        <v>0</v>
      </c>
      <c r="P775" s="353">
        <v>0</v>
      </c>
      <c r="Q775" s="243">
        <v>0</v>
      </c>
      <c r="R775" s="239">
        <v>0</v>
      </c>
      <c r="S775" s="239">
        <v>0</v>
      </c>
      <c r="T775" s="239">
        <v>0</v>
      </c>
      <c r="U775" s="239">
        <v>400000</v>
      </c>
      <c r="V775" s="239">
        <v>0</v>
      </c>
    </row>
    <row r="776" spans="1:22" ht="24" customHeight="1">
      <c r="A776" s="337" t="s">
        <v>1226</v>
      </c>
      <c r="B776" s="337"/>
      <c r="C776" s="337"/>
      <c r="D776" s="337" t="s">
        <v>1227</v>
      </c>
      <c r="E776" s="337"/>
      <c r="F776" s="337"/>
      <c r="G776" s="337"/>
      <c r="H776" s="337"/>
      <c r="I776" s="337"/>
      <c r="J776" s="337"/>
      <c r="K776" s="337"/>
      <c r="L776" s="229"/>
      <c r="M776" s="240"/>
      <c r="N776" s="351">
        <v>0</v>
      </c>
      <c r="O776" s="351">
        <v>0</v>
      </c>
      <c r="P776" s="352">
        <v>0</v>
      </c>
      <c r="Q776" s="242">
        <v>0</v>
      </c>
      <c r="R776" s="241">
        <v>0</v>
      </c>
      <c r="S776" s="241">
        <v>0</v>
      </c>
      <c r="T776" s="241">
        <v>0</v>
      </c>
      <c r="U776" s="241">
        <v>0</v>
      </c>
      <c r="V776" s="241">
        <v>0</v>
      </c>
    </row>
    <row r="777" spans="1:22" ht="24" customHeight="1">
      <c r="A777" s="337" t="s">
        <v>555</v>
      </c>
      <c r="B777" s="337"/>
      <c r="C777" s="337"/>
      <c r="D777" s="337" t="s">
        <v>556</v>
      </c>
      <c r="E777" s="337"/>
      <c r="F777" s="337"/>
      <c r="G777" s="337"/>
      <c r="H777" s="337"/>
      <c r="I777" s="337"/>
      <c r="J777" s="337"/>
      <c r="K777" s="337"/>
      <c r="L777" s="229"/>
      <c r="M777" s="240"/>
      <c r="N777" s="351">
        <v>312655</v>
      </c>
      <c r="O777" s="351">
        <v>0</v>
      </c>
      <c r="P777" s="352">
        <v>0</v>
      </c>
      <c r="Q777" s="242">
        <v>0</v>
      </c>
      <c r="R777" s="241">
        <v>0</v>
      </c>
      <c r="S777" s="241">
        <v>0</v>
      </c>
      <c r="T777" s="241">
        <v>0</v>
      </c>
      <c r="U777" s="241">
        <v>0</v>
      </c>
      <c r="V777" s="241">
        <v>0</v>
      </c>
    </row>
    <row r="778" spans="1:22" ht="24" customHeight="1">
      <c r="A778" s="337" t="s">
        <v>557</v>
      </c>
      <c r="B778" s="337"/>
      <c r="C778" s="337"/>
      <c r="D778" s="337" t="s">
        <v>558</v>
      </c>
      <c r="E778" s="337"/>
      <c r="F778" s="337"/>
      <c r="G778" s="337"/>
      <c r="H778" s="337"/>
      <c r="I778" s="337"/>
      <c r="J778" s="337"/>
      <c r="K778" s="337"/>
      <c r="L778" s="229"/>
      <c r="M778" s="240"/>
      <c r="N778" s="351">
        <v>18460</v>
      </c>
      <c r="O778" s="351">
        <v>30767</v>
      </c>
      <c r="P778" s="352">
        <v>20000</v>
      </c>
      <c r="Q778" s="242">
        <v>50000</v>
      </c>
      <c r="R778" s="241">
        <v>20000</v>
      </c>
      <c r="S778" s="241">
        <v>20000</v>
      </c>
      <c r="T778" s="241">
        <v>20000</v>
      </c>
      <c r="U778" s="241">
        <v>20000</v>
      </c>
      <c r="V778" s="241">
        <v>20000</v>
      </c>
    </row>
    <row r="779" spans="1:22" ht="24" customHeight="1">
      <c r="A779" s="337" t="s">
        <v>559</v>
      </c>
      <c r="B779" s="337"/>
      <c r="C779" s="337"/>
      <c r="D779" s="337" t="s">
        <v>560</v>
      </c>
      <c r="E779" s="337"/>
      <c r="F779" s="337"/>
      <c r="G779" s="337"/>
      <c r="H779" s="337"/>
      <c r="I779" s="337"/>
      <c r="J779" s="337"/>
      <c r="K779" s="337"/>
      <c r="L779" s="229"/>
      <c r="M779" s="240"/>
      <c r="N779" s="351">
        <v>568</v>
      </c>
      <c r="O779" s="351">
        <v>0</v>
      </c>
      <c r="P779" s="352">
        <v>500</v>
      </c>
      <c r="Q779" s="242">
        <v>568</v>
      </c>
      <c r="R779" s="241">
        <v>500</v>
      </c>
      <c r="S779" s="241">
        <v>500</v>
      </c>
      <c r="T779" s="241">
        <v>500</v>
      </c>
      <c r="U779" s="241">
        <v>500</v>
      </c>
      <c r="V779" s="241">
        <v>500</v>
      </c>
    </row>
    <row r="780" spans="1:22" ht="24" customHeight="1">
      <c r="A780" s="337" t="s">
        <v>561</v>
      </c>
      <c r="B780" s="337"/>
      <c r="C780" s="337"/>
      <c r="D780" s="337" t="s">
        <v>562</v>
      </c>
      <c r="E780" s="337"/>
      <c r="F780" s="337"/>
      <c r="G780" s="337"/>
      <c r="H780" s="337"/>
      <c r="I780" s="337"/>
      <c r="J780" s="337"/>
      <c r="K780" s="337"/>
      <c r="L780" s="229"/>
      <c r="M780" s="240"/>
      <c r="N780" s="351">
        <v>100000</v>
      </c>
      <c r="O780" s="351">
        <v>0</v>
      </c>
      <c r="P780" s="352">
        <v>0</v>
      </c>
      <c r="Q780" s="242">
        <v>0</v>
      </c>
      <c r="R780" s="241">
        <v>0</v>
      </c>
      <c r="S780" s="241">
        <v>0</v>
      </c>
      <c r="T780" s="241">
        <v>0</v>
      </c>
      <c r="U780" s="241">
        <v>0</v>
      </c>
      <c r="V780" s="241">
        <v>0</v>
      </c>
    </row>
    <row r="781" spans="1:22" ht="24" customHeight="1">
      <c r="A781" s="337" t="s">
        <v>563</v>
      </c>
      <c r="B781" s="337"/>
      <c r="C781" s="337"/>
      <c r="D781" s="337" t="s">
        <v>564</v>
      </c>
      <c r="E781" s="337"/>
      <c r="F781" s="337"/>
      <c r="G781" s="337"/>
      <c r="H781" s="337"/>
      <c r="I781" s="337"/>
      <c r="J781" s="337"/>
      <c r="K781" s="337"/>
      <c r="L781" s="229"/>
      <c r="M781" s="238"/>
      <c r="N781" s="350">
        <v>0</v>
      </c>
      <c r="O781" s="350">
        <v>0</v>
      </c>
      <c r="P781" s="353">
        <v>0</v>
      </c>
      <c r="Q781" s="243">
        <v>0</v>
      </c>
      <c r="R781" s="239">
        <v>0</v>
      </c>
      <c r="S781" s="239">
        <v>2500</v>
      </c>
      <c r="T781" s="239">
        <v>2500</v>
      </c>
      <c r="U781" s="239">
        <v>2500</v>
      </c>
      <c r="V781" s="239">
        <v>2500</v>
      </c>
    </row>
    <row r="782" spans="1:22" ht="24" customHeight="1">
      <c r="A782" s="337" t="s">
        <v>565</v>
      </c>
      <c r="B782" s="337"/>
      <c r="C782" s="337"/>
      <c r="D782" s="337" t="s">
        <v>566</v>
      </c>
      <c r="E782" s="337"/>
      <c r="F782" s="337"/>
      <c r="G782" s="337"/>
      <c r="H782" s="337"/>
      <c r="I782" s="337"/>
      <c r="J782" s="337"/>
      <c r="K782" s="337"/>
      <c r="L782" s="229"/>
      <c r="M782" s="238"/>
      <c r="N782" s="350">
        <v>671</v>
      </c>
      <c r="O782" s="350">
        <v>0</v>
      </c>
      <c r="P782" s="353">
        <v>0</v>
      </c>
      <c r="Q782" s="243">
        <v>0</v>
      </c>
      <c r="R782" s="239">
        <v>0</v>
      </c>
      <c r="S782" s="239">
        <v>0</v>
      </c>
      <c r="T782" s="239">
        <v>0</v>
      </c>
      <c r="U782" s="239">
        <v>0</v>
      </c>
      <c r="V782" s="239">
        <v>0</v>
      </c>
    </row>
    <row r="783" spans="1:22" ht="24" customHeight="1">
      <c r="A783" s="337" t="s">
        <v>1361</v>
      </c>
      <c r="B783" s="337"/>
      <c r="C783" s="337"/>
      <c r="D783" s="337" t="s">
        <v>1362</v>
      </c>
      <c r="E783" s="337"/>
      <c r="F783" s="337"/>
      <c r="G783" s="337"/>
      <c r="H783" s="337"/>
      <c r="I783" s="337"/>
      <c r="J783" s="337"/>
      <c r="K783" s="337"/>
      <c r="L783" s="229"/>
      <c r="M783" s="238"/>
      <c r="N783" s="350">
        <v>0</v>
      </c>
      <c r="O783" s="350">
        <v>0</v>
      </c>
      <c r="P783" s="353">
        <v>0</v>
      </c>
      <c r="Q783" s="243">
        <v>1538</v>
      </c>
      <c r="R783" s="239"/>
      <c r="S783" s="239"/>
      <c r="T783" s="239"/>
      <c r="U783" s="239"/>
      <c r="V783" s="239"/>
    </row>
    <row r="784" spans="1:22" ht="24" customHeight="1">
      <c r="A784" s="337" t="s">
        <v>1309</v>
      </c>
      <c r="B784" s="337"/>
      <c r="C784" s="337"/>
      <c r="D784" s="337" t="s">
        <v>1310</v>
      </c>
      <c r="E784" s="337"/>
      <c r="F784" s="337"/>
      <c r="G784" s="337"/>
      <c r="H784" s="337"/>
      <c r="I784" s="337"/>
      <c r="J784" s="337"/>
      <c r="K784" s="337"/>
      <c r="L784" s="229"/>
      <c r="M784" s="262"/>
      <c r="N784" s="357">
        <v>0</v>
      </c>
      <c r="O784" s="357">
        <v>0</v>
      </c>
      <c r="P784" s="358">
        <v>0</v>
      </c>
      <c r="Q784" s="252">
        <v>0</v>
      </c>
      <c r="R784" s="251">
        <v>50000</v>
      </c>
      <c r="S784" s="251">
        <v>0</v>
      </c>
      <c r="T784" s="251">
        <v>0</v>
      </c>
      <c r="U784" s="251">
        <v>0</v>
      </c>
      <c r="V784" s="251">
        <v>0</v>
      </c>
    </row>
    <row r="785" spans="1:22" ht="15" customHeight="1">
      <c r="A785" s="337"/>
      <c r="B785" s="337"/>
      <c r="C785" s="337"/>
      <c r="D785" s="337"/>
      <c r="E785" s="337"/>
      <c r="F785" s="337"/>
      <c r="G785" s="337"/>
      <c r="H785" s="337"/>
      <c r="I785" s="337"/>
      <c r="J785" s="337"/>
      <c r="K785" s="337"/>
      <c r="L785" s="229"/>
      <c r="N785" s="359"/>
      <c r="O785" s="359"/>
      <c r="P785" s="360"/>
      <c r="Q785" s="255"/>
      <c r="R785" s="254"/>
      <c r="S785" s="254"/>
      <c r="T785" s="254"/>
      <c r="U785" s="254"/>
      <c r="V785" s="254"/>
    </row>
    <row r="786" spans="1:22" s="337" customFormat="1" ht="24" customHeight="1">
      <c r="K786" s="425" t="s">
        <v>758</v>
      </c>
      <c r="L786" s="449"/>
      <c r="M786" s="450"/>
      <c r="N786" s="361">
        <f t="shared" ref="N786:V786" si="79">SUM(N771:N785)</f>
        <v>474639</v>
      </c>
      <c r="O786" s="361">
        <f t="shared" si="79"/>
        <v>430767</v>
      </c>
      <c r="P786" s="362">
        <f t="shared" si="79"/>
        <v>420500</v>
      </c>
      <c r="Q786" s="362">
        <f t="shared" si="79"/>
        <v>452106</v>
      </c>
      <c r="R786" s="361">
        <f t="shared" si="79"/>
        <v>166500</v>
      </c>
      <c r="S786" s="361">
        <f t="shared" si="79"/>
        <v>23000</v>
      </c>
      <c r="T786" s="361">
        <f t="shared" si="79"/>
        <v>23000</v>
      </c>
      <c r="U786" s="361">
        <f t="shared" si="79"/>
        <v>423000</v>
      </c>
      <c r="V786" s="361">
        <f t="shared" si="79"/>
        <v>23000</v>
      </c>
    </row>
    <row r="787" spans="1:22" ht="15" customHeight="1">
      <c r="A787" s="337"/>
      <c r="B787" s="337"/>
      <c r="C787" s="337"/>
      <c r="D787" s="337"/>
      <c r="E787" s="337"/>
      <c r="F787" s="337"/>
      <c r="G787" s="337"/>
      <c r="H787" s="337"/>
      <c r="I787" s="337"/>
      <c r="J787" s="337"/>
      <c r="K787" s="337"/>
      <c r="L787" s="229"/>
      <c r="N787" s="359"/>
      <c r="O787" s="359"/>
      <c r="P787" s="360"/>
      <c r="Q787" s="255"/>
      <c r="R787" s="254"/>
      <c r="S787" s="254"/>
      <c r="T787" s="254"/>
      <c r="U787" s="254"/>
      <c r="V787" s="254"/>
    </row>
    <row r="788" spans="1:22" ht="24" customHeight="1">
      <c r="A788" s="421" t="s">
        <v>1265</v>
      </c>
      <c r="B788" s="422"/>
      <c r="C788" s="422"/>
      <c r="D788" s="421" t="s">
        <v>1264</v>
      </c>
      <c r="E788" s="422"/>
      <c r="F788" s="422"/>
      <c r="G788" s="422"/>
      <c r="H788" s="422"/>
      <c r="I788" s="422"/>
      <c r="J788" s="422"/>
      <c r="K788" s="422"/>
      <c r="L788" s="237"/>
      <c r="M788" s="247"/>
      <c r="N788" s="346">
        <v>60449</v>
      </c>
      <c r="O788" s="346">
        <v>20084</v>
      </c>
      <c r="P788" s="347">
        <v>0</v>
      </c>
      <c r="Q788" s="232">
        <v>0</v>
      </c>
      <c r="R788" s="231">
        <v>0</v>
      </c>
      <c r="S788" s="231">
        <v>0</v>
      </c>
      <c r="T788" s="231">
        <v>0</v>
      </c>
      <c r="U788" s="231">
        <v>0</v>
      </c>
      <c r="V788" s="231">
        <v>0</v>
      </c>
    </row>
    <row r="789" spans="1:22" ht="24" customHeight="1">
      <c r="A789" s="421" t="s">
        <v>567</v>
      </c>
      <c r="B789" s="422"/>
      <c r="C789" s="422"/>
      <c r="D789" s="421" t="s">
        <v>568</v>
      </c>
      <c r="E789" s="422"/>
      <c r="F789" s="422"/>
      <c r="G789" s="422"/>
      <c r="H789" s="422"/>
      <c r="I789" s="422"/>
      <c r="J789" s="422"/>
      <c r="K789" s="422"/>
      <c r="L789" s="237"/>
      <c r="M789" s="269"/>
      <c r="N789" s="350">
        <v>10000</v>
      </c>
      <c r="O789" s="350">
        <v>11000</v>
      </c>
      <c r="P789" s="353">
        <v>12000</v>
      </c>
      <c r="Q789" s="243">
        <v>12000</v>
      </c>
      <c r="R789" s="239">
        <v>13000</v>
      </c>
      <c r="S789" s="239">
        <v>13000</v>
      </c>
      <c r="T789" s="239">
        <v>13000</v>
      </c>
      <c r="U789" s="239">
        <v>13000</v>
      </c>
      <c r="V789" s="239">
        <v>13000</v>
      </c>
    </row>
    <row r="790" spans="1:22" ht="24" customHeight="1">
      <c r="A790" s="421" t="s">
        <v>569</v>
      </c>
      <c r="B790" s="422"/>
      <c r="C790" s="422"/>
      <c r="D790" s="421" t="s">
        <v>570</v>
      </c>
      <c r="E790" s="422"/>
      <c r="F790" s="422"/>
      <c r="G790" s="422"/>
      <c r="H790" s="422"/>
      <c r="I790" s="422"/>
      <c r="J790" s="422"/>
      <c r="K790" s="422"/>
      <c r="L790" s="237"/>
      <c r="M790" s="269"/>
      <c r="N790" s="350">
        <v>88175</v>
      </c>
      <c r="O790" s="350">
        <v>305836</v>
      </c>
      <c r="P790" s="353">
        <v>191825</v>
      </c>
      <c r="Q790" s="243">
        <f>38747+1500</f>
        <v>40247</v>
      </c>
      <c r="R790" s="239">
        <v>0</v>
      </c>
      <c r="S790" s="239">
        <v>0</v>
      </c>
      <c r="T790" s="239">
        <v>0</v>
      </c>
      <c r="U790" s="239">
        <v>0</v>
      </c>
      <c r="V790" s="239">
        <v>0</v>
      </c>
    </row>
    <row r="791" spans="1:22" ht="24" customHeight="1">
      <c r="A791" s="421" t="s">
        <v>571</v>
      </c>
      <c r="B791" s="422"/>
      <c r="C791" s="422"/>
      <c r="D791" s="421" t="s">
        <v>572</v>
      </c>
      <c r="E791" s="422"/>
      <c r="F791" s="422"/>
      <c r="G791" s="422"/>
      <c r="H791" s="422"/>
      <c r="I791" s="422"/>
      <c r="J791" s="422"/>
      <c r="K791" s="422"/>
      <c r="L791" s="237"/>
      <c r="M791" s="269"/>
      <c r="N791" s="350">
        <v>2133</v>
      </c>
      <c r="O791" s="350">
        <v>0</v>
      </c>
      <c r="P791" s="353">
        <v>0</v>
      </c>
      <c r="Q791" s="243">
        <v>0</v>
      </c>
      <c r="R791" s="239">
        <v>0</v>
      </c>
      <c r="S791" s="239">
        <v>0</v>
      </c>
      <c r="T791" s="239">
        <v>0</v>
      </c>
      <c r="U791" s="239">
        <v>0</v>
      </c>
      <c r="V791" s="239">
        <v>0</v>
      </c>
    </row>
    <row r="792" spans="1:22" ht="24" customHeight="1">
      <c r="A792" s="421" t="s">
        <v>573</v>
      </c>
      <c r="B792" s="422"/>
      <c r="C792" s="422"/>
      <c r="D792" s="421" t="s">
        <v>574</v>
      </c>
      <c r="E792" s="422"/>
      <c r="F792" s="422"/>
      <c r="G792" s="422"/>
      <c r="H792" s="422"/>
      <c r="I792" s="422"/>
      <c r="J792" s="422"/>
      <c r="K792" s="422"/>
      <c r="L792" s="237"/>
      <c r="M792" s="269"/>
      <c r="N792" s="350">
        <v>85062</v>
      </c>
      <c r="O792" s="350">
        <v>0</v>
      </c>
      <c r="P792" s="353">
        <v>0</v>
      </c>
      <c r="Q792" s="243">
        <v>0</v>
      </c>
      <c r="R792" s="239">
        <v>0</v>
      </c>
      <c r="S792" s="239">
        <v>0</v>
      </c>
      <c r="T792" s="239">
        <v>0</v>
      </c>
      <c r="U792" s="239">
        <v>0</v>
      </c>
      <c r="V792" s="239">
        <v>0</v>
      </c>
    </row>
    <row r="793" spans="1:22" ht="24" customHeight="1">
      <c r="A793" s="421" t="s">
        <v>575</v>
      </c>
      <c r="B793" s="422"/>
      <c r="C793" s="422"/>
      <c r="D793" s="421" t="s">
        <v>576</v>
      </c>
      <c r="E793" s="422"/>
      <c r="F793" s="422"/>
      <c r="G793" s="422"/>
      <c r="H793" s="422"/>
      <c r="I793" s="422"/>
      <c r="J793" s="422"/>
      <c r="K793" s="422"/>
      <c r="L793" s="237"/>
      <c r="M793" s="269"/>
      <c r="N793" s="350">
        <v>14020</v>
      </c>
      <c r="O793" s="350">
        <v>0</v>
      </c>
      <c r="P793" s="353">
        <v>0</v>
      </c>
      <c r="Q793" s="243">
        <v>0</v>
      </c>
      <c r="R793" s="239">
        <v>0</v>
      </c>
      <c r="S793" s="239">
        <v>0</v>
      </c>
      <c r="T793" s="239">
        <v>0</v>
      </c>
      <c r="U793" s="239">
        <v>0</v>
      </c>
      <c r="V793" s="239">
        <v>0</v>
      </c>
    </row>
    <row r="794" spans="1:22" ht="24" customHeight="1">
      <c r="A794" s="421" t="s">
        <v>577</v>
      </c>
      <c r="B794" s="422"/>
      <c r="C794" s="422"/>
      <c r="D794" s="442" t="s">
        <v>1246</v>
      </c>
      <c r="E794" s="422"/>
      <c r="F794" s="422"/>
      <c r="G794" s="422"/>
      <c r="H794" s="422"/>
      <c r="I794" s="422"/>
      <c r="J794" s="422"/>
      <c r="K794" s="422"/>
      <c r="L794" s="237"/>
      <c r="M794" s="269"/>
      <c r="N794" s="350">
        <v>0</v>
      </c>
      <c r="O794" s="350">
        <v>0</v>
      </c>
      <c r="P794" s="353">
        <v>120000</v>
      </c>
      <c r="Q794" s="243">
        <v>20000</v>
      </c>
      <c r="R794" s="239">
        <v>76000</v>
      </c>
      <c r="S794" s="239">
        <v>0</v>
      </c>
      <c r="T794" s="239">
        <v>0</v>
      </c>
      <c r="U794" s="239">
        <v>0</v>
      </c>
      <c r="V794" s="239">
        <v>0</v>
      </c>
    </row>
    <row r="795" spans="1:22" ht="24" customHeight="1">
      <c r="A795" s="421" t="s">
        <v>578</v>
      </c>
      <c r="B795" s="422"/>
      <c r="C795" s="422"/>
      <c r="D795" s="421" t="s">
        <v>579</v>
      </c>
      <c r="E795" s="422"/>
      <c r="F795" s="422"/>
      <c r="G795" s="422"/>
      <c r="H795" s="422"/>
      <c r="I795" s="422"/>
      <c r="J795" s="422"/>
      <c r="K795" s="422"/>
      <c r="L795" s="237"/>
      <c r="M795" s="269"/>
      <c r="N795" s="350">
        <v>0</v>
      </c>
      <c r="O795" s="350">
        <v>0</v>
      </c>
      <c r="P795" s="353">
        <v>0</v>
      </c>
      <c r="Q795" s="243">
        <v>0</v>
      </c>
      <c r="R795" s="239">
        <v>0</v>
      </c>
      <c r="S795" s="239">
        <v>200000</v>
      </c>
      <c r="T795" s="239">
        <v>200000</v>
      </c>
      <c r="U795" s="239">
        <v>0</v>
      </c>
      <c r="V795" s="239">
        <v>0</v>
      </c>
    </row>
    <row r="796" spans="1:22" ht="24" customHeight="1">
      <c r="A796" s="421" t="s">
        <v>931</v>
      </c>
      <c r="B796" s="422"/>
      <c r="C796" s="422"/>
      <c r="D796" s="423" t="s">
        <v>929</v>
      </c>
      <c r="E796" s="422"/>
      <c r="F796" s="422"/>
      <c r="G796" s="422"/>
      <c r="H796" s="422"/>
      <c r="I796" s="422"/>
      <c r="J796" s="422"/>
      <c r="K796" s="422"/>
      <c r="L796" s="237"/>
      <c r="M796" s="269"/>
      <c r="N796" s="350">
        <v>0</v>
      </c>
      <c r="O796" s="350">
        <v>0</v>
      </c>
      <c r="P796" s="353">
        <v>0</v>
      </c>
      <c r="Q796" s="243">
        <v>0</v>
      </c>
      <c r="R796" s="239">
        <v>0</v>
      </c>
      <c r="S796" s="239">
        <v>0</v>
      </c>
      <c r="T796" s="239">
        <v>50000</v>
      </c>
      <c r="U796" s="239">
        <v>0</v>
      </c>
      <c r="V796" s="239">
        <v>0</v>
      </c>
    </row>
    <row r="797" spans="1:22" ht="24" customHeight="1">
      <c r="A797" s="421" t="s">
        <v>932</v>
      </c>
      <c r="B797" s="422"/>
      <c r="C797" s="422"/>
      <c r="D797" s="423" t="s">
        <v>930</v>
      </c>
      <c r="E797" s="422"/>
      <c r="F797" s="422"/>
      <c r="G797" s="422"/>
      <c r="H797" s="422"/>
      <c r="I797" s="422"/>
      <c r="J797" s="422"/>
      <c r="K797" s="422"/>
      <c r="L797" s="237"/>
      <c r="M797" s="286"/>
      <c r="N797" s="350">
        <v>0</v>
      </c>
      <c r="O797" s="350">
        <v>0</v>
      </c>
      <c r="P797" s="353">
        <v>0</v>
      </c>
      <c r="Q797" s="243">
        <v>0</v>
      </c>
      <c r="R797" s="239">
        <v>0</v>
      </c>
      <c r="S797" s="239">
        <v>143850</v>
      </c>
      <c r="T797" s="239">
        <v>0</v>
      </c>
      <c r="U797" s="239">
        <v>0</v>
      </c>
      <c r="V797" s="239">
        <v>0</v>
      </c>
    </row>
    <row r="798" spans="1:22" ht="24" customHeight="1">
      <c r="A798" s="421" t="s">
        <v>1482</v>
      </c>
      <c r="B798" s="422"/>
      <c r="C798" s="422"/>
      <c r="D798" s="423" t="s">
        <v>1483</v>
      </c>
      <c r="E798" s="422"/>
      <c r="F798" s="422"/>
      <c r="G798" s="422"/>
      <c r="H798" s="422"/>
      <c r="I798" s="422"/>
      <c r="J798" s="422"/>
      <c r="K798" s="422"/>
      <c r="L798" s="237"/>
      <c r="M798" s="286"/>
      <c r="N798" s="357">
        <v>0</v>
      </c>
      <c r="O798" s="357">
        <v>0</v>
      </c>
      <c r="P798" s="358">
        <v>0</v>
      </c>
      <c r="Q798" s="252">
        <v>0</v>
      </c>
      <c r="R798" s="251">
        <v>0</v>
      </c>
      <c r="S798" s="251">
        <v>0</v>
      </c>
      <c r="T798" s="251">
        <v>0</v>
      </c>
      <c r="U798" s="251">
        <v>0</v>
      </c>
      <c r="V798" s="251">
        <v>50000</v>
      </c>
    </row>
    <row r="799" spans="1:22" ht="15" customHeight="1">
      <c r="A799" s="421"/>
      <c r="B799" s="337"/>
      <c r="C799" s="337"/>
      <c r="D799" s="337"/>
      <c r="E799" s="337"/>
      <c r="F799" s="337"/>
      <c r="G799" s="337"/>
      <c r="H799" s="337"/>
      <c r="I799" s="337"/>
      <c r="J799" s="337"/>
      <c r="K799" s="337"/>
      <c r="L799" s="229"/>
      <c r="N799" s="359"/>
      <c r="O799" s="359"/>
      <c r="P799" s="360"/>
      <c r="Q799" s="255"/>
      <c r="R799" s="254"/>
      <c r="S799" s="254"/>
      <c r="T799" s="254"/>
      <c r="U799" s="254"/>
      <c r="V799" s="254"/>
    </row>
    <row r="800" spans="1:22" s="337" customFormat="1" ht="24" customHeight="1">
      <c r="K800" s="425" t="s">
        <v>761</v>
      </c>
      <c r="L800" s="449"/>
      <c r="M800" s="469"/>
      <c r="N800" s="361">
        <f>SUM(N788:N799)</f>
        <v>259839</v>
      </c>
      <c r="O800" s="361">
        <f t="shared" ref="O800:V800" si="80">SUM(O788:O799)</f>
        <v>336920</v>
      </c>
      <c r="P800" s="362">
        <f t="shared" si="80"/>
        <v>323825</v>
      </c>
      <c r="Q800" s="362">
        <f t="shared" si="80"/>
        <v>72247</v>
      </c>
      <c r="R800" s="361">
        <f t="shared" si="80"/>
        <v>89000</v>
      </c>
      <c r="S800" s="361">
        <f t="shared" si="80"/>
        <v>356850</v>
      </c>
      <c r="T800" s="361">
        <f t="shared" si="80"/>
        <v>263000</v>
      </c>
      <c r="U800" s="361">
        <f t="shared" si="80"/>
        <v>13000</v>
      </c>
      <c r="V800" s="361">
        <f t="shared" si="80"/>
        <v>63000</v>
      </c>
    </row>
    <row r="801" spans="1:22" s="337" customFormat="1" ht="15" customHeight="1">
      <c r="L801" s="451"/>
      <c r="M801" s="449"/>
      <c r="N801" s="383"/>
      <c r="O801" s="383"/>
      <c r="P801" s="384"/>
      <c r="Q801" s="384"/>
      <c r="R801" s="383"/>
      <c r="S801" s="383"/>
      <c r="T801" s="383"/>
      <c r="U801" s="383"/>
      <c r="V801" s="383"/>
    </row>
    <row r="802" spans="1:22" s="337" customFormat="1" ht="24" customHeight="1">
      <c r="K802" s="425" t="s">
        <v>762</v>
      </c>
      <c r="L802" s="449"/>
      <c r="M802" s="449"/>
      <c r="N802" s="383">
        <f t="shared" ref="N802:V802" si="81">N786-N800</f>
        <v>214800</v>
      </c>
      <c r="O802" s="383">
        <f t="shared" si="81"/>
        <v>93847</v>
      </c>
      <c r="P802" s="384">
        <f t="shared" si="81"/>
        <v>96675</v>
      </c>
      <c r="Q802" s="384">
        <f t="shared" si="81"/>
        <v>379859</v>
      </c>
      <c r="R802" s="383">
        <f t="shared" si="81"/>
        <v>77500</v>
      </c>
      <c r="S802" s="383">
        <f t="shared" si="81"/>
        <v>-333850</v>
      </c>
      <c r="T802" s="383">
        <f t="shared" si="81"/>
        <v>-240000</v>
      </c>
      <c r="U802" s="383">
        <f t="shared" si="81"/>
        <v>410000</v>
      </c>
      <c r="V802" s="383">
        <f t="shared" si="81"/>
        <v>-40000</v>
      </c>
    </row>
    <row r="803" spans="1:22" s="337" customFormat="1" ht="15" customHeight="1">
      <c r="L803" s="451"/>
      <c r="M803" s="449"/>
      <c r="N803" s="383"/>
      <c r="O803" s="383"/>
      <c r="P803" s="384"/>
      <c r="Q803" s="384"/>
      <c r="R803" s="383"/>
      <c r="S803" s="383"/>
      <c r="T803" s="383"/>
      <c r="U803" s="383"/>
      <c r="V803" s="383"/>
    </row>
    <row r="804" spans="1:22" s="337" customFormat="1" ht="24" customHeight="1">
      <c r="K804" s="430" t="s">
        <v>764</v>
      </c>
      <c r="L804" s="449"/>
      <c r="M804" s="449"/>
      <c r="N804" s="383">
        <v>-388625</v>
      </c>
      <c r="O804" s="383">
        <v>-294778</v>
      </c>
      <c r="P804" s="384">
        <v>-172534</v>
      </c>
      <c r="Q804" s="384">
        <f>O804+Q802</f>
        <v>85081</v>
      </c>
      <c r="R804" s="383">
        <f>Q804+R802</f>
        <v>162581</v>
      </c>
      <c r="S804" s="383">
        <f>R804+S802</f>
        <v>-171269</v>
      </c>
      <c r="T804" s="383">
        <f>S804+T802</f>
        <v>-411269</v>
      </c>
      <c r="U804" s="383">
        <f>T804+U802</f>
        <v>-1269</v>
      </c>
      <c r="V804" s="383">
        <f>U804+V802</f>
        <v>-41269</v>
      </c>
    </row>
    <row r="805" spans="1:22" ht="15" customHeight="1">
      <c r="A805" s="337"/>
      <c r="B805" s="337"/>
      <c r="C805" s="337"/>
      <c r="D805" s="337"/>
      <c r="E805" s="337"/>
      <c r="F805" s="337"/>
      <c r="G805" s="337"/>
      <c r="H805" s="337"/>
      <c r="I805" s="337"/>
      <c r="J805" s="337"/>
      <c r="K805" s="337"/>
      <c r="L805" s="229"/>
      <c r="M805" s="257"/>
      <c r="N805" s="383"/>
      <c r="O805" s="383"/>
      <c r="P805" s="384"/>
      <c r="Q805" s="293"/>
      <c r="R805" s="292"/>
      <c r="S805" s="292"/>
      <c r="T805" s="292"/>
      <c r="U805" s="292"/>
      <c r="V805" s="292"/>
    </row>
    <row r="806" spans="1:22" ht="24" customHeight="1">
      <c r="A806" s="432" t="s">
        <v>785</v>
      </c>
      <c r="B806" s="337"/>
      <c r="C806" s="337"/>
      <c r="D806" s="337"/>
      <c r="E806" s="337"/>
      <c r="F806" s="337"/>
      <c r="G806" s="337"/>
      <c r="H806" s="337"/>
      <c r="I806" s="337"/>
      <c r="J806" s="337"/>
      <c r="K806" s="337"/>
      <c r="L806" s="229"/>
      <c r="N806" s="359"/>
      <c r="O806" s="359"/>
      <c r="P806" s="360"/>
      <c r="Q806" s="255"/>
      <c r="R806" s="254"/>
      <c r="S806" s="254"/>
      <c r="T806" s="254"/>
      <c r="U806" s="254"/>
      <c r="V806" s="254"/>
    </row>
    <row r="807" spans="1:22" ht="15" customHeight="1">
      <c r="A807" s="337"/>
      <c r="B807" s="337"/>
      <c r="C807" s="337"/>
      <c r="D807" s="337"/>
      <c r="E807" s="337"/>
      <c r="F807" s="337"/>
      <c r="G807" s="337"/>
      <c r="H807" s="337"/>
      <c r="I807" s="337"/>
      <c r="J807" s="337"/>
      <c r="K807" s="337"/>
      <c r="L807" s="229"/>
      <c r="N807" s="359"/>
      <c r="O807" s="359"/>
      <c r="P807" s="360"/>
      <c r="Q807" s="255"/>
      <c r="R807" s="254"/>
      <c r="S807" s="254"/>
      <c r="T807" s="254"/>
      <c r="U807" s="254"/>
      <c r="V807" s="254"/>
    </row>
    <row r="808" spans="1:22" ht="24" customHeight="1">
      <c r="A808" s="421" t="s">
        <v>1217</v>
      </c>
      <c r="B808" s="337"/>
      <c r="C808" s="337"/>
      <c r="D808" s="199" t="s">
        <v>1218</v>
      </c>
      <c r="E808" s="337"/>
      <c r="F808" s="337"/>
      <c r="G808" s="337"/>
      <c r="H808" s="337"/>
      <c r="I808" s="337"/>
      <c r="J808" s="337"/>
      <c r="K808" s="337"/>
      <c r="L808" s="229"/>
      <c r="M808" s="240">
        <v>0</v>
      </c>
      <c r="N808" s="351">
        <v>0</v>
      </c>
      <c r="O808" s="351">
        <v>6935</v>
      </c>
      <c r="P808" s="352">
        <v>18095</v>
      </c>
      <c r="Q808" s="242">
        <v>33500</v>
      </c>
      <c r="R808" s="241">
        <v>30000</v>
      </c>
      <c r="S808" s="241">
        <v>30000</v>
      </c>
      <c r="T808" s="241">
        <v>30000</v>
      </c>
      <c r="U808" s="241">
        <v>30000</v>
      </c>
      <c r="V808" s="241">
        <v>30000</v>
      </c>
    </row>
    <row r="809" spans="1:22" ht="24" customHeight="1">
      <c r="A809" s="421" t="s">
        <v>1219</v>
      </c>
      <c r="B809" s="337"/>
      <c r="C809" s="337"/>
      <c r="D809" s="199" t="s">
        <v>1220</v>
      </c>
      <c r="E809" s="337"/>
      <c r="F809" s="337"/>
      <c r="G809" s="337"/>
      <c r="H809" s="337"/>
      <c r="I809" s="337"/>
      <c r="J809" s="337"/>
      <c r="K809" s="337"/>
      <c r="L809" s="229"/>
      <c r="M809" s="240">
        <v>0</v>
      </c>
      <c r="N809" s="351">
        <v>0</v>
      </c>
      <c r="O809" s="351">
        <v>41756</v>
      </c>
      <c r="P809" s="352">
        <v>58810</v>
      </c>
      <c r="Q809" s="242">
        <v>50000</v>
      </c>
      <c r="R809" s="241">
        <v>50000</v>
      </c>
      <c r="S809" s="241">
        <v>50000</v>
      </c>
      <c r="T809" s="241">
        <v>50000</v>
      </c>
      <c r="U809" s="241">
        <v>50000</v>
      </c>
      <c r="V809" s="241">
        <v>50000</v>
      </c>
    </row>
    <row r="810" spans="1:22" ht="24" customHeight="1">
      <c r="A810" s="421" t="s">
        <v>1221</v>
      </c>
      <c r="B810" s="337"/>
      <c r="C810" s="337"/>
      <c r="D810" s="199" t="s">
        <v>1494</v>
      </c>
      <c r="E810" s="337"/>
      <c r="F810" s="337"/>
      <c r="G810" s="337"/>
      <c r="H810" s="337"/>
      <c r="I810" s="337"/>
      <c r="J810" s="337"/>
      <c r="K810" s="337"/>
      <c r="L810" s="229"/>
      <c r="M810" s="240">
        <v>0</v>
      </c>
      <c r="N810" s="351">
        <v>0</v>
      </c>
      <c r="O810" s="351">
        <v>124164</v>
      </c>
      <c r="P810" s="352">
        <v>113095</v>
      </c>
      <c r="Q810" s="242">
        <v>130000</v>
      </c>
      <c r="R810" s="241">
        <v>130000</v>
      </c>
      <c r="S810" s="241">
        <v>130000</v>
      </c>
      <c r="T810" s="241">
        <v>130000</v>
      </c>
      <c r="U810" s="241">
        <v>130000</v>
      </c>
      <c r="V810" s="241">
        <v>130000</v>
      </c>
    </row>
    <row r="811" spans="1:22" ht="24" customHeight="1">
      <c r="A811" s="421" t="s">
        <v>1485</v>
      </c>
      <c r="B811" s="422"/>
      <c r="C811" s="422"/>
      <c r="D811" s="421" t="s">
        <v>580</v>
      </c>
      <c r="E811" s="422"/>
      <c r="F811" s="422"/>
      <c r="G811" s="422"/>
      <c r="H811" s="422"/>
      <c r="I811" s="422"/>
      <c r="J811" s="422"/>
      <c r="K811" s="422"/>
      <c r="L811" s="237">
        <v>244521</v>
      </c>
      <c r="M811" s="234">
        <v>180230</v>
      </c>
      <c r="N811" s="348">
        <v>189890</v>
      </c>
      <c r="O811" s="348">
        <v>53905</v>
      </c>
      <c r="P811" s="349">
        <v>0</v>
      </c>
      <c r="Q811" s="236">
        <v>0</v>
      </c>
      <c r="R811" s="235">
        <v>0</v>
      </c>
      <c r="S811" s="235">
        <v>0</v>
      </c>
      <c r="T811" s="235">
        <v>0</v>
      </c>
      <c r="U811" s="235">
        <v>0</v>
      </c>
      <c r="V811" s="235">
        <v>0</v>
      </c>
    </row>
    <row r="812" spans="1:22" ht="24" customHeight="1">
      <c r="A812" s="421" t="s">
        <v>581</v>
      </c>
      <c r="B812" s="337"/>
      <c r="C812" s="337"/>
      <c r="D812" s="421" t="s">
        <v>582</v>
      </c>
      <c r="E812" s="337"/>
      <c r="F812" s="337"/>
      <c r="G812" s="337"/>
      <c r="H812" s="337"/>
      <c r="I812" s="337"/>
      <c r="J812" s="337"/>
      <c r="K812" s="337"/>
      <c r="L812" s="229">
        <v>29597</v>
      </c>
      <c r="M812" s="234">
        <v>39573</v>
      </c>
      <c r="N812" s="348">
        <v>31072</v>
      </c>
      <c r="O812" s="348">
        <v>38939</v>
      </c>
      <c r="P812" s="349">
        <v>30000</v>
      </c>
      <c r="Q812" s="236">
        <v>35000</v>
      </c>
      <c r="R812" s="235">
        <v>30000</v>
      </c>
      <c r="S812" s="235">
        <v>30000</v>
      </c>
      <c r="T812" s="235">
        <v>30000</v>
      </c>
      <c r="U812" s="235">
        <v>30000</v>
      </c>
      <c r="V812" s="235">
        <v>30000</v>
      </c>
    </row>
    <row r="813" spans="1:22" ht="24" customHeight="1">
      <c r="A813" s="421" t="s">
        <v>584</v>
      </c>
      <c r="B813" s="422"/>
      <c r="C813" s="422"/>
      <c r="D813" s="535" t="s">
        <v>6</v>
      </c>
      <c r="E813" s="535"/>
      <c r="F813" s="535"/>
      <c r="G813" s="535"/>
      <c r="H813" s="535"/>
      <c r="I813" s="535"/>
      <c r="J813" s="535"/>
      <c r="K813" s="535"/>
      <c r="L813" s="237">
        <v>1370</v>
      </c>
      <c r="M813" s="234">
        <v>286</v>
      </c>
      <c r="N813" s="348">
        <v>301</v>
      </c>
      <c r="O813" s="348">
        <v>175</v>
      </c>
      <c r="P813" s="349">
        <v>200</v>
      </c>
      <c r="Q813" s="236">
        <v>250</v>
      </c>
      <c r="R813" s="235">
        <v>200</v>
      </c>
      <c r="S813" s="235">
        <v>200</v>
      </c>
      <c r="T813" s="235">
        <v>200</v>
      </c>
      <c r="U813" s="235">
        <v>200</v>
      </c>
      <c r="V813" s="235">
        <v>200</v>
      </c>
    </row>
    <row r="814" spans="1:22" ht="24" customHeight="1">
      <c r="A814" s="421" t="s">
        <v>838</v>
      </c>
      <c r="B814" s="422"/>
      <c r="C814" s="422"/>
      <c r="D814" s="421" t="s">
        <v>323</v>
      </c>
      <c r="E814" s="422"/>
      <c r="F814" s="422"/>
      <c r="G814" s="422"/>
      <c r="H814" s="422"/>
      <c r="I814" s="422"/>
      <c r="J814" s="422"/>
      <c r="K814" s="422"/>
      <c r="L814" s="237"/>
      <c r="M814" s="234">
        <v>0</v>
      </c>
      <c r="N814" s="348">
        <v>0</v>
      </c>
      <c r="O814" s="348">
        <v>0</v>
      </c>
      <c r="P814" s="349">
        <v>11661</v>
      </c>
      <c r="Q814" s="236">
        <v>12265</v>
      </c>
      <c r="R814" s="235">
        <v>0</v>
      </c>
      <c r="S814" s="235">
        <v>0</v>
      </c>
      <c r="T814" s="235">
        <v>0</v>
      </c>
      <c r="U814" s="235">
        <v>0</v>
      </c>
      <c r="V814" s="235">
        <v>0</v>
      </c>
    </row>
    <row r="815" spans="1:22" ht="24" customHeight="1">
      <c r="A815" s="421" t="s">
        <v>957</v>
      </c>
      <c r="B815" s="422"/>
      <c r="C815" s="422"/>
      <c r="D815" s="422" t="s">
        <v>73</v>
      </c>
      <c r="E815" s="422"/>
      <c r="F815" s="422"/>
      <c r="G815" s="422"/>
      <c r="H815" s="422"/>
      <c r="I815" s="422"/>
      <c r="J815" s="422"/>
      <c r="K815" s="422"/>
      <c r="L815" s="237"/>
      <c r="M815" s="238">
        <v>0</v>
      </c>
      <c r="N815" s="350">
        <v>7329</v>
      </c>
      <c r="O815" s="350">
        <v>3336</v>
      </c>
      <c r="P815" s="353">
        <v>0</v>
      </c>
      <c r="Q815" s="243">
        <v>0</v>
      </c>
      <c r="R815" s="239">
        <v>0</v>
      </c>
      <c r="S815" s="239">
        <v>0</v>
      </c>
      <c r="T815" s="239">
        <v>0</v>
      </c>
      <c r="U815" s="239">
        <v>0</v>
      </c>
      <c r="V815" s="239">
        <v>0</v>
      </c>
    </row>
    <row r="816" spans="1:22" ht="24" customHeight="1">
      <c r="A816" s="421" t="s">
        <v>585</v>
      </c>
      <c r="B816" s="337"/>
      <c r="C816" s="337"/>
      <c r="D816" s="421" t="s">
        <v>293</v>
      </c>
      <c r="E816" s="337"/>
      <c r="F816" s="337"/>
      <c r="G816" s="337"/>
      <c r="H816" s="337"/>
      <c r="I816" s="337"/>
      <c r="J816" s="337"/>
      <c r="K816" s="337"/>
      <c r="L816" s="229">
        <v>15991</v>
      </c>
      <c r="M816" s="244">
        <v>19329</v>
      </c>
      <c r="N816" s="354">
        <v>22471</v>
      </c>
      <c r="O816" s="350">
        <v>54240</v>
      </c>
      <c r="P816" s="355">
        <v>48000</v>
      </c>
      <c r="Q816" s="246">
        <v>50000</v>
      </c>
      <c r="R816" s="245">
        <v>55000</v>
      </c>
      <c r="S816" s="245">
        <v>55000</v>
      </c>
      <c r="T816" s="245">
        <v>55000</v>
      </c>
      <c r="U816" s="245">
        <v>55000</v>
      </c>
      <c r="V816" s="245">
        <v>55000</v>
      </c>
    </row>
    <row r="817" spans="1:23" ht="24" customHeight="1">
      <c r="A817" s="421" t="s">
        <v>933</v>
      </c>
      <c r="B817" s="337"/>
      <c r="C817" s="337"/>
      <c r="D817" s="421" t="s">
        <v>1193</v>
      </c>
      <c r="E817" s="337"/>
      <c r="F817" s="337"/>
      <c r="G817" s="337"/>
      <c r="H817" s="337"/>
      <c r="I817" s="337"/>
      <c r="J817" s="337"/>
      <c r="K817" s="337"/>
      <c r="L817" s="229"/>
      <c r="M817" s="244">
        <v>0</v>
      </c>
      <c r="N817" s="354">
        <v>0</v>
      </c>
      <c r="O817" s="350">
        <v>27143</v>
      </c>
      <c r="P817" s="355">
        <v>25000</v>
      </c>
      <c r="Q817" s="246">
        <v>25000</v>
      </c>
      <c r="R817" s="245">
        <v>25000</v>
      </c>
      <c r="S817" s="245">
        <v>25000</v>
      </c>
      <c r="T817" s="245">
        <v>25000</v>
      </c>
      <c r="U817" s="245">
        <v>25000</v>
      </c>
      <c r="V817" s="245">
        <v>25000</v>
      </c>
    </row>
    <row r="818" spans="1:23" ht="24" customHeight="1">
      <c r="A818" s="421" t="s">
        <v>1259</v>
      </c>
      <c r="B818" s="337"/>
      <c r="C818" s="337"/>
      <c r="D818" s="421" t="s">
        <v>583</v>
      </c>
      <c r="E818" s="337"/>
      <c r="F818" s="337"/>
      <c r="G818" s="337"/>
      <c r="H818" s="337"/>
      <c r="I818" s="337"/>
      <c r="J818" s="337"/>
      <c r="K818" s="337"/>
      <c r="L818" s="229">
        <v>110763</v>
      </c>
      <c r="M818" s="234">
        <v>137448</v>
      </c>
      <c r="N818" s="348">
        <v>137142</v>
      </c>
      <c r="O818" s="348">
        <v>100960</v>
      </c>
      <c r="P818" s="349">
        <v>175000</v>
      </c>
      <c r="Q818" s="236">
        <v>119235</v>
      </c>
      <c r="R818" s="235">
        <v>135000</v>
      </c>
      <c r="S818" s="235">
        <v>135000</v>
      </c>
      <c r="T818" s="235">
        <v>135000</v>
      </c>
      <c r="U818" s="235">
        <v>135000</v>
      </c>
      <c r="V818" s="235">
        <v>135000</v>
      </c>
    </row>
    <row r="819" spans="1:23" ht="24" customHeight="1">
      <c r="A819" s="421" t="s">
        <v>586</v>
      </c>
      <c r="B819" s="337"/>
      <c r="C819" s="337"/>
      <c r="D819" s="421" t="s">
        <v>1495</v>
      </c>
      <c r="E819" s="337"/>
      <c r="F819" s="337"/>
      <c r="G819" s="337"/>
      <c r="H819" s="337"/>
      <c r="I819" s="337"/>
      <c r="J819" s="337"/>
      <c r="K819" s="337"/>
      <c r="L819" s="229">
        <v>16301</v>
      </c>
      <c r="M819" s="244">
        <v>10576</v>
      </c>
      <c r="N819" s="354">
        <v>7445</v>
      </c>
      <c r="O819" s="354">
        <v>4314</v>
      </c>
      <c r="P819" s="355">
        <v>14700</v>
      </c>
      <c r="Q819" s="246">
        <v>5000</v>
      </c>
      <c r="R819" s="245">
        <v>5000</v>
      </c>
      <c r="S819" s="245">
        <v>5000</v>
      </c>
      <c r="T819" s="245">
        <v>5000</v>
      </c>
      <c r="U819" s="245">
        <v>5000</v>
      </c>
      <c r="V819" s="245">
        <f>14000+700</f>
        <v>14700</v>
      </c>
    </row>
    <row r="820" spans="1:23" ht="24" customHeight="1">
      <c r="A820" s="421" t="s">
        <v>587</v>
      </c>
      <c r="B820" s="337"/>
      <c r="C820" s="337"/>
      <c r="D820" s="421" t="s">
        <v>7</v>
      </c>
      <c r="E820" s="337"/>
      <c r="F820" s="337"/>
      <c r="G820" s="337"/>
      <c r="H820" s="337"/>
      <c r="I820" s="337"/>
      <c r="J820" s="337"/>
      <c r="K820" s="337"/>
      <c r="L820" s="229"/>
      <c r="M820" s="234">
        <v>0</v>
      </c>
      <c r="N820" s="348">
        <v>19722</v>
      </c>
      <c r="O820" s="348">
        <v>7031</v>
      </c>
      <c r="P820" s="349">
        <v>1000</v>
      </c>
      <c r="Q820" s="236">
        <v>3000</v>
      </c>
      <c r="R820" s="235">
        <v>3000</v>
      </c>
      <c r="S820" s="235">
        <v>3000</v>
      </c>
      <c r="T820" s="235">
        <v>3000</v>
      </c>
      <c r="U820" s="235">
        <v>3000</v>
      </c>
      <c r="V820" s="235">
        <v>3000</v>
      </c>
      <c r="W820" s="235"/>
    </row>
    <row r="821" spans="1:23" ht="24" customHeight="1">
      <c r="A821" s="421" t="s">
        <v>588</v>
      </c>
      <c r="B821" s="422"/>
      <c r="C821" s="422"/>
      <c r="D821" s="421" t="s">
        <v>353</v>
      </c>
      <c r="E821" s="422"/>
      <c r="F821" s="422"/>
      <c r="G821" s="422"/>
      <c r="H821" s="422"/>
      <c r="I821" s="422"/>
      <c r="J821" s="422"/>
      <c r="K821" s="422"/>
      <c r="L821" s="237">
        <v>1080348</v>
      </c>
      <c r="M821" s="317">
        <v>1119500</v>
      </c>
      <c r="N821" s="369">
        <v>951890</v>
      </c>
      <c r="O821" s="369">
        <v>736710</v>
      </c>
      <c r="P821" s="370">
        <v>955886</v>
      </c>
      <c r="Q821" s="272">
        <f>910092+45794</f>
        <v>955886</v>
      </c>
      <c r="R821" s="271">
        <f>986992-3000+40000+598588+334801-210000+54646+34281-14850+30701-799-120+1150-11886-84000+8000+1000</f>
        <v>1765504</v>
      </c>
      <c r="S821" s="271">
        <f>1012002-3000+25000+75000+60000+22932+33690-13500-59422-44591+2000</f>
        <v>1110111</v>
      </c>
      <c r="T821" s="271">
        <f>1041056-3000+28000+63000+90940+28223+35032-13500-38257-38879+1001-908</f>
        <v>1192708</v>
      </c>
      <c r="U821" s="271">
        <f>1076173-3000+25000+50000+95806+27999+35925-13500-38549-38878+1000-907</f>
        <v>1217069</v>
      </c>
      <c r="V821" s="271">
        <f>1076173-3000+50000+50000+83813+28000+36930-13500-40185-38880+1000-907</f>
        <v>1229444</v>
      </c>
    </row>
    <row r="822" spans="1:23" ht="15" customHeight="1">
      <c r="A822" s="337"/>
      <c r="B822" s="337"/>
      <c r="C822" s="337"/>
      <c r="D822" s="337"/>
      <c r="E822" s="337"/>
      <c r="F822" s="337"/>
      <c r="G822" s="337"/>
      <c r="H822" s="337"/>
      <c r="I822" s="337"/>
      <c r="J822" s="337"/>
      <c r="K822" s="337"/>
      <c r="L822" s="229"/>
      <c r="N822" s="359"/>
      <c r="O822" s="359"/>
      <c r="P822" s="360"/>
      <c r="Q822" s="255"/>
      <c r="R822" s="254"/>
      <c r="S822" s="254"/>
      <c r="T822" s="254"/>
      <c r="U822" s="254"/>
      <c r="V822" s="254"/>
    </row>
    <row r="823" spans="1:23" s="337" customFormat="1" ht="24" customHeight="1">
      <c r="K823" s="425" t="s">
        <v>758</v>
      </c>
      <c r="L823" s="449"/>
      <c r="M823" s="450"/>
      <c r="N823" s="361">
        <f t="shared" ref="N823:V823" si="82">SUM(N808:N822)</f>
        <v>1367262</v>
      </c>
      <c r="O823" s="361">
        <f t="shared" si="82"/>
        <v>1199608</v>
      </c>
      <c r="P823" s="362">
        <f t="shared" si="82"/>
        <v>1451447</v>
      </c>
      <c r="Q823" s="362">
        <f t="shared" si="82"/>
        <v>1419136</v>
      </c>
      <c r="R823" s="361">
        <f t="shared" si="82"/>
        <v>2228704</v>
      </c>
      <c r="S823" s="361">
        <f t="shared" si="82"/>
        <v>1573311</v>
      </c>
      <c r="T823" s="361">
        <f t="shared" si="82"/>
        <v>1655908</v>
      </c>
      <c r="U823" s="361">
        <f t="shared" si="82"/>
        <v>1680269</v>
      </c>
      <c r="V823" s="361">
        <f t="shared" si="82"/>
        <v>1702344</v>
      </c>
    </row>
    <row r="824" spans="1:23" ht="15" customHeight="1">
      <c r="A824" s="337"/>
      <c r="B824" s="337"/>
      <c r="C824" s="337"/>
      <c r="D824" s="337"/>
      <c r="E824" s="337"/>
      <c r="F824" s="337"/>
      <c r="G824" s="337"/>
      <c r="H824" s="337"/>
      <c r="I824" s="337"/>
      <c r="J824" s="337"/>
      <c r="K824" s="337"/>
      <c r="L824" s="229"/>
      <c r="N824" s="359"/>
      <c r="O824" s="359"/>
      <c r="P824" s="360"/>
      <c r="Q824" s="255"/>
      <c r="R824" s="254"/>
      <c r="S824" s="254"/>
      <c r="T824" s="254"/>
      <c r="U824" s="254"/>
      <c r="V824" s="254"/>
    </row>
    <row r="825" spans="1:23" ht="24" customHeight="1">
      <c r="A825" s="425" t="s">
        <v>832</v>
      </c>
      <c r="B825" s="337"/>
      <c r="C825" s="337"/>
      <c r="D825" s="337"/>
      <c r="E825" s="337"/>
      <c r="F825" s="337"/>
      <c r="G825" s="337"/>
      <c r="H825" s="337"/>
      <c r="I825" s="337"/>
      <c r="J825" s="337"/>
      <c r="K825" s="337"/>
      <c r="L825" s="229"/>
      <c r="N825" s="359"/>
      <c r="O825" s="359"/>
      <c r="P825" s="360"/>
      <c r="Q825" s="255"/>
      <c r="R825" s="254"/>
      <c r="S825" s="254"/>
      <c r="T825" s="254"/>
      <c r="U825" s="254"/>
      <c r="V825" s="254"/>
    </row>
    <row r="826" spans="1:23" ht="24" customHeight="1">
      <c r="A826" s="421" t="s">
        <v>589</v>
      </c>
      <c r="B826" s="422"/>
      <c r="C826" s="422"/>
      <c r="D826" s="421" t="s">
        <v>1238</v>
      </c>
      <c r="E826" s="422"/>
      <c r="F826" s="422"/>
      <c r="G826" s="422"/>
      <c r="H826" s="422"/>
      <c r="I826" s="422"/>
      <c r="J826" s="422"/>
      <c r="K826" s="422"/>
      <c r="L826" s="237"/>
      <c r="M826" s="263"/>
      <c r="N826" s="348">
        <v>355091</v>
      </c>
      <c r="O826" s="348">
        <v>369514</v>
      </c>
      <c r="P826" s="349">
        <v>410000</v>
      </c>
      <c r="Q826" s="236">
        <v>400000</v>
      </c>
      <c r="R826" s="235">
        <v>427948</v>
      </c>
      <c r="S826" s="235">
        <v>427948</v>
      </c>
      <c r="T826" s="235">
        <v>427948</v>
      </c>
      <c r="U826" s="235">
        <v>427948</v>
      </c>
      <c r="V826" s="235">
        <v>427948</v>
      </c>
    </row>
    <row r="827" spans="1:23" ht="24" customHeight="1">
      <c r="A827" s="421" t="s">
        <v>590</v>
      </c>
      <c r="B827" s="337"/>
      <c r="C827" s="337"/>
      <c r="D827" s="421" t="s">
        <v>83</v>
      </c>
      <c r="E827" s="337"/>
      <c r="F827" s="337"/>
      <c r="G827" s="337"/>
      <c r="H827" s="337"/>
      <c r="I827" s="337"/>
      <c r="J827" s="337"/>
      <c r="K827" s="337"/>
      <c r="L827" s="229"/>
      <c r="M827" s="263"/>
      <c r="N827" s="348">
        <v>15969</v>
      </c>
      <c r="O827" s="348">
        <v>16833</v>
      </c>
      <c r="P827" s="349">
        <v>17000</v>
      </c>
      <c r="Q827" s="236">
        <v>17000</v>
      </c>
      <c r="R827" s="235">
        <v>17000</v>
      </c>
      <c r="S827" s="235">
        <v>17000</v>
      </c>
      <c r="T827" s="235">
        <v>17000</v>
      </c>
      <c r="U827" s="235">
        <v>17000</v>
      </c>
      <c r="V827" s="235">
        <v>17000</v>
      </c>
    </row>
    <row r="828" spans="1:23" ht="24" customHeight="1">
      <c r="A828" s="421" t="s">
        <v>591</v>
      </c>
      <c r="B828" s="422"/>
      <c r="C828" s="422"/>
      <c r="D828" s="421" t="s">
        <v>18</v>
      </c>
      <c r="E828" s="422"/>
      <c r="F828" s="422"/>
      <c r="G828" s="422"/>
      <c r="H828" s="422"/>
      <c r="I828" s="422"/>
      <c r="J828" s="422"/>
      <c r="K828" s="422"/>
      <c r="L828" s="237"/>
      <c r="M828" s="263"/>
      <c r="N828" s="348">
        <v>439</v>
      </c>
      <c r="O828" s="348">
        <v>50</v>
      </c>
      <c r="P828" s="349">
        <v>3000</v>
      </c>
      <c r="Q828" s="236">
        <v>3000</v>
      </c>
      <c r="R828" s="235">
        <v>3000</v>
      </c>
      <c r="S828" s="235">
        <v>3000</v>
      </c>
      <c r="T828" s="235">
        <v>3000</v>
      </c>
      <c r="U828" s="235">
        <v>3000</v>
      </c>
      <c r="V828" s="235">
        <v>3000</v>
      </c>
    </row>
    <row r="829" spans="1:23" ht="24" customHeight="1">
      <c r="A829" s="421" t="s">
        <v>592</v>
      </c>
      <c r="B829" s="422"/>
      <c r="C829" s="422"/>
      <c r="D829" s="421" t="s">
        <v>8</v>
      </c>
      <c r="E829" s="422"/>
      <c r="F829" s="422"/>
      <c r="G829" s="422"/>
      <c r="H829" s="422"/>
      <c r="I829" s="422"/>
      <c r="J829" s="422"/>
      <c r="K829" s="422"/>
      <c r="L829" s="237"/>
      <c r="M829" s="263"/>
      <c r="N829" s="348">
        <v>32914</v>
      </c>
      <c r="O829" s="348">
        <v>35461</v>
      </c>
      <c r="P829" s="349">
        <v>43693</v>
      </c>
      <c r="Q829" s="236">
        <v>43693</v>
      </c>
      <c r="R829" s="235">
        <v>47761</v>
      </c>
      <c r="S829" s="235">
        <v>47761</v>
      </c>
      <c r="T829" s="235">
        <v>47761</v>
      </c>
      <c r="U829" s="235">
        <v>47761</v>
      </c>
      <c r="V829" s="235">
        <v>47761</v>
      </c>
    </row>
    <row r="830" spans="1:23" ht="24" customHeight="1">
      <c r="A830" s="421" t="s">
        <v>593</v>
      </c>
      <c r="B830" s="337"/>
      <c r="C830" s="337"/>
      <c r="D830" s="421" t="s">
        <v>9</v>
      </c>
      <c r="E830" s="337"/>
      <c r="F830" s="337"/>
      <c r="G830" s="337"/>
      <c r="H830" s="337"/>
      <c r="I830" s="337"/>
      <c r="J830" s="337"/>
      <c r="K830" s="337"/>
      <c r="L830" s="229"/>
      <c r="M830" s="263"/>
      <c r="N830" s="348">
        <v>27503</v>
      </c>
      <c r="O830" s="348">
        <v>28869</v>
      </c>
      <c r="P830" s="349">
        <v>34000</v>
      </c>
      <c r="Q830" s="236">
        <v>34000</v>
      </c>
      <c r="R830" s="235">
        <v>33487</v>
      </c>
      <c r="S830" s="235">
        <v>33487</v>
      </c>
      <c r="T830" s="235">
        <v>33487</v>
      </c>
      <c r="U830" s="235">
        <v>33487</v>
      </c>
      <c r="V830" s="235">
        <v>33487</v>
      </c>
    </row>
    <row r="831" spans="1:23" ht="24" customHeight="1">
      <c r="A831" s="421" t="s">
        <v>813</v>
      </c>
      <c r="B831" s="337"/>
      <c r="C831" s="337"/>
      <c r="D831" s="421" t="s">
        <v>14</v>
      </c>
      <c r="E831" s="337"/>
      <c r="F831" s="337"/>
      <c r="G831" s="337"/>
      <c r="H831" s="337"/>
      <c r="I831" s="337"/>
      <c r="J831" s="337"/>
      <c r="K831" s="337"/>
      <c r="L831" s="229"/>
      <c r="M831" s="263"/>
      <c r="N831" s="348">
        <v>0</v>
      </c>
      <c r="O831" s="348">
        <v>0</v>
      </c>
      <c r="P831" s="349">
        <v>126842</v>
      </c>
      <c r="Q831" s="236">
        <v>126842</v>
      </c>
      <c r="R831" s="235">
        <v>126575</v>
      </c>
      <c r="S831" s="241">
        <v>139233</v>
      </c>
      <c r="T831" s="241">
        <v>153156</v>
      </c>
      <c r="U831" s="241">
        <v>162345</v>
      </c>
      <c r="V831" s="241">
        <v>172086</v>
      </c>
    </row>
    <row r="832" spans="1:23" ht="24" customHeight="1">
      <c r="A832" s="421" t="s">
        <v>814</v>
      </c>
      <c r="B832" s="337"/>
      <c r="C832" s="337"/>
      <c r="D832" s="421" t="s">
        <v>229</v>
      </c>
      <c r="E832" s="337"/>
      <c r="F832" s="337"/>
      <c r="G832" s="337"/>
      <c r="H832" s="337"/>
      <c r="I832" s="337"/>
      <c r="J832" s="337"/>
      <c r="K832" s="337"/>
      <c r="L832" s="229"/>
      <c r="M832" s="263"/>
      <c r="N832" s="348">
        <v>0</v>
      </c>
      <c r="O832" s="348">
        <v>0</v>
      </c>
      <c r="P832" s="349">
        <v>1208</v>
      </c>
      <c r="Q832" s="236">
        <v>1208</v>
      </c>
      <c r="R832" s="235">
        <v>980</v>
      </c>
      <c r="S832" s="241">
        <v>990</v>
      </c>
      <c r="T832" s="241">
        <v>1000</v>
      </c>
      <c r="U832" s="241">
        <v>1010</v>
      </c>
      <c r="V832" s="241">
        <v>1020</v>
      </c>
    </row>
    <row r="833" spans="1:22" ht="24" customHeight="1">
      <c r="A833" s="421" t="s">
        <v>815</v>
      </c>
      <c r="B833" s="337"/>
      <c r="C833" s="337"/>
      <c r="D833" s="421" t="s">
        <v>819</v>
      </c>
      <c r="E833" s="337"/>
      <c r="F833" s="337"/>
      <c r="G833" s="337"/>
      <c r="H833" s="337"/>
      <c r="I833" s="337"/>
      <c r="J833" s="337"/>
      <c r="K833" s="337"/>
      <c r="L833" s="229"/>
      <c r="M833" s="263"/>
      <c r="N833" s="348">
        <v>0</v>
      </c>
      <c r="O833" s="348">
        <v>0</v>
      </c>
      <c r="P833" s="349">
        <v>9179</v>
      </c>
      <c r="Q833" s="236">
        <v>9179</v>
      </c>
      <c r="R833" s="235">
        <v>9580</v>
      </c>
      <c r="S833" s="241">
        <v>10538</v>
      </c>
      <c r="T833" s="241">
        <v>11592</v>
      </c>
      <c r="U833" s="241">
        <v>12287</v>
      </c>
      <c r="V833" s="241">
        <v>13025</v>
      </c>
    </row>
    <row r="834" spans="1:22" ht="24" customHeight="1">
      <c r="A834" s="421" t="s">
        <v>829</v>
      </c>
      <c r="B834" s="337"/>
      <c r="C834" s="337"/>
      <c r="D834" s="421" t="s">
        <v>821</v>
      </c>
      <c r="E834" s="337"/>
      <c r="F834" s="337"/>
      <c r="G834" s="337"/>
      <c r="H834" s="337"/>
      <c r="I834" s="337"/>
      <c r="J834" s="337"/>
      <c r="K834" s="337"/>
      <c r="L834" s="229"/>
      <c r="M834" s="263"/>
      <c r="N834" s="348">
        <v>0</v>
      </c>
      <c r="O834" s="348">
        <v>0</v>
      </c>
      <c r="P834" s="349">
        <v>1104</v>
      </c>
      <c r="Q834" s="236">
        <v>1104</v>
      </c>
      <c r="R834" s="235">
        <v>1004</v>
      </c>
      <c r="S834" s="241">
        <v>1104</v>
      </c>
      <c r="T834" s="241">
        <v>1215</v>
      </c>
      <c r="U834" s="241">
        <v>1288</v>
      </c>
      <c r="V834" s="241">
        <v>1365</v>
      </c>
    </row>
    <row r="835" spans="1:22" ht="24" customHeight="1">
      <c r="A835" s="421" t="s">
        <v>594</v>
      </c>
      <c r="B835" s="422"/>
      <c r="C835" s="422"/>
      <c r="D835" s="421" t="s">
        <v>108</v>
      </c>
      <c r="E835" s="422"/>
      <c r="F835" s="422"/>
      <c r="G835" s="422"/>
      <c r="H835" s="422"/>
      <c r="I835" s="422"/>
      <c r="J835" s="422"/>
      <c r="K835" s="422"/>
      <c r="L835" s="237"/>
      <c r="M835" s="263"/>
      <c r="N835" s="348">
        <v>309</v>
      </c>
      <c r="O835" s="348">
        <v>2604</v>
      </c>
      <c r="P835" s="349">
        <v>2600</v>
      </c>
      <c r="Q835" s="236">
        <v>2600</v>
      </c>
      <c r="R835" s="235">
        <v>4000</v>
      </c>
      <c r="S835" s="235">
        <v>4000</v>
      </c>
      <c r="T835" s="235">
        <v>4000</v>
      </c>
      <c r="U835" s="235">
        <v>4000</v>
      </c>
      <c r="V835" s="235">
        <v>4000</v>
      </c>
    </row>
    <row r="836" spans="1:22" ht="24" customHeight="1">
      <c r="A836" s="421" t="s">
        <v>595</v>
      </c>
      <c r="B836" s="422"/>
      <c r="C836" s="422"/>
      <c r="D836" s="421" t="s">
        <v>1487</v>
      </c>
      <c r="E836" s="422"/>
      <c r="F836" s="422"/>
      <c r="G836" s="422"/>
      <c r="H836" s="422"/>
      <c r="I836" s="422"/>
      <c r="J836" s="422"/>
      <c r="K836" s="422"/>
      <c r="L836" s="237"/>
      <c r="M836" s="263"/>
      <c r="N836" s="348">
        <v>0</v>
      </c>
      <c r="O836" s="348">
        <v>332</v>
      </c>
      <c r="P836" s="349">
        <v>750</v>
      </c>
      <c r="Q836" s="236">
        <v>750</v>
      </c>
      <c r="R836" s="235">
        <v>2000</v>
      </c>
      <c r="S836" s="235">
        <v>2000</v>
      </c>
      <c r="T836" s="235">
        <v>2000</v>
      </c>
      <c r="U836" s="235">
        <v>2000</v>
      </c>
      <c r="V836" s="235">
        <v>2000</v>
      </c>
    </row>
    <row r="837" spans="1:22" ht="24" customHeight="1">
      <c r="A837" s="421" t="s">
        <v>596</v>
      </c>
      <c r="B837" s="337"/>
      <c r="C837" s="337"/>
      <c r="D837" s="421" t="s">
        <v>294</v>
      </c>
      <c r="E837" s="337"/>
      <c r="F837" s="337"/>
      <c r="G837" s="337"/>
      <c r="H837" s="337"/>
      <c r="I837" s="337"/>
      <c r="J837" s="337"/>
      <c r="K837" s="337"/>
      <c r="L837" s="229"/>
      <c r="M837" s="263"/>
      <c r="N837" s="348">
        <v>1802</v>
      </c>
      <c r="O837" s="348">
        <v>3330</v>
      </c>
      <c r="P837" s="349">
        <v>3780</v>
      </c>
      <c r="Q837" s="236">
        <v>3780</v>
      </c>
      <c r="R837" s="235">
        <v>4780</v>
      </c>
      <c r="S837" s="235">
        <v>4780</v>
      </c>
      <c r="T837" s="235">
        <v>4780</v>
      </c>
      <c r="U837" s="235">
        <v>4780</v>
      </c>
      <c r="V837" s="235">
        <v>4780</v>
      </c>
    </row>
    <row r="838" spans="1:22" ht="24" customHeight="1">
      <c r="A838" s="421" t="s">
        <v>597</v>
      </c>
      <c r="B838" s="337"/>
      <c r="C838" s="337"/>
      <c r="D838" s="421" t="s">
        <v>10</v>
      </c>
      <c r="E838" s="337"/>
      <c r="F838" s="337"/>
      <c r="G838" s="337"/>
      <c r="H838" s="337"/>
      <c r="I838" s="337"/>
      <c r="J838" s="337"/>
      <c r="K838" s="337"/>
      <c r="L838" s="229"/>
      <c r="M838" s="263"/>
      <c r="N838" s="348">
        <v>3323</v>
      </c>
      <c r="O838" s="348">
        <v>4748</v>
      </c>
      <c r="P838" s="349">
        <v>4500</v>
      </c>
      <c r="Q838" s="236">
        <v>4500</v>
      </c>
      <c r="R838" s="235">
        <v>4500</v>
      </c>
      <c r="S838" s="235">
        <v>4500</v>
      </c>
      <c r="T838" s="235">
        <v>4500</v>
      </c>
      <c r="U838" s="235">
        <v>4500</v>
      </c>
      <c r="V838" s="235">
        <v>4500</v>
      </c>
    </row>
    <row r="839" spans="1:22" ht="24" customHeight="1">
      <c r="A839" s="421" t="s">
        <v>598</v>
      </c>
      <c r="B839" s="337"/>
      <c r="C839" s="337"/>
      <c r="D839" s="421" t="s">
        <v>173</v>
      </c>
      <c r="E839" s="337"/>
      <c r="F839" s="337"/>
      <c r="G839" s="337"/>
      <c r="H839" s="337"/>
      <c r="I839" s="337"/>
      <c r="J839" s="337"/>
      <c r="K839" s="337"/>
      <c r="L839" s="229"/>
      <c r="M839" s="263"/>
      <c r="N839" s="348">
        <v>1749</v>
      </c>
      <c r="O839" s="348">
        <v>3701</v>
      </c>
      <c r="P839" s="349">
        <v>4000</v>
      </c>
      <c r="Q839" s="236">
        <v>4000</v>
      </c>
      <c r="R839" s="235">
        <v>4000</v>
      </c>
      <c r="S839" s="235">
        <v>4000</v>
      </c>
      <c r="T839" s="235">
        <v>4000</v>
      </c>
      <c r="U839" s="235">
        <v>4000</v>
      </c>
      <c r="V839" s="235">
        <v>4000</v>
      </c>
    </row>
    <row r="840" spans="1:22" ht="24" customHeight="1">
      <c r="A840" s="421" t="s">
        <v>599</v>
      </c>
      <c r="B840" s="422"/>
      <c r="C840" s="422"/>
      <c r="D840" s="421" t="s">
        <v>102</v>
      </c>
      <c r="E840" s="422"/>
      <c r="F840" s="422"/>
      <c r="G840" s="422"/>
      <c r="H840" s="422"/>
      <c r="I840" s="422"/>
      <c r="J840" s="422"/>
      <c r="K840" s="422"/>
      <c r="L840" s="237"/>
      <c r="M840" s="263"/>
      <c r="N840" s="348">
        <v>188</v>
      </c>
      <c r="O840" s="348">
        <v>2017</v>
      </c>
      <c r="P840" s="349">
        <v>2500</v>
      </c>
      <c r="Q840" s="236">
        <v>2500</v>
      </c>
      <c r="R840" s="235">
        <v>2500</v>
      </c>
      <c r="S840" s="235">
        <v>2500</v>
      </c>
      <c r="T840" s="235">
        <v>2500</v>
      </c>
      <c r="U840" s="235">
        <v>2500</v>
      </c>
      <c r="V840" s="235">
        <v>2500</v>
      </c>
    </row>
    <row r="841" spans="1:22" ht="24" customHeight="1">
      <c r="A841" s="421" t="s">
        <v>934</v>
      </c>
      <c r="B841" s="422"/>
      <c r="C841" s="422"/>
      <c r="D841" s="421" t="s">
        <v>1491</v>
      </c>
      <c r="E841" s="422"/>
      <c r="F841" s="422"/>
      <c r="G841" s="422"/>
      <c r="H841" s="422"/>
      <c r="I841" s="422"/>
      <c r="J841" s="422"/>
      <c r="K841" s="422"/>
      <c r="L841" s="237"/>
      <c r="M841" s="263"/>
      <c r="N841" s="348">
        <v>0</v>
      </c>
      <c r="O841" s="348">
        <v>0</v>
      </c>
      <c r="P841" s="349">
        <v>17500</v>
      </c>
      <c r="Q841" s="236">
        <f>10000+7500</f>
        <v>17500</v>
      </c>
      <c r="R841" s="235">
        <f>15000+7500</f>
        <v>22500</v>
      </c>
      <c r="S841" s="235">
        <f>15000+7500</f>
        <v>22500</v>
      </c>
      <c r="T841" s="235">
        <f>15000+7500</f>
        <v>22500</v>
      </c>
      <c r="U841" s="235">
        <f>15000+7500</f>
        <v>22500</v>
      </c>
      <c r="V841" s="235">
        <f>15000+7500</f>
        <v>22500</v>
      </c>
    </row>
    <row r="842" spans="1:22" ht="24" customHeight="1">
      <c r="A842" s="421" t="s">
        <v>600</v>
      </c>
      <c r="B842" s="422"/>
      <c r="C842" s="422"/>
      <c r="D842" s="421" t="s">
        <v>114</v>
      </c>
      <c r="E842" s="422"/>
      <c r="F842" s="422"/>
      <c r="G842" s="422"/>
      <c r="H842" s="422"/>
      <c r="I842" s="422"/>
      <c r="J842" s="422"/>
      <c r="K842" s="422"/>
      <c r="L842" s="237"/>
      <c r="M842" s="263"/>
      <c r="N842" s="348">
        <v>4031</v>
      </c>
      <c r="O842" s="348">
        <v>4123</v>
      </c>
      <c r="P842" s="349">
        <v>4100</v>
      </c>
      <c r="Q842" s="236">
        <v>4100</v>
      </c>
      <c r="R842" s="235">
        <v>4100</v>
      </c>
      <c r="S842" s="235">
        <v>4100</v>
      </c>
      <c r="T842" s="235">
        <v>4100</v>
      </c>
      <c r="U842" s="235">
        <v>4100</v>
      </c>
      <c r="V842" s="235">
        <v>4100</v>
      </c>
    </row>
    <row r="843" spans="1:22" ht="24" customHeight="1">
      <c r="A843" s="421" t="s">
        <v>601</v>
      </c>
      <c r="B843" s="422"/>
      <c r="C843" s="422"/>
      <c r="D843" s="421" t="s">
        <v>11</v>
      </c>
      <c r="E843" s="422"/>
      <c r="F843" s="422"/>
      <c r="G843" s="422"/>
      <c r="H843" s="422"/>
      <c r="I843" s="422"/>
      <c r="J843" s="422"/>
      <c r="K843" s="422"/>
      <c r="L843" s="237"/>
      <c r="M843" s="263"/>
      <c r="N843" s="348">
        <v>152</v>
      </c>
      <c r="O843" s="348">
        <v>293</v>
      </c>
      <c r="P843" s="349">
        <v>300</v>
      </c>
      <c r="Q843" s="236">
        <v>300</v>
      </c>
      <c r="R843" s="235">
        <v>300</v>
      </c>
      <c r="S843" s="235">
        <v>300</v>
      </c>
      <c r="T843" s="235">
        <v>300</v>
      </c>
      <c r="U843" s="235">
        <v>300</v>
      </c>
      <c r="V843" s="235">
        <v>300</v>
      </c>
    </row>
    <row r="844" spans="1:22" ht="24" customHeight="1">
      <c r="A844" s="421" t="s">
        <v>602</v>
      </c>
      <c r="B844" s="422"/>
      <c r="C844" s="422"/>
      <c r="D844" s="421" t="s">
        <v>13</v>
      </c>
      <c r="E844" s="422"/>
      <c r="F844" s="422"/>
      <c r="G844" s="422"/>
      <c r="H844" s="422"/>
      <c r="I844" s="422"/>
      <c r="J844" s="422"/>
      <c r="K844" s="422"/>
      <c r="L844" s="237"/>
      <c r="M844" s="263"/>
      <c r="N844" s="348">
        <v>11232</v>
      </c>
      <c r="O844" s="348">
        <v>23528</v>
      </c>
      <c r="P844" s="349">
        <v>22500</v>
      </c>
      <c r="Q844" s="236">
        <f t="shared" ref="Q844:V844" si="83">20000+1500+1000</f>
        <v>22500</v>
      </c>
      <c r="R844" s="235">
        <f t="shared" si="83"/>
        <v>22500</v>
      </c>
      <c r="S844" s="235">
        <f t="shared" si="83"/>
        <v>22500</v>
      </c>
      <c r="T844" s="235">
        <f t="shared" si="83"/>
        <v>22500</v>
      </c>
      <c r="U844" s="235">
        <f t="shared" si="83"/>
        <v>22500</v>
      </c>
      <c r="V844" s="235">
        <f t="shared" si="83"/>
        <v>22500</v>
      </c>
    </row>
    <row r="845" spans="1:22" ht="24" customHeight="1">
      <c r="A845" s="421" t="s">
        <v>603</v>
      </c>
      <c r="B845" s="422"/>
      <c r="C845" s="422"/>
      <c r="D845" s="421" t="s">
        <v>20</v>
      </c>
      <c r="E845" s="422"/>
      <c r="F845" s="422"/>
      <c r="G845" s="422"/>
      <c r="H845" s="422"/>
      <c r="I845" s="422"/>
      <c r="J845" s="422"/>
      <c r="K845" s="422"/>
      <c r="L845" s="237"/>
      <c r="M845" s="279"/>
      <c r="N845" s="351">
        <v>1785</v>
      </c>
      <c r="O845" s="351">
        <v>2374</v>
      </c>
      <c r="P845" s="352">
        <v>2250</v>
      </c>
      <c r="Q845" s="242">
        <f t="shared" ref="Q845:V845" si="84">1750+500</f>
        <v>2250</v>
      </c>
      <c r="R845" s="241">
        <f t="shared" si="84"/>
        <v>2250</v>
      </c>
      <c r="S845" s="241">
        <f t="shared" si="84"/>
        <v>2250</v>
      </c>
      <c r="T845" s="241">
        <f t="shared" si="84"/>
        <v>2250</v>
      </c>
      <c r="U845" s="241">
        <f t="shared" si="84"/>
        <v>2250</v>
      </c>
      <c r="V845" s="241">
        <f t="shared" si="84"/>
        <v>2250</v>
      </c>
    </row>
    <row r="846" spans="1:22" ht="24" customHeight="1">
      <c r="A846" s="421" t="s">
        <v>604</v>
      </c>
      <c r="B846" s="422"/>
      <c r="C846" s="422"/>
      <c r="D846" s="421" t="s">
        <v>304</v>
      </c>
      <c r="E846" s="422"/>
      <c r="F846" s="422"/>
      <c r="G846" s="422"/>
      <c r="H846" s="422"/>
      <c r="I846" s="422"/>
      <c r="J846" s="422"/>
      <c r="K846" s="422"/>
      <c r="L846" s="237"/>
      <c r="M846" s="279"/>
      <c r="N846" s="351">
        <v>0</v>
      </c>
      <c r="O846" s="351">
        <v>0</v>
      </c>
      <c r="P846" s="352">
        <v>500</v>
      </c>
      <c r="Q846" s="242">
        <v>500</v>
      </c>
      <c r="R846" s="241">
        <v>500</v>
      </c>
      <c r="S846" s="241">
        <v>500</v>
      </c>
      <c r="T846" s="241">
        <v>500</v>
      </c>
      <c r="U846" s="241">
        <v>500</v>
      </c>
      <c r="V846" s="241">
        <v>500</v>
      </c>
    </row>
    <row r="847" spans="1:22" ht="24" customHeight="1">
      <c r="A847" s="421" t="s">
        <v>605</v>
      </c>
      <c r="B847" s="422"/>
      <c r="C847" s="422"/>
      <c r="D847" s="421" t="s">
        <v>1490</v>
      </c>
      <c r="E847" s="422"/>
      <c r="F847" s="422"/>
      <c r="G847" s="422"/>
      <c r="H847" s="422"/>
      <c r="I847" s="422"/>
      <c r="J847" s="422"/>
      <c r="K847" s="422"/>
      <c r="L847" s="237"/>
      <c r="M847" s="279"/>
      <c r="N847" s="351">
        <v>44231</v>
      </c>
      <c r="O847" s="351">
        <v>51312</v>
      </c>
      <c r="P847" s="352">
        <v>50500</v>
      </c>
      <c r="Q847" s="242">
        <f t="shared" ref="Q847:V847" si="85">58000-7500</f>
        <v>50500</v>
      </c>
      <c r="R847" s="241">
        <f t="shared" si="85"/>
        <v>50500</v>
      </c>
      <c r="S847" s="241">
        <f t="shared" si="85"/>
        <v>50500</v>
      </c>
      <c r="T847" s="241">
        <f t="shared" si="85"/>
        <v>50500</v>
      </c>
      <c r="U847" s="241">
        <f t="shared" si="85"/>
        <v>50500</v>
      </c>
      <c r="V847" s="241">
        <f t="shared" si="85"/>
        <v>50500</v>
      </c>
    </row>
    <row r="848" spans="1:22" ht="24" customHeight="1">
      <c r="A848" s="421" t="s">
        <v>1223</v>
      </c>
      <c r="B848" s="422"/>
      <c r="C848" s="422"/>
      <c r="D848" s="421" t="s">
        <v>182</v>
      </c>
      <c r="E848" s="422"/>
      <c r="F848" s="422"/>
      <c r="G848" s="422"/>
      <c r="H848" s="422"/>
      <c r="I848" s="422"/>
      <c r="J848" s="422"/>
      <c r="K848" s="422"/>
      <c r="L848" s="237"/>
      <c r="M848" s="314"/>
      <c r="N848" s="373">
        <v>0</v>
      </c>
      <c r="O848" s="373">
        <v>0</v>
      </c>
      <c r="P848" s="374">
        <v>20000</v>
      </c>
      <c r="Q848" s="278">
        <v>20000</v>
      </c>
      <c r="R848" s="277">
        <v>21400</v>
      </c>
      <c r="S848" s="277">
        <v>22898</v>
      </c>
      <c r="T848" s="277">
        <v>24501</v>
      </c>
      <c r="U848" s="277">
        <v>26216</v>
      </c>
      <c r="V848" s="277">
        <v>28051</v>
      </c>
    </row>
    <row r="849" spans="1:23" s="337" customFormat="1" ht="24" customHeight="1">
      <c r="A849" s="421"/>
      <c r="B849" s="422"/>
      <c r="C849" s="422"/>
      <c r="D849" s="421"/>
      <c r="E849" s="422"/>
      <c r="F849" s="422"/>
      <c r="G849" s="422"/>
      <c r="H849" s="422"/>
      <c r="I849" s="422"/>
      <c r="J849" s="422"/>
      <c r="K849" s="422"/>
      <c r="L849" s="455"/>
      <c r="M849" s="457"/>
      <c r="N849" s="380">
        <f t="shared" ref="N849:V849" si="86">SUM(N826:N848)</f>
        <v>500718</v>
      </c>
      <c r="O849" s="380">
        <f t="shared" si="86"/>
        <v>549089</v>
      </c>
      <c r="P849" s="368">
        <f t="shared" si="86"/>
        <v>781806</v>
      </c>
      <c r="Q849" s="368">
        <f t="shared" si="86"/>
        <v>771806</v>
      </c>
      <c r="R849" s="380">
        <f t="shared" si="86"/>
        <v>813165</v>
      </c>
      <c r="S849" s="380">
        <f t="shared" si="86"/>
        <v>828389</v>
      </c>
      <c r="T849" s="380">
        <f t="shared" si="86"/>
        <v>845090</v>
      </c>
      <c r="U849" s="380">
        <f t="shared" si="86"/>
        <v>856772</v>
      </c>
      <c r="V849" s="380">
        <f t="shared" si="86"/>
        <v>869173</v>
      </c>
      <c r="W849" s="109"/>
    </row>
    <row r="850" spans="1:23" ht="15" customHeight="1">
      <c r="A850" s="421"/>
      <c r="B850" s="422"/>
      <c r="C850" s="422"/>
      <c r="D850" s="421"/>
      <c r="E850" s="422"/>
      <c r="F850" s="422"/>
      <c r="G850" s="422"/>
      <c r="H850" s="422"/>
      <c r="I850" s="422"/>
      <c r="J850" s="422"/>
      <c r="K850" s="422"/>
      <c r="L850" s="237"/>
      <c r="M850" s="269"/>
      <c r="N850" s="350"/>
      <c r="O850" s="350"/>
      <c r="P850" s="353"/>
      <c r="Q850" s="243"/>
      <c r="R850" s="239"/>
      <c r="S850" s="239"/>
      <c r="T850" s="239"/>
      <c r="U850" s="239"/>
      <c r="V850" s="239"/>
    </row>
    <row r="851" spans="1:23" ht="24" customHeight="1">
      <c r="A851" s="425" t="s">
        <v>833</v>
      </c>
      <c r="B851" s="337"/>
      <c r="C851" s="337"/>
      <c r="D851" s="337"/>
      <c r="E851" s="337"/>
      <c r="F851" s="337"/>
      <c r="G851" s="337"/>
      <c r="H851" s="337"/>
      <c r="I851" s="337"/>
      <c r="J851" s="337"/>
      <c r="K851" s="337"/>
      <c r="L851" s="229"/>
      <c r="N851" s="359"/>
      <c r="O851" s="359"/>
      <c r="P851" s="360"/>
      <c r="Q851" s="255"/>
      <c r="R851" s="254"/>
      <c r="S851" s="254"/>
      <c r="T851" s="254"/>
      <c r="U851" s="254"/>
      <c r="V851" s="254"/>
    </row>
    <row r="852" spans="1:23" ht="24" customHeight="1">
      <c r="A852" s="421" t="s">
        <v>871</v>
      </c>
      <c r="B852" s="422"/>
      <c r="C852" s="422"/>
      <c r="D852" s="421" t="s">
        <v>1238</v>
      </c>
      <c r="E852" s="422"/>
      <c r="F852" s="422"/>
      <c r="G852" s="422"/>
      <c r="H852" s="422"/>
      <c r="I852" s="422"/>
      <c r="J852" s="422"/>
      <c r="K852" s="422"/>
      <c r="L852" s="237"/>
      <c r="M852" s="263"/>
      <c r="N852" s="348">
        <v>248541</v>
      </c>
      <c r="O852" s="348">
        <v>197710</v>
      </c>
      <c r="P852" s="349">
        <v>185000</v>
      </c>
      <c r="Q852" s="236">
        <v>200000</v>
      </c>
      <c r="R852" s="235">
        <v>240745</v>
      </c>
      <c r="S852" s="235">
        <v>240745</v>
      </c>
      <c r="T852" s="235">
        <v>240745</v>
      </c>
      <c r="U852" s="235">
        <v>240745</v>
      </c>
      <c r="V852" s="235">
        <v>240745</v>
      </c>
    </row>
    <row r="853" spans="1:23" ht="24" customHeight="1">
      <c r="A853" s="421" t="s">
        <v>872</v>
      </c>
      <c r="B853" s="337"/>
      <c r="C853" s="337"/>
      <c r="D853" s="421" t="s">
        <v>83</v>
      </c>
      <c r="E853" s="337"/>
      <c r="F853" s="337"/>
      <c r="G853" s="337"/>
      <c r="H853" s="337"/>
      <c r="I853" s="337"/>
      <c r="J853" s="337"/>
      <c r="K853" s="337"/>
      <c r="L853" s="229"/>
      <c r="M853" s="263"/>
      <c r="N853" s="348">
        <v>12708</v>
      </c>
      <c r="O853" s="348">
        <v>17013</v>
      </c>
      <c r="P853" s="349">
        <v>25000</v>
      </c>
      <c r="Q853" s="236">
        <v>10500</v>
      </c>
      <c r="R853" s="235">
        <v>15000</v>
      </c>
      <c r="S853" s="235">
        <v>15000</v>
      </c>
      <c r="T853" s="235">
        <v>15000</v>
      </c>
      <c r="U853" s="235">
        <v>15000</v>
      </c>
      <c r="V853" s="235">
        <v>15000</v>
      </c>
    </row>
    <row r="854" spans="1:23" ht="24" customHeight="1">
      <c r="A854" s="421" t="s">
        <v>873</v>
      </c>
      <c r="B854" s="422"/>
      <c r="C854" s="422"/>
      <c r="D854" s="421" t="s">
        <v>18</v>
      </c>
      <c r="E854" s="422"/>
      <c r="F854" s="422"/>
      <c r="G854" s="422"/>
      <c r="H854" s="422"/>
      <c r="I854" s="422"/>
      <c r="J854" s="422"/>
      <c r="K854" s="422"/>
      <c r="L854" s="237"/>
      <c r="M854" s="247"/>
      <c r="N854" s="346">
        <v>0</v>
      </c>
      <c r="O854" s="346">
        <v>0</v>
      </c>
      <c r="P854" s="347">
        <v>300</v>
      </c>
      <c r="Q854" s="232">
        <v>300</v>
      </c>
      <c r="R854" s="231">
        <v>300</v>
      </c>
      <c r="S854" s="231">
        <v>300</v>
      </c>
      <c r="T854" s="231">
        <v>300</v>
      </c>
      <c r="U854" s="231">
        <v>300</v>
      </c>
      <c r="V854" s="231">
        <v>300</v>
      </c>
    </row>
    <row r="855" spans="1:23" ht="24" customHeight="1">
      <c r="A855" s="421" t="s">
        <v>874</v>
      </c>
      <c r="B855" s="422"/>
      <c r="C855" s="422"/>
      <c r="D855" s="421" t="s">
        <v>606</v>
      </c>
      <c r="E855" s="422"/>
      <c r="F855" s="422"/>
      <c r="G855" s="422"/>
      <c r="H855" s="422"/>
      <c r="I855" s="422"/>
      <c r="J855" s="422"/>
      <c r="K855" s="422"/>
      <c r="L855" s="237"/>
      <c r="M855" s="279"/>
      <c r="N855" s="351">
        <v>9021</v>
      </c>
      <c r="O855" s="351">
        <v>11542</v>
      </c>
      <c r="P855" s="352">
        <v>12500</v>
      </c>
      <c r="Q855" s="242">
        <v>10000</v>
      </c>
      <c r="R855" s="241">
        <v>12500</v>
      </c>
      <c r="S855" s="241">
        <v>12500</v>
      </c>
      <c r="T855" s="241">
        <v>12500</v>
      </c>
      <c r="U855" s="241">
        <v>12500</v>
      </c>
      <c r="V855" s="241">
        <v>12500</v>
      </c>
    </row>
    <row r="856" spans="1:23" ht="24" customHeight="1">
      <c r="A856" s="421" t="s">
        <v>875</v>
      </c>
      <c r="B856" s="422"/>
      <c r="C856" s="422"/>
      <c r="D856" s="421" t="s">
        <v>607</v>
      </c>
      <c r="E856" s="422"/>
      <c r="F856" s="422"/>
      <c r="G856" s="422"/>
      <c r="H856" s="422"/>
      <c r="I856" s="422"/>
      <c r="J856" s="422"/>
      <c r="K856" s="422"/>
      <c r="L856" s="237"/>
      <c r="M856" s="279"/>
      <c r="N856" s="351">
        <v>23085</v>
      </c>
      <c r="O856" s="351">
        <v>22476</v>
      </c>
      <c r="P856" s="352">
        <v>25000</v>
      </c>
      <c r="Q856" s="242">
        <v>15000</v>
      </c>
      <c r="R856" s="241">
        <v>30000</v>
      </c>
      <c r="S856" s="241">
        <v>31500</v>
      </c>
      <c r="T856" s="241">
        <v>33075</v>
      </c>
      <c r="U856" s="241">
        <v>34729</v>
      </c>
      <c r="V856" s="241">
        <v>36465</v>
      </c>
    </row>
    <row r="857" spans="1:23" ht="24" customHeight="1">
      <c r="A857" s="421" t="s">
        <v>876</v>
      </c>
      <c r="B857" s="422"/>
      <c r="C857" s="422"/>
      <c r="D857" s="421" t="s">
        <v>608</v>
      </c>
      <c r="E857" s="422"/>
      <c r="F857" s="422"/>
      <c r="G857" s="422"/>
      <c r="H857" s="422"/>
      <c r="I857" s="422"/>
      <c r="J857" s="422"/>
      <c r="K857" s="422"/>
      <c r="L857" s="237"/>
      <c r="M857" s="247"/>
      <c r="N857" s="346">
        <v>22657</v>
      </c>
      <c r="O857" s="346">
        <v>16768</v>
      </c>
      <c r="P857" s="347">
        <v>25000</v>
      </c>
      <c r="Q857" s="242">
        <v>10000</v>
      </c>
      <c r="R857" s="231">
        <v>25000</v>
      </c>
      <c r="S857" s="231">
        <v>25000</v>
      </c>
      <c r="T857" s="231">
        <v>25000</v>
      </c>
      <c r="U857" s="231">
        <v>25000</v>
      </c>
      <c r="V857" s="231">
        <v>25000</v>
      </c>
    </row>
    <row r="858" spans="1:23" ht="24" customHeight="1">
      <c r="A858" s="421" t="s">
        <v>877</v>
      </c>
      <c r="B858" s="422"/>
      <c r="C858" s="422"/>
      <c r="D858" s="421" t="s">
        <v>8</v>
      </c>
      <c r="E858" s="422"/>
      <c r="F858" s="422"/>
      <c r="G858" s="422"/>
      <c r="H858" s="422"/>
      <c r="I858" s="422"/>
      <c r="J858" s="422"/>
      <c r="K858" s="422"/>
      <c r="L858" s="237"/>
      <c r="M858" s="263"/>
      <c r="N858" s="348">
        <v>24798</v>
      </c>
      <c r="O858" s="348">
        <v>23137</v>
      </c>
      <c r="P858" s="349">
        <v>19884</v>
      </c>
      <c r="Q858" s="236">
        <v>24300</v>
      </c>
      <c r="R858" s="235">
        <v>26714</v>
      </c>
      <c r="S858" s="235">
        <v>26714</v>
      </c>
      <c r="T858" s="235">
        <v>26714</v>
      </c>
      <c r="U858" s="235">
        <v>26714</v>
      </c>
      <c r="V858" s="235">
        <v>26714</v>
      </c>
    </row>
    <row r="859" spans="1:23" ht="24" customHeight="1">
      <c r="A859" s="421" t="s">
        <v>878</v>
      </c>
      <c r="B859" s="337"/>
      <c r="C859" s="337"/>
      <c r="D859" s="421" t="s">
        <v>9</v>
      </c>
      <c r="E859" s="337"/>
      <c r="F859" s="337"/>
      <c r="G859" s="337"/>
      <c r="H859" s="337"/>
      <c r="I859" s="337"/>
      <c r="J859" s="337"/>
      <c r="K859" s="337"/>
      <c r="L859" s="229"/>
      <c r="M859" s="263"/>
      <c r="N859" s="348">
        <v>23899</v>
      </c>
      <c r="O859" s="348">
        <v>19543</v>
      </c>
      <c r="P859" s="349">
        <v>16000</v>
      </c>
      <c r="Q859" s="236">
        <v>18034</v>
      </c>
      <c r="R859" s="235">
        <v>24216</v>
      </c>
      <c r="S859" s="235">
        <v>24216</v>
      </c>
      <c r="T859" s="235">
        <v>24216</v>
      </c>
      <c r="U859" s="235">
        <v>24216</v>
      </c>
      <c r="V859" s="235">
        <v>24216</v>
      </c>
    </row>
    <row r="860" spans="1:23" ht="24" customHeight="1">
      <c r="A860" s="421" t="s">
        <v>879</v>
      </c>
      <c r="B860" s="337"/>
      <c r="C860" s="337"/>
      <c r="D860" s="421" t="s">
        <v>14</v>
      </c>
      <c r="E860" s="337"/>
      <c r="F860" s="337"/>
      <c r="G860" s="337"/>
      <c r="H860" s="337"/>
      <c r="I860" s="337"/>
      <c r="J860" s="337"/>
      <c r="K860" s="337"/>
      <c r="L860" s="229"/>
      <c r="M860" s="263"/>
      <c r="N860" s="348">
        <v>0</v>
      </c>
      <c r="O860" s="348">
        <v>0</v>
      </c>
      <c r="P860" s="349">
        <v>41094</v>
      </c>
      <c r="Q860" s="236">
        <v>41094</v>
      </c>
      <c r="R860" s="235">
        <v>75911</v>
      </c>
      <c r="S860" s="241">
        <v>83502</v>
      </c>
      <c r="T860" s="241">
        <v>91852</v>
      </c>
      <c r="U860" s="241">
        <v>97363</v>
      </c>
      <c r="V860" s="241">
        <v>103205</v>
      </c>
    </row>
    <row r="861" spans="1:23" ht="24" customHeight="1">
      <c r="A861" s="421" t="s">
        <v>880</v>
      </c>
      <c r="B861" s="337"/>
      <c r="C861" s="337"/>
      <c r="D861" s="421" t="s">
        <v>229</v>
      </c>
      <c r="E861" s="337"/>
      <c r="F861" s="337"/>
      <c r="G861" s="337"/>
      <c r="H861" s="337"/>
      <c r="I861" s="337"/>
      <c r="J861" s="337"/>
      <c r="K861" s="337"/>
      <c r="L861" s="229"/>
      <c r="M861" s="263"/>
      <c r="N861" s="348">
        <v>0</v>
      </c>
      <c r="O861" s="348">
        <v>0</v>
      </c>
      <c r="P861" s="349">
        <v>473</v>
      </c>
      <c r="Q861" s="236">
        <v>450</v>
      </c>
      <c r="R861" s="235">
        <v>591</v>
      </c>
      <c r="S861" s="241">
        <v>597</v>
      </c>
      <c r="T861" s="241">
        <v>603</v>
      </c>
      <c r="U861" s="241">
        <v>609</v>
      </c>
      <c r="V861" s="241">
        <v>615</v>
      </c>
    </row>
    <row r="862" spans="1:23" ht="24" customHeight="1">
      <c r="A862" s="421" t="s">
        <v>881</v>
      </c>
      <c r="B862" s="337"/>
      <c r="C862" s="337"/>
      <c r="D862" s="421" t="s">
        <v>819</v>
      </c>
      <c r="E862" s="337"/>
      <c r="F862" s="337"/>
      <c r="G862" s="337"/>
      <c r="H862" s="337"/>
      <c r="I862" s="337"/>
      <c r="J862" s="337"/>
      <c r="K862" s="337"/>
      <c r="L862" s="229"/>
      <c r="M862" s="263"/>
      <c r="N862" s="348">
        <v>0</v>
      </c>
      <c r="O862" s="348">
        <v>0</v>
      </c>
      <c r="P862" s="349">
        <v>2675</v>
      </c>
      <c r="Q862" s="236">
        <v>2566</v>
      </c>
      <c r="R862" s="235">
        <v>4344</v>
      </c>
      <c r="S862" s="241">
        <v>4778</v>
      </c>
      <c r="T862" s="241">
        <v>5256</v>
      </c>
      <c r="U862" s="241">
        <v>5572</v>
      </c>
      <c r="V862" s="241">
        <v>5906</v>
      </c>
    </row>
    <row r="863" spans="1:23" ht="24" customHeight="1">
      <c r="A863" s="421" t="s">
        <v>882</v>
      </c>
      <c r="B863" s="337"/>
      <c r="C863" s="337"/>
      <c r="D863" s="421" t="s">
        <v>821</v>
      </c>
      <c r="E863" s="337"/>
      <c r="F863" s="337"/>
      <c r="G863" s="337"/>
      <c r="H863" s="337"/>
      <c r="I863" s="337"/>
      <c r="J863" s="337"/>
      <c r="K863" s="337"/>
      <c r="L863" s="229"/>
      <c r="M863" s="263"/>
      <c r="N863" s="348">
        <v>0</v>
      </c>
      <c r="O863" s="348">
        <v>0</v>
      </c>
      <c r="P863" s="349">
        <v>325</v>
      </c>
      <c r="Q863" s="236">
        <v>296</v>
      </c>
      <c r="R863" s="235">
        <v>505</v>
      </c>
      <c r="S863" s="241">
        <v>556</v>
      </c>
      <c r="T863" s="241">
        <v>611</v>
      </c>
      <c r="U863" s="241">
        <v>648</v>
      </c>
      <c r="V863" s="241">
        <v>687</v>
      </c>
    </row>
    <row r="864" spans="1:23" ht="24" customHeight="1">
      <c r="A864" s="421" t="s">
        <v>883</v>
      </c>
      <c r="B864" s="422"/>
      <c r="C864" s="422"/>
      <c r="D864" s="421" t="s">
        <v>108</v>
      </c>
      <c r="E864" s="422"/>
      <c r="F864" s="422"/>
      <c r="G864" s="422"/>
      <c r="H864" s="422"/>
      <c r="I864" s="422"/>
      <c r="J864" s="422"/>
      <c r="K864" s="422"/>
      <c r="L864" s="237"/>
      <c r="M864" s="263"/>
      <c r="N864" s="348">
        <v>680</v>
      </c>
      <c r="O864" s="348">
        <v>581</v>
      </c>
      <c r="P864" s="349">
        <v>2000</v>
      </c>
      <c r="Q864" s="236">
        <v>2000</v>
      </c>
      <c r="R864" s="235">
        <v>3000</v>
      </c>
      <c r="S864" s="235">
        <v>3000</v>
      </c>
      <c r="T864" s="235">
        <v>3000</v>
      </c>
      <c r="U864" s="235">
        <v>3000</v>
      </c>
      <c r="V864" s="235">
        <v>3000</v>
      </c>
    </row>
    <row r="865" spans="1:22" ht="24" customHeight="1">
      <c r="A865" s="421" t="s">
        <v>884</v>
      </c>
      <c r="B865" s="422"/>
      <c r="C865" s="422"/>
      <c r="D865" s="421" t="s">
        <v>1487</v>
      </c>
      <c r="E865" s="422"/>
      <c r="F865" s="422"/>
      <c r="G865" s="422"/>
      <c r="H865" s="422"/>
      <c r="I865" s="422"/>
      <c r="J865" s="422"/>
      <c r="K865" s="422"/>
      <c r="L865" s="237"/>
      <c r="M865" s="263"/>
      <c r="N865" s="348">
        <v>0</v>
      </c>
      <c r="O865" s="348">
        <v>369</v>
      </c>
      <c r="P865" s="349">
        <v>1000</v>
      </c>
      <c r="Q865" s="236">
        <f>700+300</f>
        <v>1000</v>
      </c>
      <c r="R865" s="235">
        <v>1500</v>
      </c>
      <c r="S865" s="235">
        <v>1500</v>
      </c>
      <c r="T865" s="235">
        <v>1500</v>
      </c>
      <c r="U865" s="235">
        <v>1500</v>
      </c>
      <c r="V865" s="235">
        <v>1500</v>
      </c>
    </row>
    <row r="866" spans="1:22" ht="24" customHeight="1">
      <c r="A866" s="421" t="s">
        <v>885</v>
      </c>
      <c r="B866" s="422"/>
      <c r="C866" s="422"/>
      <c r="D866" s="421" t="s">
        <v>107</v>
      </c>
      <c r="E866" s="422"/>
      <c r="F866" s="422"/>
      <c r="G866" s="422"/>
      <c r="H866" s="422"/>
      <c r="I866" s="422"/>
      <c r="J866" s="422"/>
      <c r="K866" s="422"/>
      <c r="L866" s="237"/>
      <c r="M866" s="247"/>
      <c r="N866" s="346">
        <v>27872</v>
      </c>
      <c r="O866" s="346">
        <v>27026</v>
      </c>
      <c r="P866" s="347">
        <v>27000</v>
      </c>
      <c r="Q866" s="232">
        <v>27000</v>
      </c>
      <c r="R866" s="231">
        <v>27000</v>
      </c>
      <c r="S866" s="231">
        <v>27000</v>
      </c>
      <c r="T866" s="231">
        <v>27000</v>
      </c>
      <c r="U866" s="231">
        <v>27000</v>
      </c>
      <c r="V866" s="231">
        <v>27000</v>
      </c>
    </row>
    <row r="867" spans="1:22" ht="24" customHeight="1">
      <c r="A867" s="421" t="s">
        <v>886</v>
      </c>
      <c r="B867" s="337"/>
      <c r="C867" s="337"/>
      <c r="D867" s="421" t="s">
        <v>294</v>
      </c>
      <c r="E867" s="337"/>
      <c r="F867" s="337"/>
      <c r="G867" s="337"/>
      <c r="H867" s="337"/>
      <c r="I867" s="337"/>
      <c r="J867" s="337"/>
      <c r="K867" s="337"/>
      <c r="L867" s="229"/>
      <c r="M867" s="263"/>
      <c r="N867" s="348">
        <v>5517</v>
      </c>
      <c r="O867" s="348">
        <v>2847</v>
      </c>
      <c r="P867" s="349">
        <v>4300</v>
      </c>
      <c r="Q867" s="236">
        <v>3000</v>
      </c>
      <c r="R867" s="235">
        <v>7000</v>
      </c>
      <c r="S867" s="235">
        <v>7000</v>
      </c>
      <c r="T867" s="235">
        <v>7000</v>
      </c>
      <c r="U867" s="235">
        <v>7000</v>
      </c>
      <c r="V867" s="235">
        <v>7000</v>
      </c>
    </row>
    <row r="868" spans="1:22" ht="24" customHeight="1">
      <c r="A868" s="421" t="s">
        <v>887</v>
      </c>
      <c r="B868" s="337"/>
      <c r="C868" s="337"/>
      <c r="D868" s="421" t="s">
        <v>609</v>
      </c>
      <c r="E868" s="337"/>
      <c r="F868" s="337"/>
      <c r="G868" s="337"/>
      <c r="H868" s="337"/>
      <c r="I868" s="337"/>
      <c r="J868" s="337"/>
      <c r="K868" s="337"/>
      <c r="L868" s="229"/>
      <c r="M868" s="263"/>
      <c r="N868" s="348">
        <v>221</v>
      </c>
      <c r="O868" s="348">
        <v>685</v>
      </c>
      <c r="P868" s="349">
        <v>2500</v>
      </c>
      <c r="Q868" s="236">
        <v>2500</v>
      </c>
      <c r="R868" s="235">
        <v>2500</v>
      </c>
      <c r="S868" s="235">
        <v>2500</v>
      </c>
      <c r="T868" s="235">
        <v>2500</v>
      </c>
      <c r="U868" s="235">
        <v>2500</v>
      </c>
      <c r="V868" s="235">
        <v>2500</v>
      </c>
    </row>
    <row r="869" spans="1:22" ht="24" customHeight="1">
      <c r="A869" s="421" t="s">
        <v>888</v>
      </c>
      <c r="B869" s="422"/>
      <c r="C869" s="422"/>
      <c r="D869" s="421" t="s">
        <v>106</v>
      </c>
      <c r="E869" s="422"/>
      <c r="F869" s="422"/>
      <c r="G869" s="422"/>
      <c r="H869" s="422"/>
      <c r="I869" s="422"/>
      <c r="J869" s="422"/>
      <c r="K869" s="422"/>
      <c r="L869" s="237"/>
      <c r="M869" s="263"/>
      <c r="N869" s="348">
        <v>7006</v>
      </c>
      <c r="O869" s="348">
        <v>3128</v>
      </c>
      <c r="P869" s="349">
        <v>8000</v>
      </c>
      <c r="Q869" s="236">
        <v>2000</v>
      </c>
      <c r="R869" s="235">
        <v>4000</v>
      </c>
      <c r="S869" s="235">
        <v>4000</v>
      </c>
      <c r="T869" s="235">
        <v>4000</v>
      </c>
      <c r="U869" s="235">
        <v>4000</v>
      </c>
      <c r="V869" s="235">
        <v>4000</v>
      </c>
    </row>
    <row r="870" spans="1:22" ht="24" customHeight="1">
      <c r="A870" s="421" t="s">
        <v>1436</v>
      </c>
      <c r="B870" s="337"/>
      <c r="C870" s="337"/>
      <c r="D870" s="421" t="s">
        <v>1489</v>
      </c>
      <c r="E870" s="337"/>
      <c r="F870" s="337"/>
      <c r="G870" s="337"/>
      <c r="H870" s="337"/>
      <c r="I870" s="337"/>
      <c r="J870" s="337"/>
      <c r="K870" s="337"/>
      <c r="L870" s="229"/>
      <c r="M870" s="229"/>
      <c r="N870" s="377">
        <v>482</v>
      </c>
      <c r="O870" s="377">
        <v>1375</v>
      </c>
      <c r="P870" s="378">
        <v>1500</v>
      </c>
      <c r="Q870" s="284">
        <v>1500</v>
      </c>
      <c r="R870" s="283">
        <v>1500</v>
      </c>
      <c r="S870" s="283">
        <v>1500</v>
      </c>
      <c r="T870" s="283">
        <v>1500</v>
      </c>
      <c r="U870" s="283">
        <v>1500</v>
      </c>
      <c r="V870" s="283">
        <v>1500</v>
      </c>
    </row>
    <row r="871" spans="1:22" ht="24" customHeight="1">
      <c r="A871" s="421" t="s">
        <v>889</v>
      </c>
      <c r="B871" s="337"/>
      <c r="C871" s="337"/>
      <c r="D871" s="421" t="s">
        <v>10</v>
      </c>
      <c r="E871" s="337"/>
      <c r="F871" s="337"/>
      <c r="G871" s="337"/>
      <c r="H871" s="337"/>
      <c r="I871" s="337"/>
      <c r="J871" s="337"/>
      <c r="K871" s="337"/>
      <c r="L871" s="229"/>
      <c r="M871" s="263"/>
      <c r="N871" s="348">
        <v>49076</v>
      </c>
      <c r="O871" s="348">
        <v>73265</v>
      </c>
      <c r="P871" s="349">
        <v>60000</v>
      </c>
      <c r="Q871" s="236">
        <v>60000</v>
      </c>
      <c r="R871" s="235">
        <v>65000</v>
      </c>
      <c r="S871" s="235">
        <v>68250</v>
      </c>
      <c r="T871" s="235">
        <v>71663</v>
      </c>
      <c r="U871" s="235">
        <v>75246</v>
      </c>
      <c r="V871" s="235">
        <v>79008</v>
      </c>
    </row>
    <row r="872" spans="1:22" ht="24" customHeight="1">
      <c r="A872" s="421" t="s">
        <v>890</v>
      </c>
      <c r="B872" s="422"/>
      <c r="C872" s="422"/>
      <c r="D872" s="421" t="s">
        <v>21</v>
      </c>
      <c r="E872" s="422"/>
      <c r="F872" s="422"/>
      <c r="G872" s="422"/>
      <c r="H872" s="422"/>
      <c r="I872" s="422"/>
      <c r="J872" s="422"/>
      <c r="K872" s="422"/>
      <c r="L872" s="237"/>
      <c r="M872" s="247"/>
      <c r="N872" s="346">
        <v>21229</v>
      </c>
      <c r="O872" s="346">
        <v>9538</v>
      </c>
      <c r="P872" s="347">
        <v>23100</v>
      </c>
      <c r="Q872" s="232">
        <v>15000</v>
      </c>
      <c r="R872" s="231">
        <v>20000</v>
      </c>
      <c r="S872" s="231">
        <v>21000</v>
      </c>
      <c r="T872" s="231">
        <v>22050</v>
      </c>
      <c r="U872" s="231">
        <v>23153</v>
      </c>
      <c r="V872" s="231">
        <v>24310</v>
      </c>
    </row>
    <row r="873" spans="1:22" ht="24" customHeight="1">
      <c r="A873" s="421" t="s">
        <v>891</v>
      </c>
      <c r="B873" s="422"/>
      <c r="C873" s="422"/>
      <c r="D873" s="421" t="s">
        <v>102</v>
      </c>
      <c r="E873" s="422"/>
      <c r="F873" s="422"/>
      <c r="G873" s="422"/>
      <c r="H873" s="422"/>
      <c r="I873" s="422"/>
      <c r="J873" s="422"/>
      <c r="K873" s="422"/>
      <c r="L873" s="237"/>
      <c r="M873" s="263"/>
      <c r="N873" s="348">
        <v>2459</v>
      </c>
      <c r="O873" s="348">
        <v>2558</v>
      </c>
      <c r="P873" s="349">
        <v>4500</v>
      </c>
      <c r="Q873" s="236">
        <v>4500</v>
      </c>
      <c r="R873" s="235">
        <v>4500</v>
      </c>
      <c r="S873" s="235">
        <v>4500</v>
      </c>
      <c r="T873" s="235">
        <v>4500</v>
      </c>
      <c r="U873" s="235">
        <v>4500</v>
      </c>
      <c r="V873" s="235">
        <v>4500</v>
      </c>
    </row>
    <row r="874" spans="1:22" ht="24" customHeight="1">
      <c r="A874" s="421" t="s">
        <v>892</v>
      </c>
      <c r="B874" s="422"/>
      <c r="C874" s="422"/>
      <c r="D874" s="421" t="s">
        <v>1491</v>
      </c>
      <c r="E874" s="422"/>
      <c r="F874" s="422"/>
      <c r="G874" s="422"/>
      <c r="H874" s="422"/>
      <c r="I874" s="422"/>
      <c r="J874" s="422"/>
      <c r="K874" s="422"/>
      <c r="L874" s="237"/>
      <c r="M874" s="275"/>
      <c r="N874" s="372">
        <v>1387</v>
      </c>
      <c r="O874" s="372">
        <v>106</v>
      </c>
      <c r="P874" s="379">
        <v>1000</v>
      </c>
      <c r="Q874" s="285">
        <v>500</v>
      </c>
      <c r="R874" s="276">
        <f>40000</f>
        <v>40000</v>
      </c>
      <c r="S874" s="276">
        <v>1000</v>
      </c>
      <c r="T874" s="276">
        <v>1000</v>
      </c>
      <c r="U874" s="276">
        <v>1000</v>
      </c>
      <c r="V874" s="276">
        <v>1000</v>
      </c>
    </row>
    <row r="875" spans="1:22" ht="24" customHeight="1">
      <c r="A875" s="421" t="s">
        <v>893</v>
      </c>
      <c r="B875" s="422"/>
      <c r="C875" s="422"/>
      <c r="D875" s="421" t="s">
        <v>610</v>
      </c>
      <c r="E875" s="422"/>
      <c r="F875" s="422"/>
      <c r="G875" s="422"/>
      <c r="H875" s="422"/>
      <c r="I875" s="422"/>
      <c r="J875" s="422"/>
      <c r="K875" s="422"/>
      <c r="L875" s="237"/>
      <c r="M875" s="275"/>
      <c r="N875" s="372">
        <v>3082</v>
      </c>
      <c r="O875" s="372">
        <v>9388</v>
      </c>
      <c r="P875" s="379">
        <v>7000</v>
      </c>
      <c r="Q875" s="285">
        <v>7000</v>
      </c>
      <c r="R875" s="276">
        <v>7000</v>
      </c>
      <c r="S875" s="276">
        <v>7000</v>
      </c>
      <c r="T875" s="276">
        <v>7000</v>
      </c>
      <c r="U875" s="276">
        <v>7000</v>
      </c>
      <c r="V875" s="276">
        <v>7000</v>
      </c>
    </row>
    <row r="876" spans="1:22" ht="24" customHeight="1">
      <c r="A876" s="421" t="s">
        <v>1382</v>
      </c>
      <c r="B876" s="422"/>
      <c r="C876" s="422"/>
      <c r="D876" s="421" t="s">
        <v>646</v>
      </c>
      <c r="E876" s="422"/>
      <c r="F876" s="422"/>
      <c r="G876" s="422"/>
      <c r="H876" s="422"/>
      <c r="I876" s="422"/>
      <c r="J876" s="422"/>
      <c r="K876" s="422"/>
      <c r="L876" s="237"/>
      <c r="M876" s="275"/>
      <c r="N876" s="372">
        <v>0</v>
      </c>
      <c r="O876" s="372">
        <v>0</v>
      </c>
      <c r="P876" s="379">
        <v>0</v>
      </c>
      <c r="Q876" s="285">
        <v>0</v>
      </c>
      <c r="R876" s="276">
        <v>0</v>
      </c>
      <c r="S876" s="276">
        <v>30000</v>
      </c>
      <c r="T876" s="276">
        <v>0</v>
      </c>
      <c r="U876" s="276">
        <v>0</v>
      </c>
      <c r="V876" s="276">
        <v>0</v>
      </c>
    </row>
    <row r="877" spans="1:22" ht="24" customHeight="1">
      <c r="A877" s="421" t="s">
        <v>894</v>
      </c>
      <c r="B877" s="422"/>
      <c r="C877" s="422"/>
      <c r="D877" s="421" t="s">
        <v>611</v>
      </c>
      <c r="E877" s="422"/>
      <c r="F877" s="422"/>
      <c r="G877" s="422"/>
      <c r="H877" s="422"/>
      <c r="I877" s="422"/>
      <c r="J877" s="422"/>
      <c r="K877" s="422"/>
      <c r="L877" s="237"/>
      <c r="M877" s="263"/>
      <c r="N877" s="348">
        <v>99903</v>
      </c>
      <c r="O877" s="348">
        <v>84982</v>
      </c>
      <c r="P877" s="349">
        <v>140000</v>
      </c>
      <c r="Q877" s="236">
        <v>91712</v>
      </c>
      <c r="R877" s="235">
        <v>100000</v>
      </c>
      <c r="S877" s="235">
        <v>100000</v>
      </c>
      <c r="T877" s="235">
        <v>100000</v>
      </c>
      <c r="U877" s="235">
        <v>100000</v>
      </c>
      <c r="V877" s="235">
        <v>100000</v>
      </c>
    </row>
    <row r="878" spans="1:22" ht="24" customHeight="1">
      <c r="A878" s="421" t="s">
        <v>895</v>
      </c>
      <c r="B878" s="422"/>
      <c r="C878" s="422"/>
      <c r="D878" s="421" t="s">
        <v>612</v>
      </c>
      <c r="E878" s="422"/>
      <c r="F878" s="422"/>
      <c r="G878" s="422"/>
      <c r="H878" s="422"/>
      <c r="I878" s="422"/>
      <c r="J878" s="422"/>
      <c r="K878" s="422"/>
      <c r="L878" s="237"/>
      <c r="M878" s="263"/>
      <c r="N878" s="348">
        <v>47154</v>
      </c>
      <c r="O878" s="348">
        <v>47065</v>
      </c>
      <c r="P878" s="349">
        <v>55000</v>
      </c>
      <c r="Q878" s="236">
        <v>55000</v>
      </c>
      <c r="R878" s="235">
        <v>55000</v>
      </c>
      <c r="S878" s="235">
        <v>55000</v>
      </c>
      <c r="T878" s="235">
        <v>55000</v>
      </c>
      <c r="U878" s="235">
        <v>55000</v>
      </c>
      <c r="V878" s="235">
        <v>55000</v>
      </c>
    </row>
    <row r="879" spans="1:22" ht="24" customHeight="1">
      <c r="A879" s="421" t="s">
        <v>896</v>
      </c>
      <c r="B879" s="422"/>
      <c r="C879" s="422"/>
      <c r="D879" s="421" t="s">
        <v>613</v>
      </c>
      <c r="E879" s="422"/>
      <c r="F879" s="422"/>
      <c r="G879" s="422"/>
      <c r="H879" s="422"/>
      <c r="I879" s="422"/>
      <c r="J879" s="422"/>
      <c r="K879" s="422"/>
      <c r="L879" s="237"/>
      <c r="M879" s="263"/>
      <c r="N879" s="348">
        <v>17834</v>
      </c>
      <c r="O879" s="348">
        <v>19144</v>
      </c>
      <c r="P879" s="349">
        <v>18000</v>
      </c>
      <c r="Q879" s="236">
        <v>15000</v>
      </c>
      <c r="R879" s="235">
        <v>18000</v>
      </c>
      <c r="S879" s="235">
        <v>18000</v>
      </c>
      <c r="T879" s="235">
        <v>18000</v>
      </c>
      <c r="U879" s="235">
        <v>18000</v>
      </c>
      <c r="V879" s="235">
        <v>18000</v>
      </c>
    </row>
    <row r="880" spans="1:22" ht="24" customHeight="1">
      <c r="A880" s="421" t="s">
        <v>897</v>
      </c>
      <c r="B880" s="422"/>
      <c r="C880" s="422"/>
      <c r="D880" s="421" t="s">
        <v>11</v>
      </c>
      <c r="E880" s="422"/>
      <c r="F880" s="422"/>
      <c r="G880" s="422"/>
      <c r="H880" s="422"/>
      <c r="I880" s="422"/>
      <c r="J880" s="422"/>
      <c r="K880" s="422"/>
      <c r="L880" s="237"/>
      <c r="M880" s="263"/>
      <c r="N880" s="348">
        <v>2466</v>
      </c>
      <c r="O880" s="348">
        <v>1792</v>
      </c>
      <c r="P880" s="349">
        <v>3000</v>
      </c>
      <c r="Q880" s="236">
        <v>3000</v>
      </c>
      <c r="R880" s="235">
        <v>3000</v>
      </c>
      <c r="S880" s="235">
        <v>3000</v>
      </c>
      <c r="T880" s="235">
        <v>3000</v>
      </c>
      <c r="U880" s="235">
        <v>3000</v>
      </c>
      <c r="V880" s="235">
        <v>3000</v>
      </c>
    </row>
    <row r="881" spans="1:22" ht="24" customHeight="1">
      <c r="A881" s="421" t="s">
        <v>898</v>
      </c>
      <c r="B881" s="422"/>
      <c r="C881" s="422"/>
      <c r="D881" s="421" t="s">
        <v>13</v>
      </c>
      <c r="E881" s="422"/>
      <c r="F881" s="422"/>
      <c r="G881" s="422"/>
      <c r="H881" s="422"/>
      <c r="I881" s="422"/>
      <c r="J881" s="422"/>
      <c r="K881" s="422"/>
      <c r="L881" s="237"/>
      <c r="M881" s="263"/>
      <c r="N881" s="348">
        <v>4138</v>
      </c>
      <c r="O881" s="348">
        <v>6533</v>
      </c>
      <c r="P881" s="349">
        <v>5500</v>
      </c>
      <c r="Q881" s="236">
        <v>7500</v>
      </c>
      <c r="R881" s="235">
        <v>7500</v>
      </c>
      <c r="S881" s="235">
        <v>7500</v>
      </c>
      <c r="T881" s="235">
        <v>7500</v>
      </c>
      <c r="U881" s="235">
        <v>7500</v>
      </c>
      <c r="V881" s="235">
        <v>7500</v>
      </c>
    </row>
    <row r="882" spans="1:22" ht="24" customHeight="1">
      <c r="A882" s="421" t="s">
        <v>899</v>
      </c>
      <c r="B882" s="422"/>
      <c r="C882" s="422"/>
      <c r="D882" s="421" t="s">
        <v>20</v>
      </c>
      <c r="E882" s="422"/>
      <c r="F882" s="422"/>
      <c r="G882" s="422"/>
      <c r="H882" s="422"/>
      <c r="I882" s="422"/>
      <c r="J882" s="422"/>
      <c r="K882" s="422"/>
      <c r="L882" s="237"/>
      <c r="M882" s="247"/>
      <c r="N882" s="346">
        <v>283</v>
      </c>
      <c r="O882" s="346">
        <v>0</v>
      </c>
      <c r="P882" s="347">
        <f>2000</f>
        <v>2000</v>
      </c>
      <c r="Q882" s="232">
        <v>500</v>
      </c>
      <c r="R882" s="231">
        <v>1000</v>
      </c>
      <c r="S882" s="231">
        <v>1000</v>
      </c>
      <c r="T882" s="231">
        <v>1000</v>
      </c>
      <c r="U882" s="231">
        <v>1000</v>
      </c>
      <c r="V882" s="231">
        <v>1000</v>
      </c>
    </row>
    <row r="883" spans="1:22" ht="24" customHeight="1">
      <c r="A883" s="421" t="s">
        <v>900</v>
      </c>
      <c r="B883" s="422"/>
      <c r="C883" s="422"/>
      <c r="D883" s="421" t="s">
        <v>304</v>
      </c>
      <c r="E883" s="422"/>
      <c r="F883" s="422"/>
      <c r="G883" s="422"/>
      <c r="H883" s="422"/>
      <c r="I883" s="422"/>
      <c r="J883" s="422"/>
      <c r="K883" s="422"/>
      <c r="L883" s="237"/>
      <c r="M883" s="279"/>
      <c r="N883" s="351">
        <v>2600</v>
      </c>
      <c r="O883" s="351">
        <v>1522</v>
      </c>
      <c r="P883" s="352">
        <v>500</v>
      </c>
      <c r="Q883" s="242">
        <v>500</v>
      </c>
      <c r="R883" s="241">
        <v>500</v>
      </c>
      <c r="S883" s="241">
        <v>500</v>
      </c>
      <c r="T883" s="241">
        <v>500</v>
      </c>
      <c r="U883" s="241">
        <v>500</v>
      </c>
      <c r="V883" s="241">
        <v>500</v>
      </c>
    </row>
    <row r="884" spans="1:22" ht="24" customHeight="1">
      <c r="A884" s="421" t="s">
        <v>901</v>
      </c>
      <c r="B884" s="422"/>
      <c r="C884" s="422"/>
      <c r="D884" s="421" t="s">
        <v>1490</v>
      </c>
      <c r="E884" s="422"/>
      <c r="F884" s="422"/>
      <c r="G884" s="422"/>
      <c r="H884" s="422"/>
      <c r="I884" s="422"/>
      <c r="J884" s="422"/>
      <c r="K884" s="422"/>
      <c r="L884" s="237"/>
      <c r="M884" s="279"/>
      <c r="N884" s="351">
        <v>412</v>
      </c>
      <c r="O884" s="351">
        <v>920</v>
      </c>
      <c r="P884" s="352">
        <f>2000</f>
        <v>2000</v>
      </c>
      <c r="Q884" s="242">
        <v>1000</v>
      </c>
      <c r="R884" s="241">
        <f>2000</f>
        <v>2000</v>
      </c>
      <c r="S884" s="241">
        <f>2000</f>
        <v>2000</v>
      </c>
      <c r="T884" s="241">
        <f>2000</f>
        <v>2000</v>
      </c>
      <c r="U884" s="241">
        <f>2000</f>
        <v>2000</v>
      </c>
      <c r="V884" s="241">
        <f>2000</f>
        <v>2000</v>
      </c>
    </row>
    <row r="885" spans="1:22" ht="24" customHeight="1">
      <c r="A885" s="421" t="s">
        <v>902</v>
      </c>
      <c r="B885" s="422"/>
      <c r="C885" s="422"/>
      <c r="D885" s="421" t="s">
        <v>1492</v>
      </c>
      <c r="E885" s="422"/>
      <c r="F885" s="422"/>
      <c r="G885" s="422"/>
      <c r="H885" s="422"/>
      <c r="I885" s="422"/>
      <c r="J885" s="422"/>
      <c r="K885" s="422"/>
      <c r="L885" s="237"/>
      <c r="M885" s="247"/>
      <c r="N885" s="346">
        <v>0</v>
      </c>
      <c r="O885" s="346">
        <v>0</v>
      </c>
      <c r="P885" s="347">
        <v>100</v>
      </c>
      <c r="Q885" s="232">
        <v>100</v>
      </c>
      <c r="R885" s="231">
        <v>100</v>
      </c>
      <c r="S885" s="231">
        <v>100</v>
      </c>
      <c r="T885" s="231">
        <v>100</v>
      </c>
      <c r="U885" s="231">
        <v>100</v>
      </c>
      <c r="V885" s="231">
        <v>100</v>
      </c>
    </row>
    <row r="886" spans="1:22" ht="24" customHeight="1">
      <c r="A886" s="421" t="s">
        <v>903</v>
      </c>
      <c r="B886" s="337"/>
      <c r="C886" s="337"/>
      <c r="D886" s="421" t="s">
        <v>288</v>
      </c>
      <c r="E886" s="337"/>
      <c r="F886" s="337"/>
      <c r="G886" s="337"/>
      <c r="H886" s="337"/>
      <c r="I886" s="337"/>
      <c r="J886" s="337"/>
      <c r="K886" s="337"/>
      <c r="L886" s="229"/>
      <c r="M886" s="269"/>
      <c r="N886" s="350">
        <v>0</v>
      </c>
      <c r="O886" s="350">
        <v>0</v>
      </c>
      <c r="P886" s="353">
        <v>500</v>
      </c>
      <c r="Q886" s="243">
        <v>0</v>
      </c>
      <c r="R886" s="239">
        <v>0</v>
      </c>
      <c r="S886" s="239">
        <v>0</v>
      </c>
      <c r="T886" s="239">
        <v>0</v>
      </c>
      <c r="U886" s="239">
        <v>0</v>
      </c>
      <c r="V886" s="239">
        <v>0</v>
      </c>
    </row>
    <row r="887" spans="1:22" ht="24" customHeight="1">
      <c r="A887" s="421" t="s">
        <v>904</v>
      </c>
      <c r="B887" s="422"/>
      <c r="C887" s="422"/>
      <c r="D887" s="421" t="s">
        <v>182</v>
      </c>
      <c r="E887" s="422"/>
      <c r="F887" s="422"/>
      <c r="G887" s="422"/>
      <c r="H887" s="422"/>
      <c r="I887" s="422"/>
      <c r="J887" s="422"/>
      <c r="K887" s="422"/>
      <c r="L887" s="237"/>
      <c r="M887" s="286"/>
      <c r="N887" s="350">
        <v>1626</v>
      </c>
      <c r="O887" s="350">
        <v>996</v>
      </c>
      <c r="P887" s="353">
        <v>3210</v>
      </c>
      <c r="Q887" s="243">
        <v>1500</v>
      </c>
      <c r="R887" s="239">
        <v>3000</v>
      </c>
      <c r="S887" s="239">
        <v>3210</v>
      </c>
      <c r="T887" s="239">
        <v>3435</v>
      </c>
      <c r="U887" s="239">
        <v>3675</v>
      </c>
      <c r="V887" s="239">
        <v>3932</v>
      </c>
    </row>
    <row r="888" spans="1:22" ht="24" customHeight="1">
      <c r="A888" s="421" t="s">
        <v>1385</v>
      </c>
      <c r="B888" s="422"/>
      <c r="C888" s="422"/>
      <c r="D888" s="421" t="s">
        <v>1386</v>
      </c>
      <c r="E888" s="422"/>
      <c r="F888" s="422"/>
      <c r="G888" s="422"/>
      <c r="H888" s="422"/>
      <c r="I888" s="422"/>
      <c r="J888" s="422"/>
      <c r="K888" s="422"/>
      <c r="L888" s="237"/>
      <c r="M888" s="286"/>
      <c r="N888" s="357">
        <v>0</v>
      </c>
      <c r="O888" s="357">
        <v>0</v>
      </c>
      <c r="P888" s="358">
        <v>0</v>
      </c>
      <c r="Q888" s="252">
        <v>0</v>
      </c>
      <c r="R888" s="251">
        <f>R910</f>
        <v>556957</v>
      </c>
      <c r="S888" s="251">
        <v>0</v>
      </c>
      <c r="T888" s="251">
        <v>0</v>
      </c>
      <c r="U888" s="251">
        <v>0</v>
      </c>
      <c r="V888" s="251">
        <v>0</v>
      </c>
    </row>
    <row r="889" spans="1:22" s="337" customFormat="1" ht="24" customHeight="1">
      <c r="A889" s="421"/>
      <c r="B889" s="422"/>
      <c r="C889" s="422"/>
      <c r="D889" s="421"/>
      <c r="E889" s="422"/>
      <c r="F889" s="422"/>
      <c r="G889" s="422"/>
      <c r="H889" s="422"/>
      <c r="I889" s="422"/>
      <c r="J889" s="422"/>
      <c r="K889" s="422"/>
      <c r="L889" s="455"/>
      <c r="M889" s="461"/>
      <c r="N889" s="382">
        <f t="shared" ref="N889:V889" si="87">SUM(N852:N888)</f>
        <v>660136</v>
      </c>
      <c r="O889" s="382">
        <f t="shared" si="87"/>
        <v>602009</v>
      </c>
      <c r="P889" s="404">
        <f t="shared" si="87"/>
        <v>724961</v>
      </c>
      <c r="Q889" s="404">
        <f t="shared" si="87"/>
        <v>634352</v>
      </c>
      <c r="R889" s="382">
        <f t="shared" si="87"/>
        <v>1385883</v>
      </c>
      <c r="S889" s="382">
        <f t="shared" si="87"/>
        <v>833968</v>
      </c>
      <c r="T889" s="382">
        <f t="shared" si="87"/>
        <v>819120</v>
      </c>
      <c r="U889" s="382">
        <f t="shared" si="87"/>
        <v>831570</v>
      </c>
      <c r="V889" s="382">
        <f t="shared" si="87"/>
        <v>844703</v>
      </c>
    </row>
    <row r="890" spans="1:22" s="337" customFormat="1" ht="15" customHeight="1">
      <c r="A890" s="421"/>
      <c r="B890" s="422"/>
      <c r="C890" s="422"/>
      <c r="D890" s="421"/>
      <c r="E890" s="422"/>
      <c r="F890" s="422"/>
      <c r="G890" s="422"/>
      <c r="H890" s="422"/>
      <c r="I890" s="422"/>
      <c r="J890" s="422"/>
      <c r="K890" s="422"/>
      <c r="L890" s="455"/>
      <c r="M890" s="461"/>
      <c r="N890" s="382"/>
      <c r="O890" s="382"/>
      <c r="P890" s="404"/>
      <c r="Q890" s="404"/>
      <c r="R890" s="382"/>
      <c r="S890" s="382"/>
      <c r="T890" s="382"/>
      <c r="U890" s="382"/>
      <c r="V890" s="382"/>
    </row>
    <row r="891" spans="1:22" s="337" customFormat="1" ht="24" customHeight="1">
      <c r="K891" s="425" t="s">
        <v>761</v>
      </c>
      <c r="L891" s="449"/>
      <c r="M891" s="449">
        <f t="shared" ref="M891:V891" si="88">M849+M889</f>
        <v>0</v>
      </c>
      <c r="N891" s="383">
        <f t="shared" si="88"/>
        <v>1160854</v>
      </c>
      <c r="O891" s="383">
        <f t="shared" si="88"/>
        <v>1151098</v>
      </c>
      <c r="P891" s="362">
        <f t="shared" si="88"/>
        <v>1506767</v>
      </c>
      <c r="Q891" s="362">
        <f t="shared" si="88"/>
        <v>1406158</v>
      </c>
      <c r="R891" s="361">
        <f t="shared" si="88"/>
        <v>2199048</v>
      </c>
      <c r="S891" s="361">
        <f t="shared" si="88"/>
        <v>1662357</v>
      </c>
      <c r="T891" s="361">
        <f t="shared" si="88"/>
        <v>1664210</v>
      </c>
      <c r="U891" s="361">
        <f t="shared" si="88"/>
        <v>1688342</v>
      </c>
      <c r="V891" s="361">
        <f t="shared" si="88"/>
        <v>1713876</v>
      </c>
    </row>
    <row r="892" spans="1:22" s="337" customFormat="1" ht="15" customHeight="1">
      <c r="L892" s="451"/>
      <c r="M892" s="449"/>
      <c r="N892" s="383"/>
      <c r="O892" s="383"/>
      <c r="P892" s="384"/>
      <c r="Q892" s="384"/>
      <c r="R892" s="383"/>
      <c r="S892" s="383"/>
      <c r="T892" s="383"/>
      <c r="U892" s="383"/>
      <c r="V892" s="383"/>
    </row>
    <row r="893" spans="1:22" s="337" customFormat="1" ht="24" customHeight="1">
      <c r="K893" s="425" t="s">
        <v>762</v>
      </c>
      <c r="L893" s="449"/>
      <c r="M893" s="449"/>
      <c r="N893" s="383">
        <f t="shared" ref="N893:V893" si="89">N823-N891</f>
        <v>206408</v>
      </c>
      <c r="O893" s="383">
        <f t="shared" si="89"/>
        <v>48510</v>
      </c>
      <c r="P893" s="384">
        <f t="shared" si="89"/>
        <v>-55320</v>
      </c>
      <c r="Q893" s="384">
        <f t="shared" si="89"/>
        <v>12978</v>
      </c>
      <c r="R893" s="383">
        <f t="shared" si="89"/>
        <v>29656</v>
      </c>
      <c r="S893" s="383">
        <f t="shared" si="89"/>
        <v>-89046</v>
      </c>
      <c r="T893" s="383">
        <f t="shared" si="89"/>
        <v>-8302</v>
      </c>
      <c r="U893" s="383">
        <f t="shared" si="89"/>
        <v>-8073</v>
      </c>
      <c r="V893" s="383">
        <f t="shared" si="89"/>
        <v>-11532</v>
      </c>
    </row>
    <row r="894" spans="1:22" s="337" customFormat="1" ht="15" customHeight="1">
      <c r="L894" s="451"/>
      <c r="M894" s="449"/>
      <c r="N894" s="383"/>
      <c r="O894" s="383"/>
      <c r="P894" s="384"/>
      <c r="Q894" s="384"/>
      <c r="R894" s="383"/>
      <c r="S894" s="383"/>
      <c r="T894" s="383"/>
      <c r="U894" s="383"/>
      <c r="V894" s="383"/>
    </row>
    <row r="895" spans="1:22" s="337" customFormat="1" ht="24" customHeight="1">
      <c r="K895" s="430" t="s">
        <v>764</v>
      </c>
      <c r="L895" s="449"/>
      <c r="M895" s="449"/>
      <c r="N895" s="383">
        <v>231558</v>
      </c>
      <c r="O895" s="383">
        <v>280065</v>
      </c>
      <c r="P895" s="384">
        <v>185635</v>
      </c>
      <c r="Q895" s="384">
        <f>O895+Q893</f>
        <v>293043</v>
      </c>
      <c r="R895" s="383">
        <f>Q895+R893</f>
        <v>322699</v>
      </c>
      <c r="S895" s="383">
        <f>R895+S893</f>
        <v>233653</v>
      </c>
      <c r="T895" s="383">
        <f>S895+T893</f>
        <v>225351</v>
      </c>
      <c r="U895" s="383">
        <f>T895+U893</f>
        <v>217278</v>
      </c>
      <c r="V895" s="383">
        <f>U895+V893</f>
        <v>205746</v>
      </c>
    </row>
    <row r="896" spans="1:22" s="434" customFormat="1" ht="24" customHeight="1">
      <c r="K896" s="431"/>
      <c r="L896" s="466"/>
      <c r="M896" s="467"/>
      <c r="N896" s="385">
        <f t="shared" ref="N896:V896" si="90">N895/N891</f>
        <v>0.19947211277214877</v>
      </c>
      <c r="O896" s="385">
        <f t="shared" si="90"/>
        <v>0.24330248163058227</v>
      </c>
      <c r="P896" s="386">
        <f t="shared" si="90"/>
        <v>0.1232008664909704</v>
      </c>
      <c r="Q896" s="386">
        <f t="shared" si="90"/>
        <v>0.2083997673092213</v>
      </c>
      <c r="R896" s="385">
        <f t="shared" si="90"/>
        <v>0.14674486414121019</v>
      </c>
      <c r="S896" s="385">
        <f t="shared" si="90"/>
        <v>0.14055524775965691</v>
      </c>
      <c r="T896" s="385">
        <f t="shared" si="90"/>
        <v>0.13541019462688003</v>
      </c>
      <c r="U896" s="385">
        <f t="shared" si="90"/>
        <v>0.12869312023274906</v>
      </c>
      <c r="V896" s="385">
        <f t="shared" si="90"/>
        <v>0.12004719127871562</v>
      </c>
    </row>
    <row r="897" spans="1:22" ht="15" customHeight="1">
      <c r="A897" s="337"/>
      <c r="B897" s="337"/>
      <c r="C897" s="337"/>
      <c r="D897" s="337"/>
      <c r="E897" s="337"/>
      <c r="F897" s="337"/>
      <c r="G897" s="337"/>
      <c r="H897" s="337"/>
      <c r="I897" s="337"/>
      <c r="J897" s="337"/>
      <c r="K897" s="430"/>
      <c r="L897" s="257"/>
      <c r="M897" s="294"/>
      <c r="N897" s="401"/>
      <c r="O897" s="401"/>
      <c r="P897" s="400"/>
      <c r="Q897" s="312"/>
      <c r="R897" s="313"/>
      <c r="S897" s="313"/>
      <c r="T897" s="313"/>
      <c r="U897" s="313"/>
      <c r="V897" s="313"/>
    </row>
    <row r="898" spans="1:22" ht="24" customHeight="1">
      <c r="A898" s="432" t="s">
        <v>777</v>
      </c>
      <c r="B898" s="337"/>
      <c r="C898" s="337"/>
      <c r="D898" s="337"/>
      <c r="E898" s="337"/>
      <c r="F898" s="337"/>
      <c r="G898" s="337"/>
      <c r="H898" s="337"/>
      <c r="I898" s="337"/>
      <c r="J898" s="337"/>
      <c r="K898" s="337"/>
      <c r="L898" s="229"/>
      <c r="M898" s="257"/>
      <c r="N898" s="383"/>
      <c r="O898" s="383"/>
      <c r="P898" s="384"/>
      <c r="Q898" s="293"/>
      <c r="R898" s="292"/>
      <c r="S898" s="292"/>
      <c r="T898" s="292"/>
      <c r="U898" s="292"/>
      <c r="V898" s="292"/>
    </row>
    <row r="899" spans="1:22" ht="15" customHeight="1">
      <c r="A899" s="337"/>
      <c r="B899" s="337"/>
      <c r="C899" s="337"/>
      <c r="D899" s="337"/>
      <c r="E899" s="337"/>
      <c r="F899" s="337"/>
      <c r="G899" s="337"/>
      <c r="H899" s="337"/>
      <c r="I899" s="337"/>
      <c r="J899" s="337"/>
      <c r="K899" s="337"/>
      <c r="L899" s="229"/>
      <c r="M899" s="257"/>
      <c r="N899" s="383"/>
      <c r="O899" s="383"/>
      <c r="P899" s="384"/>
      <c r="Q899" s="293"/>
      <c r="R899" s="292"/>
      <c r="S899" s="292"/>
      <c r="T899" s="292"/>
      <c r="U899" s="292"/>
      <c r="V899" s="292"/>
    </row>
    <row r="900" spans="1:22" ht="24" customHeight="1">
      <c r="A900" s="421" t="s">
        <v>1486</v>
      </c>
      <c r="B900" s="422"/>
      <c r="C900" s="422"/>
      <c r="D900" s="421" t="s">
        <v>580</v>
      </c>
      <c r="E900" s="422"/>
      <c r="F900" s="422"/>
      <c r="G900" s="422"/>
      <c r="H900" s="422"/>
      <c r="I900" s="422"/>
      <c r="J900" s="422"/>
      <c r="K900" s="422"/>
      <c r="L900" s="237"/>
      <c r="M900" s="234"/>
      <c r="N900" s="348">
        <v>130565</v>
      </c>
      <c r="O900" s="348">
        <v>97070</v>
      </c>
      <c r="P900" s="349">
        <v>100000</v>
      </c>
      <c r="Q900" s="236">
        <v>60000</v>
      </c>
      <c r="R900" s="235">
        <v>0</v>
      </c>
      <c r="S900" s="235">
        <v>0</v>
      </c>
      <c r="T900" s="235">
        <v>0</v>
      </c>
      <c r="U900" s="235">
        <v>0</v>
      </c>
      <c r="V900" s="235">
        <v>0</v>
      </c>
    </row>
    <row r="901" spans="1:22" ht="24" customHeight="1">
      <c r="A901" s="421" t="s">
        <v>614</v>
      </c>
      <c r="B901" s="337"/>
      <c r="C901" s="337"/>
      <c r="D901" s="421" t="s">
        <v>582</v>
      </c>
      <c r="E901" s="337"/>
      <c r="F901" s="337"/>
      <c r="G901" s="337"/>
      <c r="H901" s="337"/>
      <c r="I901" s="337"/>
      <c r="J901" s="337"/>
      <c r="K901" s="337"/>
      <c r="L901" s="229"/>
      <c r="M901" s="234"/>
      <c r="N901" s="348">
        <v>14692</v>
      </c>
      <c r="O901" s="348">
        <v>10661</v>
      </c>
      <c r="P901" s="349">
        <v>12500</v>
      </c>
      <c r="Q901" s="236">
        <v>6500</v>
      </c>
      <c r="R901" s="235">
        <v>500</v>
      </c>
      <c r="S901" s="235">
        <v>0</v>
      </c>
      <c r="T901" s="235">
        <v>0</v>
      </c>
      <c r="U901" s="235">
        <v>0</v>
      </c>
      <c r="V901" s="235">
        <v>0</v>
      </c>
    </row>
    <row r="902" spans="1:22" ht="24" customHeight="1">
      <c r="A902" s="421" t="s">
        <v>615</v>
      </c>
      <c r="B902" s="422"/>
      <c r="C902" s="422"/>
      <c r="D902" s="421" t="s">
        <v>616</v>
      </c>
      <c r="E902" s="422"/>
      <c r="F902" s="422"/>
      <c r="G902" s="422"/>
      <c r="H902" s="422"/>
      <c r="I902" s="422"/>
      <c r="J902" s="422"/>
      <c r="K902" s="422"/>
      <c r="L902" s="237"/>
      <c r="M902" s="234"/>
      <c r="N902" s="348">
        <v>418685</v>
      </c>
      <c r="O902" s="348">
        <v>465488</v>
      </c>
      <c r="P902" s="349">
        <v>450000</v>
      </c>
      <c r="Q902" s="236">
        <v>400000</v>
      </c>
      <c r="R902" s="235">
        <v>60000</v>
      </c>
      <c r="S902" s="235">
        <v>0</v>
      </c>
      <c r="T902" s="235">
        <v>0</v>
      </c>
      <c r="U902" s="235">
        <v>0</v>
      </c>
      <c r="V902" s="235">
        <v>0</v>
      </c>
    </row>
    <row r="903" spans="1:22" ht="24" customHeight="1">
      <c r="A903" s="421" t="s">
        <v>617</v>
      </c>
      <c r="B903" s="337"/>
      <c r="C903" s="337"/>
      <c r="D903" s="421" t="s">
        <v>618</v>
      </c>
      <c r="E903" s="337"/>
      <c r="F903" s="337"/>
      <c r="G903" s="337"/>
      <c r="H903" s="337"/>
      <c r="I903" s="337"/>
      <c r="J903" s="337"/>
      <c r="K903" s="337"/>
      <c r="L903" s="229"/>
      <c r="M903" s="234"/>
      <c r="N903" s="348">
        <v>7072</v>
      </c>
      <c r="O903" s="348">
        <v>8939</v>
      </c>
      <c r="P903" s="349">
        <v>7000</v>
      </c>
      <c r="Q903" s="236">
        <v>6500</v>
      </c>
      <c r="R903" s="235">
        <v>500</v>
      </c>
      <c r="S903" s="235">
        <v>0</v>
      </c>
      <c r="T903" s="235">
        <v>0</v>
      </c>
      <c r="U903" s="235">
        <v>0</v>
      </c>
      <c r="V903" s="235">
        <v>0</v>
      </c>
    </row>
    <row r="904" spans="1:22" ht="24" customHeight="1">
      <c r="A904" s="421" t="s">
        <v>619</v>
      </c>
      <c r="B904" s="337"/>
      <c r="C904" s="337"/>
      <c r="D904" s="421" t="s">
        <v>620</v>
      </c>
      <c r="E904" s="337"/>
      <c r="F904" s="337"/>
      <c r="G904" s="337"/>
      <c r="H904" s="337"/>
      <c r="I904" s="337"/>
      <c r="J904" s="337"/>
      <c r="K904" s="337"/>
      <c r="L904" s="229"/>
      <c r="M904" s="238"/>
      <c r="N904" s="350">
        <v>27013</v>
      </c>
      <c r="O904" s="350">
        <v>30932</v>
      </c>
      <c r="P904" s="353">
        <v>25000</v>
      </c>
      <c r="Q904" s="243">
        <v>20000</v>
      </c>
      <c r="R904" s="239">
        <v>0</v>
      </c>
      <c r="S904" s="239">
        <v>0</v>
      </c>
      <c r="T904" s="239">
        <v>0</v>
      </c>
      <c r="U904" s="239">
        <v>0</v>
      </c>
      <c r="V904" s="239">
        <v>0</v>
      </c>
    </row>
    <row r="905" spans="1:22" ht="24" customHeight="1">
      <c r="A905" s="421" t="s">
        <v>621</v>
      </c>
      <c r="B905" s="337"/>
      <c r="C905" s="337"/>
      <c r="D905" s="421" t="s">
        <v>622</v>
      </c>
      <c r="E905" s="337"/>
      <c r="F905" s="337"/>
      <c r="G905" s="337"/>
      <c r="H905" s="337"/>
      <c r="I905" s="337"/>
      <c r="J905" s="337"/>
      <c r="K905" s="337"/>
      <c r="L905" s="229"/>
      <c r="M905" s="238"/>
      <c r="N905" s="350">
        <v>8055</v>
      </c>
      <c r="O905" s="350">
        <v>4910</v>
      </c>
      <c r="P905" s="353">
        <v>10000</v>
      </c>
      <c r="Q905" s="243">
        <v>5000</v>
      </c>
      <c r="R905" s="239">
        <v>0</v>
      </c>
      <c r="S905" s="239">
        <v>0</v>
      </c>
      <c r="T905" s="239">
        <v>0</v>
      </c>
      <c r="U905" s="239">
        <v>0</v>
      </c>
      <c r="V905" s="239">
        <v>0</v>
      </c>
    </row>
    <row r="906" spans="1:22" ht="24" customHeight="1">
      <c r="A906" s="421" t="s">
        <v>623</v>
      </c>
      <c r="B906" s="337"/>
      <c r="C906" s="337"/>
      <c r="D906" s="421" t="s">
        <v>624</v>
      </c>
      <c r="E906" s="337"/>
      <c r="F906" s="337"/>
      <c r="G906" s="337"/>
      <c r="H906" s="337"/>
      <c r="I906" s="337"/>
      <c r="J906" s="337"/>
      <c r="K906" s="337"/>
      <c r="L906" s="229"/>
      <c r="M906" s="238"/>
      <c r="N906" s="350">
        <v>2072</v>
      </c>
      <c r="O906" s="350">
        <v>2489</v>
      </c>
      <c r="P906" s="353">
        <v>2500</v>
      </c>
      <c r="Q906" s="243">
        <v>750</v>
      </c>
      <c r="R906" s="239">
        <v>0</v>
      </c>
      <c r="S906" s="239">
        <v>0</v>
      </c>
      <c r="T906" s="239">
        <v>0</v>
      </c>
      <c r="U906" s="239">
        <v>0</v>
      </c>
      <c r="V906" s="239">
        <v>0</v>
      </c>
    </row>
    <row r="907" spans="1:22" ht="24" customHeight="1">
      <c r="A907" s="421" t="s">
        <v>625</v>
      </c>
      <c r="B907" s="337"/>
      <c r="C907" s="337"/>
      <c r="D907" s="421" t="s">
        <v>293</v>
      </c>
      <c r="E907" s="337"/>
      <c r="F907" s="337"/>
      <c r="G907" s="337"/>
      <c r="H907" s="337"/>
      <c r="I907" s="337"/>
      <c r="J907" s="337"/>
      <c r="K907" s="337"/>
      <c r="L907" s="229"/>
      <c r="M907" s="244"/>
      <c r="N907" s="354">
        <v>7103</v>
      </c>
      <c r="O907" s="354">
        <v>13017</v>
      </c>
      <c r="P907" s="355">
        <v>13000</v>
      </c>
      <c r="Q907" s="246">
        <v>13000</v>
      </c>
      <c r="R907" s="245">
        <v>0</v>
      </c>
      <c r="S907" s="245">
        <v>0</v>
      </c>
      <c r="T907" s="245">
        <v>0</v>
      </c>
      <c r="U907" s="245">
        <v>0</v>
      </c>
      <c r="V907" s="245">
        <v>0</v>
      </c>
    </row>
    <row r="908" spans="1:22" ht="24" customHeight="1">
      <c r="A908" s="421" t="s">
        <v>626</v>
      </c>
      <c r="B908" s="337"/>
      <c r="C908" s="337"/>
      <c r="D908" s="421" t="s">
        <v>1496</v>
      </c>
      <c r="E908" s="337"/>
      <c r="F908" s="337"/>
      <c r="G908" s="337"/>
      <c r="H908" s="337"/>
      <c r="I908" s="337"/>
      <c r="J908" s="337"/>
      <c r="K908" s="337"/>
      <c r="L908" s="229"/>
      <c r="M908" s="244"/>
      <c r="N908" s="354">
        <v>3170</v>
      </c>
      <c r="O908" s="354">
        <v>760</v>
      </c>
      <c r="P908" s="355">
        <v>2000</v>
      </c>
      <c r="Q908" s="246">
        <v>1356</v>
      </c>
      <c r="R908" s="245">
        <v>0</v>
      </c>
      <c r="S908" s="245">
        <v>0</v>
      </c>
      <c r="T908" s="245">
        <v>0</v>
      </c>
      <c r="U908" s="245">
        <v>0</v>
      </c>
      <c r="V908" s="245">
        <v>0</v>
      </c>
    </row>
    <row r="909" spans="1:22" ht="24" customHeight="1">
      <c r="A909" s="421" t="s">
        <v>627</v>
      </c>
      <c r="B909" s="337"/>
      <c r="C909" s="337"/>
      <c r="D909" s="421" t="s">
        <v>7</v>
      </c>
      <c r="E909" s="337"/>
      <c r="F909" s="337"/>
      <c r="G909" s="337"/>
      <c r="H909" s="337"/>
      <c r="I909" s="337"/>
      <c r="J909" s="337"/>
      <c r="K909" s="337"/>
      <c r="L909" s="229"/>
      <c r="M909" s="317"/>
      <c r="N909" s="348">
        <v>1591</v>
      </c>
      <c r="O909" s="348">
        <v>297</v>
      </c>
      <c r="P909" s="349">
        <v>500</v>
      </c>
      <c r="Q909" s="236">
        <v>100</v>
      </c>
      <c r="R909" s="235">
        <v>0</v>
      </c>
      <c r="S909" s="235">
        <v>0</v>
      </c>
      <c r="T909" s="235">
        <v>0</v>
      </c>
      <c r="U909" s="235">
        <v>0</v>
      </c>
      <c r="V909" s="235">
        <v>0</v>
      </c>
    </row>
    <row r="910" spans="1:22" ht="24" customHeight="1">
      <c r="A910" s="421" t="s">
        <v>1383</v>
      </c>
      <c r="B910" s="337"/>
      <c r="C910" s="337"/>
      <c r="D910" s="421" t="s">
        <v>1384</v>
      </c>
      <c r="E910" s="337"/>
      <c r="F910" s="337"/>
      <c r="G910" s="337"/>
      <c r="H910" s="337"/>
      <c r="I910" s="337"/>
      <c r="J910" s="337"/>
      <c r="K910" s="337"/>
      <c r="L910" s="229"/>
      <c r="M910" s="262"/>
      <c r="N910" s="357">
        <v>0</v>
      </c>
      <c r="O910" s="357">
        <v>0</v>
      </c>
      <c r="P910" s="358">
        <v>0</v>
      </c>
      <c r="Q910" s="252">
        <v>0</v>
      </c>
      <c r="R910" s="251">
        <f>598588+10000-1000-799+40000-6500-1430-6033-75869</f>
        <v>556957</v>
      </c>
      <c r="S910" s="251">
        <v>0</v>
      </c>
      <c r="T910" s="251">
        <v>0</v>
      </c>
      <c r="U910" s="251">
        <v>0</v>
      </c>
      <c r="V910" s="251">
        <v>0</v>
      </c>
    </row>
    <row r="911" spans="1:22" ht="15" customHeight="1">
      <c r="A911" s="337"/>
      <c r="B911" s="337"/>
      <c r="C911" s="337"/>
      <c r="D911" s="337"/>
      <c r="E911" s="337"/>
      <c r="F911" s="337"/>
      <c r="G911" s="337"/>
      <c r="H911" s="337"/>
      <c r="I911" s="337"/>
      <c r="J911" s="337"/>
      <c r="K911" s="337"/>
      <c r="L911" s="229"/>
      <c r="N911" s="359"/>
      <c r="O911" s="359"/>
      <c r="P911" s="360"/>
      <c r="Q911" s="255"/>
      <c r="R911" s="254"/>
      <c r="S911" s="254"/>
      <c r="T911" s="254"/>
      <c r="U911" s="254"/>
      <c r="V911" s="254"/>
    </row>
    <row r="912" spans="1:22" s="337" customFormat="1" ht="24" customHeight="1">
      <c r="K912" s="425" t="s">
        <v>758</v>
      </c>
      <c r="L912" s="449"/>
      <c r="M912" s="450"/>
      <c r="N912" s="361">
        <f>SUM(N900:N911)</f>
        <v>620018</v>
      </c>
      <c r="O912" s="361">
        <f t="shared" ref="O912:U912" si="91">SUM(O900:O911)</f>
        <v>634563</v>
      </c>
      <c r="P912" s="362">
        <f t="shared" si="91"/>
        <v>622500</v>
      </c>
      <c r="Q912" s="362">
        <f>SUM(Q900:Q911)</f>
        <v>513206</v>
      </c>
      <c r="R912" s="361">
        <f t="shared" si="91"/>
        <v>617957</v>
      </c>
      <c r="S912" s="361">
        <f>SUM(S900:S911)</f>
        <v>0</v>
      </c>
      <c r="T912" s="361">
        <f t="shared" si="91"/>
        <v>0</v>
      </c>
      <c r="U912" s="361">
        <f t="shared" si="91"/>
        <v>0</v>
      </c>
      <c r="V912" s="361">
        <f>SUM(V900:V911)</f>
        <v>0</v>
      </c>
    </row>
    <row r="913" spans="1:22" ht="15" customHeight="1">
      <c r="A913" s="337"/>
      <c r="B913" s="337"/>
      <c r="C913" s="337"/>
      <c r="D913" s="337"/>
      <c r="E913" s="337"/>
      <c r="F913" s="337"/>
      <c r="G913" s="337"/>
      <c r="H913" s="337"/>
      <c r="I913" s="337"/>
      <c r="J913" s="337"/>
      <c r="K913" s="337"/>
      <c r="L913" s="229"/>
      <c r="N913" s="359"/>
      <c r="O913" s="359"/>
      <c r="P913" s="360"/>
      <c r="Q913" s="255"/>
      <c r="R913" s="254"/>
      <c r="S913" s="254"/>
      <c r="T913" s="254"/>
      <c r="U913" s="254"/>
      <c r="V913" s="254"/>
    </row>
    <row r="914" spans="1:22" ht="24" customHeight="1">
      <c r="A914" s="421" t="s">
        <v>628</v>
      </c>
      <c r="B914" s="422"/>
      <c r="C914" s="422"/>
      <c r="D914" s="421" t="s">
        <v>1238</v>
      </c>
      <c r="E914" s="422"/>
      <c r="F914" s="422"/>
      <c r="G914" s="422"/>
      <c r="H914" s="422"/>
      <c r="I914" s="422"/>
      <c r="J914" s="422"/>
      <c r="K914" s="422"/>
      <c r="L914" s="237"/>
      <c r="M914" s="247"/>
      <c r="N914" s="346">
        <v>33542</v>
      </c>
      <c r="O914" s="348">
        <v>29087</v>
      </c>
      <c r="P914" s="349">
        <v>28000</v>
      </c>
      <c r="Q914" s="236">
        <v>26250</v>
      </c>
      <c r="R914" s="235">
        <v>0</v>
      </c>
      <c r="S914" s="235">
        <v>0</v>
      </c>
      <c r="T914" s="235">
        <v>0</v>
      </c>
      <c r="U914" s="235">
        <v>0</v>
      </c>
      <c r="V914" s="235">
        <v>0</v>
      </c>
    </row>
    <row r="915" spans="1:22" ht="24" customHeight="1">
      <c r="A915" s="421" t="s">
        <v>629</v>
      </c>
      <c r="B915" s="337"/>
      <c r="C915" s="337"/>
      <c r="D915" s="421" t="s">
        <v>83</v>
      </c>
      <c r="E915" s="337"/>
      <c r="F915" s="337"/>
      <c r="G915" s="337"/>
      <c r="H915" s="337"/>
      <c r="I915" s="337"/>
      <c r="J915" s="337"/>
      <c r="K915" s="337"/>
      <c r="L915" s="229"/>
      <c r="M915" s="247"/>
      <c r="N915" s="346">
        <v>96666</v>
      </c>
      <c r="O915" s="346">
        <v>88234</v>
      </c>
      <c r="P915" s="347">
        <v>100000</v>
      </c>
      <c r="Q915" s="232">
        <v>78000</v>
      </c>
      <c r="R915" s="231">
        <v>20000</v>
      </c>
      <c r="S915" s="231">
        <v>0</v>
      </c>
      <c r="T915" s="231">
        <v>0</v>
      </c>
      <c r="U915" s="231">
        <v>0</v>
      </c>
      <c r="V915" s="231">
        <v>0</v>
      </c>
    </row>
    <row r="916" spans="1:22" ht="24" customHeight="1">
      <c r="A916" s="421" t="s">
        <v>630</v>
      </c>
      <c r="B916" s="422"/>
      <c r="C916" s="422"/>
      <c r="D916" s="421" t="s">
        <v>607</v>
      </c>
      <c r="E916" s="422"/>
      <c r="F916" s="422"/>
      <c r="G916" s="422"/>
      <c r="H916" s="422"/>
      <c r="I916" s="422"/>
      <c r="J916" s="422"/>
      <c r="K916" s="422"/>
      <c r="L916" s="237"/>
      <c r="M916" s="247"/>
      <c r="N916" s="346">
        <v>38362</v>
      </c>
      <c r="O916" s="346">
        <v>30255</v>
      </c>
      <c r="P916" s="347">
        <v>35000</v>
      </c>
      <c r="Q916" s="232">
        <v>15000</v>
      </c>
      <c r="R916" s="231">
        <v>0</v>
      </c>
      <c r="S916" s="231">
        <v>0</v>
      </c>
      <c r="T916" s="231">
        <v>0</v>
      </c>
      <c r="U916" s="231">
        <v>0</v>
      </c>
      <c r="V916" s="231">
        <v>0</v>
      </c>
    </row>
    <row r="917" spans="1:22" ht="24" customHeight="1">
      <c r="A917" s="421" t="s">
        <v>631</v>
      </c>
      <c r="B917" s="422"/>
      <c r="C917" s="422"/>
      <c r="D917" s="421" t="s">
        <v>608</v>
      </c>
      <c r="E917" s="422"/>
      <c r="F917" s="422"/>
      <c r="G917" s="422"/>
      <c r="H917" s="422"/>
      <c r="I917" s="422"/>
      <c r="J917" s="422"/>
      <c r="K917" s="422"/>
      <c r="L917" s="237"/>
      <c r="M917" s="247"/>
      <c r="N917" s="346">
        <v>56418</v>
      </c>
      <c r="O917" s="346">
        <v>54181</v>
      </c>
      <c r="P917" s="347">
        <v>60000</v>
      </c>
      <c r="Q917" s="232">
        <v>55000</v>
      </c>
      <c r="R917" s="231">
        <v>0</v>
      </c>
      <c r="S917" s="231">
        <v>0</v>
      </c>
      <c r="T917" s="231">
        <v>0</v>
      </c>
      <c r="U917" s="231">
        <v>0</v>
      </c>
      <c r="V917" s="231">
        <v>0</v>
      </c>
    </row>
    <row r="918" spans="1:22" ht="24" customHeight="1">
      <c r="A918" s="421" t="s">
        <v>632</v>
      </c>
      <c r="B918" s="422"/>
      <c r="C918" s="422"/>
      <c r="D918" s="421" t="s">
        <v>8</v>
      </c>
      <c r="E918" s="422"/>
      <c r="F918" s="422"/>
      <c r="G918" s="422"/>
      <c r="H918" s="422"/>
      <c r="I918" s="422"/>
      <c r="J918" s="422"/>
      <c r="K918" s="422"/>
      <c r="L918" s="237"/>
      <c r="M918" s="263"/>
      <c r="N918" s="348">
        <v>11529</v>
      </c>
      <c r="O918" s="348">
        <v>10213</v>
      </c>
      <c r="P918" s="349">
        <v>10181</v>
      </c>
      <c r="Q918" s="236">
        <v>10181</v>
      </c>
      <c r="R918" s="235">
        <v>0</v>
      </c>
      <c r="S918" s="235">
        <v>0</v>
      </c>
      <c r="T918" s="235">
        <v>0</v>
      </c>
      <c r="U918" s="235">
        <v>0</v>
      </c>
      <c r="V918" s="235">
        <v>0</v>
      </c>
    </row>
    <row r="919" spans="1:22" ht="24" customHeight="1">
      <c r="A919" s="421" t="s">
        <v>633</v>
      </c>
      <c r="B919" s="337"/>
      <c r="C919" s="337"/>
      <c r="D919" s="421" t="s">
        <v>9</v>
      </c>
      <c r="E919" s="337"/>
      <c r="F919" s="337"/>
      <c r="G919" s="337"/>
      <c r="H919" s="337"/>
      <c r="I919" s="337"/>
      <c r="J919" s="337"/>
      <c r="K919" s="337"/>
      <c r="L919" s="229"/>
      <c r="M919" s="247"/>
      <c r="N919" s="346">
        <v>17074</v>
      </c>
      <c r="O919" s="348">
        <v>15493</v>
      </c>
      <c r="P919" s="349">
        <v>17708</v>
      </c>
      <c r="Q919" s="236">
        <v>17708</v>
      </c>
      <c r="R919" s="235">
        <v>0</v>
      </c>
      <c r="S919" s="235">
        <v>0</v>
      </c>
      <c r="T919" s="235">
        <v>0</v>
      </c>
      <c r="U919" s="235">
        <v>0</v>
      </c>
      <c r="V919" s="235">
        <v>0</v>
      </c>
    </row>
    <row r="920" spans="1:22" ht="24" customHeight="1">
      <c r="A920" s="421" t="s">
        <v>816</v>
      </c>
      <c r="B920" s="337"/>
      <c r="C920" s="337"/>
      <c r="D920" s="421" t="s">
        <v>14</v>
      </c>
      <c r="E920" s="337"/>
      <c r="F920" s="337"/>
      <c r="G920" s="337"/>
      <c r="H920" s="337"/>
      <c r="I920" s="337"/>
      <c r="J920" s="337"/>
      <c r="K920" s="337"/>
      <c r="L920" s="229"/>
      <c r="M920" s="247"/>
      <c r="N920" s="346">
        <v>0</v>
      </c>
      <c r="O920" s="350">
        <v>0</v>
      </c>
      <c r="P920" s="353">
        <v>1200</v>
      </c>
      <c r="Q920" s="243">
        <v>1200</v>
      </c>
      <c r="R920" s="239">
        <v>0</v>
      </c>
      <c r="S920" s="239">
        <v>0</v>
      </c>
      <c r="T920" s="239">
        <v>0</v>
      </c>
      <c r="U920" s="239">
        <v>0</v>
      </c>
      <c r="V920" s="239">
        <v>0</v>
      </c>
    </row>
    <row r="921" spans="1:22" ht="24" customHeight="1">
      <c r="A921" s="421" t="s">
        <v>817</v>
      </c>
      <c r="B921" s="337"/>
      <c r="C921" s="337"/>
      <c r="D921" s="421" t="s">
        <v>229</v>
      </c>
      <c r="E921" s="337"/>
      <c r="F921" s="337"/>
      <c r="G921" s="337"/>
      <c r="H921" s="337"/>
      <c r="I921" s="337"/>
      <c r="J921" s="337"/>
      <c r="K921" s="337"/>
      <c r="L921" s="229"/>
      <c r="M921" s="247"/>
      <c r="N921" s="346">
        <v>0</v>
      </c>
      <c r="O921" s="350">
        <v>0</v>
      </c>
      <c r="P921" s="353">
        <v>123</v>
      </c>
      <c r="Q921" s="243">
        <v>90</v>
      </c>
      <c r="R921" s="239">
        <v>0</v>
      </c>
      <c r="S921" s="239">
        <v>0</v>
      </c>
      <c r="T921" s="239">
        <v>0</v>
      </c>
      <c r="U921" s="239">
        <v>0</v>
      </c>
      <c r="V921" s="239">
        <v>0</v>
      </c>
    </row>
    <row r="922" spans="1:22" ht="24" customHeight="1">
      <c r="A922" s="421" t="s">
        <v>818</v>
      </c>
      <c r="B922" s="337"/>
      <c r="C922" s="337"/>
      <c r="D922" s="421" t="s">
        <v>819</v>
      </c>
      <c r="E922" s="337"/>
      <c r="F922" s="337"/>
      <c r="G922" s="337"/>
      <c r="H922" s="337"/>
      <c r="I922" s="337"/>
      <c r="J922" s="337"/>
      <c r="K922" s="337"/>
      <c r="L922" s="229"/>
      <c r="M922" s="247"/>
      <c r="N922" s="346">
        <v>0</v>
      </c>
      <c r="O922" s="350">
        <v>0</v>
      </c>
      <c r="P922" s="353">
        <v>0</v>
      </c>
      <c r="Q922" s="243">
        <v>0</v>
      </c>
      <c r="R922" s="239">
        <v>0</v>
      </c>
      <c r="S922" s="239">
        <v>0</v>
      </c>
      <c r="T922" s="239">
        <v>0</v>
      </c>
      <c r="U922" s="239">
        <v>0</v>
      </c>
      <c r="V922" s="239">
        <v>0</v>
      </c>
    </row>
    <row r="923" spans="1:22" ht="24" customHeight="1">
      <c r="A923" s="421" t="s">
        <v>830</v>
      </c>
      <c r="B923" s="337"/>
      <c r="C923" s="337"/>
      <c r="D923" s="421" t="s">
        <v>821</v>
      </c>
      <c r="E923" s="337"/>
      <c r="F923" s="337"/>
      <c r="G923" s="337"/>
      <c r="H923" s="337"/>
      <c r="I923" s="337"/>
      <c r="J923" s="337"/>
      <c r="K923" s="337"/>
      <c r="L923" s="229"/>
      <c r="M923" s="247"/>
      <c r="N923" s="346">
        <v>0</v>
      </c>
      <c r="O923" s="350">
        <v>0</v>
      </c>
      <c r="P923" s="353">
        <v>0</v>
      </c>
      <c r="Q923" s="243">
        <v>0</v>
      </c>
      <c r="R923" s="239">
        <v>0</v>
      </c>
      <c r="S923" s="239">
        <v>0</v>
      </c>
      <c r="T923" s="239">
        <v>0</v>
      </c>
      <c r="U923" s="239">
        <v>0</v>
      </c>
      <c r="V923" s="239">
        <v>0</v>
      </c>
    </row>
    <row r="924" spans="1:22" ht="24" customHeight="1">
      <c r="A924" s="421" t="s">
        <v>634</v>
      </c>
      <c r="B924" s="422"/>
      <c r="C924" s="422"/>
      <c r="D924" s="421" t="s">
        <v>108</v>
      </c>
      <c r="E924" s="422"/>
      <c r="F924" s="422"/>
      <c r="G924" s="422"/>
      <c r="H924" s="422"/>
      <c r="I924" s="422"/>
      <c r="J924" s="422"/>
      <c r="K924" s="422"/>
      <c r="L924" s="237"/>
      <c r="M924" s="247"/>
      <c r="N924" s="346">
        <v>0</v>
      </c>
      <c r="O924" s="350">
        <v>0</v>
      </c>
      <c r="P924" s="353">
        <v>0</v>
      </c>
      <c r="Q924" s="243">
        <v>0</v>
      </c>
      <c r="R924" s="239">
        <v>0</v>
      </c>
      <c r="S924" s="239">
        <v>0</v>
      </c>
      <c r="T924" s="239">
        <v>0</v>
      </c>
      <c r="U924" s="239">
        <v>0</v>
      </c>
      <c r="V924" s="239">
        <v>0</v>
      </c>
    </row>
    <row r="925" spans="1:22" ht="24" customHeight="1">
      <c r="A925" s="421" t="s">
        <v>635</v>
      </c>
      <c r="B925" s="422"/>
      <c r="C925" s="422"/>
      <c r="D925" s="421" t="s">
        <v>1487</v>
      </c>
      <c r="E925" s="422"/>
      <c r="F925" s="422"/>
      <c r="G925" s="422"/>
      <c r="H925" s="422"/>
      <c r="I925" s="422"/>
      <c r="J925" s="422"/>
      <c r="K925" s="422"/>
      <c r="L925" s="237"/>
      <c r="M925" s="247"/>
      <c r="N925" s="346">
        <v>0</v>
      </c>
      <c r="O925" s="348">
        <v>0</v>
      </c>
      <c r="P925" s="349">
        <v>200</v>
      </c>
      <c r="Q925" s="236">
        <v>0</v>
      </c>
      <c r="R925" s="235">
        <v>0</v>
      </c>
      <c r="S925" s="235">
        <v>0</v>
      </c>
      <c r="T925" s="235">
        <v>0</v>
      </c>
      <c r="U925" s="235">
        <v>0</v>
      </c>
      <c r="V925" s="235">
        <v>0</v>
      </c>
    </row>
    <row r="926" spans="1:22" ht="24" customHeight="1">
      <c r="A926" s="421" t="s">
        <v>636</v>
      </c>
      <c r="B926" s="422"/>
      <c r="C926" s="422"/>
      <c r="D926" s="421" t="s">
        <v>107</v>
      </c>
      <c r="E926" s="422"/>
      <c r="F926" s="422"/>
      <c r="G926" s="422"/>
      <c r="H926" s="422"/>
      <c r="I926" s="422"/>
      <c r="J926" s="422"/>
      <c r="K926" s="422"/>
      <c r="L926" s="237"/>
      <c r="M926" s="263"/>
      <c r="N926" s="348">
        <f>732</f>
        <v>732</v>
      </c>
      <c r="O926" s="348">
        <v>192</v>
      </c>
      <c r="P926" s="349">
        <v>1500</v>
      </c>
      <c r="Q926" s="236">
        <v>0</v>
      </c>
      <c r="R926" s="235">
        <f>Q926*0.2</f>
        <v>0</v>
      </c>
      <c r="S926" s="235">
        <v>0</v>
      </c>
      <c r="T926" s="235">
        <v>0</v>
      </c>
      <c r="U926" s="235">
        <v>0</v>
      </c>
      <c r="V926" s="235">
        <v>0</v>
      </c>
    </row>
    <row r="927" spans="1:22" ht="24" customHeight="1">
      <c r="A927" s="421" t="s">
        <v>637</v>
      </c>
      <c r="B927" s="337"/>
      <c r="C927" s="337"/>
      <c r="D927" s="421" t="s">
        <v>294</v>
      </c>
      <c r="E927" s="337"/>
      <c r="F927" s="337"/>
      <c r="G927" s="337"/>
      <c r="H927" s="337"/>
      <c r="I927" s="337"/>
      <c r="J927" s="337"/>
      <c r="K927" s="337"/>
      <c r="L927" s="229"/>
      <c r="M927" s="263"/>
      <c r="N927" s="348">
        <v>4379</v>
      </c>
      <c r="O927" s="348">
        <v>3198</v>
      </c>
      <c r="P927" s="349">
        <v>3600</v>
      </c>
      <c r="Q927" s="236">
        <f>3000+600</f>
        <v>3600</v>
      </c>
      <c r="R927" s="235">
        <v>720</v>
      </c>
      <c r="S927" s="235">
        <v>0</v>
      </c>
      <c r="T927" s="235">
        <v>0</v>
      </c>
      <c r="U927" s="235">
        <v>0</v>
      </c>
      <c r="V927" s="235">
        <v>0</v>
      </c>
    </row>
    <row r="928" spans="1:22" ht="24" customHeight="1">
      <c r="A928" s="421" t="s">
        <v>638</v>
      </c>
      <c r="B928" s="337"/>
      <c r="C928" s="337"/>
      <c r="D928" s="421" t="s">
        <v>609</v>
      </c>
      <c r="E928" s="337"/>
      <c r="F928" s="337"/>
      <c r="G928" s="337"/>
      <c r="H928" s="337"/>
      <c r="I928" s="337"/>
      <c r="J928" s="337"/>
      <c r="K928" s="337"/>
      <c r="L928" s="229"/>
      <c r="M928" s="263"/>
      <c r="N928" s="348">
        <v>389</v>
      </c>
      <c r="O928" s="348">
        <v>0</v>
      </c>
      <c r="P928" s="349">
        <v>0</v>
      </c>
      <c r="Q928" s="236">
        <v>0</v>
      </c>
      <c r="R928" s="235">
        <v>0</v>
      </c>
      <c r="S928" s="235">
        <v>0</v>
      </c>
      <c r="T928" s="235">
        <v>0</v>
      </c>
      <c r="U928" s="235">
        <v>0</v>
      </c>
      <c r="V928" s="235">
        <v>0</v>
      </c>
    </row>
    <row r="929" spans="1:24" ht="24" customHeight="1">
      <c r="A929" s="421" t="s">
        <v>639</v>
      </c>
      <c r="B929" s="422"/>
      <c r="C929" s="422"/>
      <c r="D929" s="421" t="s">
        <v>106</v>
      </c>
      <c r="E929" s="422"/>
      <c r="F929" s="422"/>
      <c r="G929" s="422"/>
      <c r="H929" s="422"/>
      <c r="I929" s="422"/>
      <c r="J929" s="422"/>
      <c r="K929" s="422"/>
      <c r="L929" s="237"/>
      <c r="M929" s="263"/>
      <c r="N929" s="348">
        <v>0</v>
      </c>
      <c r="O929" s="348">
        <v>0</v>
      </c>
      <c r="P929" s="349">
        <v>600</v>
      </c>
      <c r="Q929" s="236">
        <v>300</v>
      </c>
      <c r="R929" s="235">
        <v>60</v>
      </c>
      <c r="S929" s="235">
        <v>0</v>
      </c>
      <c r="T929" s="235">
        <v>0</v>
      </c>
      <c r="U929" s="235">
        <v>0</v>
      </c>
      <c r="V929" s="235">
        <v>0</v>
      </c>
    </row>
    <row r="930" spans="1:24" ht="24" customHeight="1">
      <c r="A930" s="421" t="s">
        <v>1475</v>
      </c>
      <c r="B930" s="337"/>
      <c r="C930" s="337"/>
      <c r="D930" s="421" t="s">
        <v>1489</v>
      </c>
      <c r="E930" s="337"/>
      <c r="F930" s="337"/>
      <c r="G930" s="337"/>
      <c r="H930" s="337"/>
      <c r="I930" s="337"/>
      <c r="J930" s="337"/>
      <c r="K930" s="337"/>
      <c r="L930" s="229"/>
      <c r="M930" s="229"/>
      <c r="N930" s="377">
        <v>0</v>
      </c>
      <c r="O930" s="377">
        <v>114</v>
      </c>
      <c r="P930" s="378">
        <v>200</v>
      </c>
      <c r="Q930" s="284">
        <v>200</v>
      </c>
      <c r="R930" s="235">
        <v>40</v>
      </c>
      <c r="S930" s="283">
        <v>0</v>
      </c>
      <c r="T930" s="283">
        <v>0</v>
      </c>
      <c r="U930" s="283">
        <v>0</v>
      </c>
      <c r="V930" s="283">
        <v>0</v>
      </c>
    </row>
    <row r="931" spans="1:24" ht="24" customHeight="1">
      <c r="A931" s="421" t="s">
        <v>640</v>
      </c>
      <c r="B931" s="337"/>
      <c r="C931" s="337"/>
      <c r="D931" s="421" t="s">
        <v>10</v>
      </c>
      <c r="E931" s="337"/>
      <c r="F931" s="337"/>
      <c r="G931" s="337"/>
      <c r="H931" s="337"/>
      <c r="I931" s="337"/>
      <c r="J931" s="337"/>
      <c r="K931" s="337"/>
      <c r="L931" s="229"/>
      <c r="M931" s="263"/>
      <c r="N931" s="348">
        <v>32851</v>
      </c>
      <c r="O931" s="348">
        <v>15810</v>
      </c>
      <c r="P931" s="349">
        <v>20000</v>
      </c>
      <c r="Q931" s="236">
        <v>15000</v>
      </c>
      <c r="R931" s="235">
        <v>3000</v>
      </c>
      <c r="S931" s="235">
        <v>0</v>
      </c>
      <c r="T931" s="235">
        <v>0</v>
      </c>
      <c r="U931" s="235">
        <v>0</v>
      </c>
      <c r="V931" s="235">
        <v>0</v>
      </c>
    </row>
    <row r="932" spans="1:24" ht="24" customHeight="1">
      <c r="A932" s="421" t="s">
        <v>641</v>
      </c>
      <c r="B932" s="422"/>
      <c r="C932" s="422"/>
      <c r="D932" s="421" t="s">
        <v>21</v>
      </c>
      <c r="E932" s="422"/>
      <c r="F932" s="422"/>
      <c r="G932" s="422"/>
      <c r="H932" s="422"/>
      <c r="I932" s="422"/>
      <c r="J932" s="422"/>
      <c r="K932" s="422"/>
      <c r="L932" s="237"/>
      <c r="M932" s="263"/>
      <c r="N932" s="348">
        <v>55117</v>
      </c>
      <c r="O932" s="348">
        <v>46030</v>
      </c>
      <c r="P932" s="349">
        <v>55650</v>
      </c>
      <c r="Q932" s="236">
        <v>55650</v>
      </c>
      <c r="R932" s="235">
        <v>11130</v>
      </c>
      <c r="S932" s="235">
        <v>0</v>
      </c>
      <c r="T932" s="235">
        <v>0</v>
      </c>
      <c r="U932" s="235">
        <v>0</v>
      </c>
      <c r="V932" s="235">
        <v>0</v>
      </c>
    </row>
    <row r="933" spans="1:24" ht="24" customHeight="1">
      <c r="A933" s="421" t="s">
        <v>642</v>
      </c>
      <c r="B933" s="422"/>
      <c r="C933" s="422"/>
      <c r="D933" s="421" t="s">
        <v>102</v>
      </c>
      <c r="E933" s="422"/>
      <c r="F933" s="422"/>
      <c r="G933" s="422"/>
      <c r="H933" s="422"/>
      <c r="I933" s="422"/>
      <c r="J933" s="422"/>
      <c r="K933" s="422"/>
      <c r="L933" s="237"/>
      <c r="M933" s="263"/>
      <c r="N933" s="348">
        <f>215000</f>
        <v>215000</v>
      </c>
      <c r="O933" s="348">
        <v>223647</v>
      </c>
      <c r="P933" s="349">
        <v>236000</v>
      </c>
      <c r="Q933" s="236">
        <v>330000</v>
      </c>
      <c r="R933" s="235">
        <v>38000</v>
      </c>
      <c r="S933" s="235">
        <v>0</v>
      </c>
      <c r="T933" s="235">
        <v>0</v>
      </c>
      <c r="U933" s="235">
        <v>0</v>
      </c>
      <c r="V933" s="235">
        <v>0</v>
      </c>
      <c r="X933" s="248"/>
    </row>
    <row r="934" spans="1:24" ht="24" customHeight="1">
      <c r="A934" s="421" t="s">
        <v>643</v>
      </c>
      <c r="B934" s="422"/>
      <c r="C934" s="422"/>
      <c r="D934" s="421" t="s">
        <v>1491</v>
      </c>
      <c r="E934" s="422"/>
      <c r="F934" s="422"/>
      <c r="G934" s="422"/>
      <c r="H934" s="422"/>
      <c r="I934" s="422"/>
      <c r="J934" s="422"/>
      <c r="K934" s="422"/>
      <c r="L934" s="237"/>
      <c r="M934" s="275"/>
      <c r="N934" s="372">
        <v>13627</v>
      </c>
      <c r="O934" s="372">
        <v>37751</v>
      </c>
      <c r="P934" s="379">
        <v>15000</v>
      </c>
      <c r="Q934" s="285">
        <v>7000</v>
      </c>
      <c r="R934" s="235">
        <v>1400</v>
      </c>
      <c r="S934" s="276">
        <v>0</v>
      </c>
      <c r="T934" s="276">
        <v>0</v>
      </c>
      <c r="U934" s="276">
        <v>0</v>
      </c>
      <c r="V934" s="276">
        <v>0</v>
      </c>
    </row>
    <row r="935" spans="1:24" ht="24" customHeight="1">
      <c r="A935" s="421" t="s">
        <v>644</v>
      </c>
      <c r="B935" s="422"/>
      <c r="C935" s="422"/>
      <c r="D935" s="421" t="s">
        <v>610</v>
      </c>
      <c r="E935" s="422"/>
      <c r="F935" s="422"/>
      <c r="G935" s="422"/>
      <c r="H935" s="422"/>
      <c r="I935" s="422"/>
      <c r="J935" s="422"/>
      <c r="K935" s="422"/>
      <c r="L935" s="237"/>
      <c r="M935" s="275"/>
      <c r="N935" s="372">
        <v>8473</v>
      </c>
      <c r="O935" s="372">
        <v>4727</v>
      </c>
      <c r="P935" s="379">
        <v>5500</v>
      </c>
      <c r="Q935" s="285">
        <f>4000+1500</f>
        <v>5500</v>
      </c>
      <c r="R935" s="235">
        <v>1100</v>
      </c>
      <c r="S935" s="276">
        <v>0</v>
      </c>
      <c r="T935" s="276">
        <v>0</v>
      </c>
      <c r="U935" s="276">
        <v>0</v>
      </c>
      <c r="V935" s="276">
        <v>0</v>
      </c>
    </row>
    <row r="936" spans="1:24" ht="24" customHeight="1">
      <c r="A936" s="421" t="s">
        <v>645</v>
      </c>
      <c r="B936" s="337"/>
      <c r="C936" s="337"/>
      <c r="D936" s="421" t="s">
        <v>646</v>
      </c>
      <c r="E936" s="337"/>
      <c r="F936" s="337"/>
      <c r="G936" s="337"/>
      <c r="H936" s="337"/>
      <c r="I936" s="337"/>
      <c r="J936" s="337"/>
      <c r="K936" s="337"/>
      <c r="L936" s="229"/>
      <c r="M936" s="229"/>
      <c r="N936" s="377">
        <v>53680</v>
      </c>
      <c r="O936" s="377">
        <v>61503</v>
      </c>
      <c r="P936" s="378">
        <v>70000</v>
      </c>
      <c r="Q936" s="284">
        <v>58800</v>
      </c>
      <c r="R936" s="283">
        <v>58800</v>
      </c>
      <c r="S936" s="283">
        <v>0</v>
      </c>
      <c r="T936" s="283">
        <v>0</v>
      </c>
      <c r="U936" s="283">
        <v>0</v>
      </c>
      <c r="V936" s="283">
        <v>0</v>
      </c>
    </row>
    <row r="937" spans="1:24" ht="24" customHeight="1">
      <c r="A937" s="421" t="s">
        <v>647</v>
      </c>
      <c r="B937" s="422"/>
      <c r="C937" s="422"/>
      <c r="D937" s="421" t="s">
        <v>612</v>
      </c>
      <c r="E937" s="422"/>
      <c r="F937" s="422"/>
      <c r="G937" s="422"/>
      <c r="H937" s="422"/>
      <c r="I937" s="422"/>
      <c r="J937" s="422"/>
      <c r="K937" s="422"/>
      <c r="L937" s="237"/>
      <c r="M937" s="247"/>
      <c r="N937" s="346">
        <v>11676</v>
      </c>
      <c r="O937" s="346">
        <v>12125</v>
      </c>
      <c r="P937" s="347">
        <v>15000</v>
      </c>
      <c r="Q937" s="232">
        <v>7500</v>
      </c>
      <c r="R937" s="235">
        <v>1500</v>
      </c>
      <c r="S937" s="231">
        <v>0</v>
      </c>
      <c r="T937" s="231">
        <v>0</v>
      </c>
      <c r="U937" s="231">
        <v>0</v>
      </c>
      <c r="V937" s="231">
        <v>0</v>
      </c>
    </row>
    <row r="938" spans="1:24" ht="24" customHeight="1">
      <c r="A938" s="421" t="s">
        <v>648</v>
      </c>
      <c r="B938" s="422"/>
      <c r="C938" s="422"/>
      <c r="D938" s="421" t="s">
        <v>613</v>
      </c>
      <c r="E938" s="422"/>
      <c r="F938" s="422"/>
      <c r="G938" s="422"/>
      <c r="H938" s="422"/>
      <c r="I938" s="422"/>
      <c r="J938" s="422"/>
      <c r="K938" s="422"/>
      <c r="L938" s="237"/>
      <c r="M938" s="263"/>
      <c r="N938" s="348">
        <v>10029</v>
      </c>
      <c r="O938" s="348">
        <v>6302</v>
      </c>
      <c r="P938" s="349">
        <v>7000</v>
      </c>
      <c r="Q938" s="236">
        <v>7000</v>
      </c>
      <c r="R938" s="235">
        <v>1400</v>
      </c>
      <c r="S938" s="235">
        <v>0</v>
      </c>
      <c r="T938" s="235">
        <v>0</v>
      </c>
      <c r="U938" s="235">
        <v>0</v>
      </c>
      <c r="V938" s="235">
        <v>0</v>
      </c>
    </row>
    <row r="939" spans="1:24" ht="24" customHeight="1">
      <c r="A939" s="421" t="s">
        <v>649</v>
      </c>
      <c r="B939" s="422"/>
      <c r="C939" s="422"/>
      <c r="D939" s="421" t="s">
        <v>11</v>
      </c>
      <c r="E939" s="422"/>
      <c r="F939" s="422"/>
      <c r="G939" s="422"/>
      <c r="H939" s="422"/>
      <c r="I939" s="422"/>
      <c r="J939" s="422"/>
      <c r="K939" s="422"/>
      <c r="L939" s="237"/>
      <c r="M939" s="263"/>
      <c r="N939" s="348">
        <v>1730</v>
      </c>
      <c r="O939" s="348">
        <v>892</v>
      </c>
      <c r="P939" s="349">
        <v>2600</v>
      </c>
      <c r="Q939" s="236">
        <v>1500</v>
      </c>
      <c r="R939" s="235">
        <v>300</v>
      </c>
      <c r="S939" s="235">
        <v>0</v>
      </c>
      <c r="T939" s="235">
        <v>0</v>
      </c>
      <c r="U939" s="235">
        <v>0</v>
      </c>
      <c r="V939" s="235">
        <v>0</v>
      </c>
    </row>
    <row r="940" spans="1:24" ht="24" customHeight="1">
      <c r="A940" s="421" t="s">
        <v>650</v>
      </c>
      <c r="B940" s="422"/>
      <c r="C940" s="422"/>
      <c r="D940" s="421" t="s">
        <v>13</v>
      </c>
      <c r="E940" s="422"/>
      <c r="F940" s="422"/>
      <c r="G940" s="422"/>
      <c r="H940" s="422"/>
      <c r="I940" s="422"/>
      <c r="J940" s="422"/>
      <c r="K940" s="422"/>
      <c r="L940" s="237"/>
      <c r="M940" s="263"/>
      <c r="N940" s="348">
        <v>4543</v>
      </c>
      <c r="O940" s="348">
        <v>7039</v>
      </c>
      <c r="P940" s="349">
        <v>6200</v>
      </c>
      <c r="Q940" s="236">
        <v>3000</v>
      </c>
      <c r="R940" s="235">
        <v>600</v>
      </c>
      <c r="S940" s="235">
        <v>0</v>
      </c>
      <c r="T940" s="235">
        <v>0</v>
      </c>
      <c r="U940" s="235">
        <v>0</v>
      </c>
      <c r="V940" s="235">
        <v>0</v>
      </c>
    </row>
    <row r="941" spans="1:24" ht="24" customHeight="1">
      <c r="A941" s="421" t="s">
        <v>651</v>
      </c>
      <c r="B941" s="422"/>
      <c r="C941" s="422"/>
      <c r="D941" s="421" t="s">
        <v>20</v>
      </c>
      <c r="E941" s="422"/>
      <c r="F941" s="422"/>
      <c r="G941" s="440"/>
      <c r="H941" s="440"/>
      <c r="I941" s="440"/>
      <c r="J941" s="440"/>
      <c r="K941" s="440"/>
      <c r="L941" s="318"/>
      <c r="M941" s="279"/>
      <c r="N941" s="351">
        <v>8525</v>
      </c>
      <c r="O941" s="351">
        <v>0</v>
      </c>
      <c r="P941" s="352">
        <v>0</v>
      </c>
      <c r="Q941" s="242">
        <v>0</v>
      </c>
      <c r="R941" s="235">
        <v>0</v>
      </c>
      <c r="S941" s="241">
        <v>0</v>
      </c>
      <c r="T941" s="241">
        <v>0</v>
      </c>
      <c r="U941" s="241">
        <v>0</v>
      </c>
      <c r="V941" s="241">
        <v>0</v>
      </c>
    </row>
    <row r="942" spans="1:24" ht="24" customHeight="1">
      <c r="A942" s="421" t="s">
        <v>652</v>
      </c>
      <c r="B942" s="422"/>
      <c r="C942" s="422"/>
      <c r="D942" s="421" t="s">
        <v>304</v>
      </c>
      <c r="E942" s="422"/>
      <c r="F942" s="422"/>
      <c r="G942" s="422"/>
      <c r="H942" s="422"/>
      <c r="I942" s="422"/>
      <c r="J942" s="422"/>
      <c r="K942" s="422"/>
      <c r="L942" s="237"/>
      <c r="M942" s="279"/>
      <c r="N942" s="351">
        <v>3180</v>
      </c>
      <c r="O942" s="351">
        <v>1000</v>
      </c>
      <c r="P942" s="352">
        <v>1000</v>
      </c>
      <c r="Q942" s="242">
        <v>1000</v>
      </c>
      <c r="R942" s="235">
        <v>200</v>
      </c>
      <c r="S942" s="241">
        <v>0</v>
      </c>
      <c r="T942" s="241">
        <v>0</v>
      </c>
      <c r="U942" s="241">
        <v>0</v>
      </c>
      <c r="V942" s="241">
        <v>0</v>
      </c>
    </row>
    <row r="943" spans="1:24" ht="24" customHeight="1">
      <c r="A943" s="421" t="s">
        <v>653</v>
      </c>
      <c r="B943" s="422"/>
      <c r="C943" s="422"/>
      <c r="D943" s="421" t="s">
        <v>1490</v>
      </c>
      <c r="E943" s="422"/>
      <c r="F943" s="422"/>
      <c r="G943" s="422"/>
      <c r="H943" s="422"/>
      <c r="I943" s="422"/>
      <c r="J943" s="422"/>
      <c r="K943" s="422"/>
      <c r="L943" s="237"/>
      <c r="M943" s="247"/>
      <c r="N943" s="346">
        <v>9768</v>
      </c>
      <c r="O943" s="346">
        <v>11371</v>
      </c>
      <c r="P943" s="347">
        <f>11000</f>
        <v>11000</v>
      </c>
      <c r="Q943" s="232">
        <f>11000+50000</f>
        <v>61000</v>
      </c>
      <c r="R943" s="235">
        <v>12200</v>
      </c>
      <c r="S943" s="231">
        <v>0</v>
      </c>
      <c r="T943" s="231">
        <v>0</v>
      </c>
      <c r="U943" s="231">
        <v>0</v>
      </c>
      <c r="V943" s="231">
        <v>0</v>
      </c>
    </row>
    <row r="944" spans="1:24" ht="24" customHeight="1">
      <c r="A944" s="421" t="s">
        <v>654</v>
      </c>
      <c r="B944" s="422"/>
      <c r="C944" s="422"/>
      <c r="D944" s="421" t="s">
        <v>1492</v>
      </c>
      <c r="E944" s="422"/>
      <c r="F944" s="422"/>
      <c r="G944" s="422"/>
      <c r="H944" s="422"/>
      <c r="I944" s="422"/>
      <c r="J944" s="422"/>
      <c r="K944" s="422"/>
      <c r="L944" s="237"/>
      <c r="M944" s="269"/>
      <c r="N944" s="350">
        <v>0</v>
      </c>
      <c r="O944" s="350">
        <v>30</v>
      </c>
      <c r="P944" s="353">
        <v>50</v>
      </c>
      <c r="Q944" s="243">
        <v>194</v>
      </c>
      <c r="R944" s="235">
        <v>39</v>
      </c>
      <c r="S944" s="239">
        <v>0</v>
      </c>
      <c r="T944" s="239">
        <v>0</v>
      </c>
      <c r="U944" s="239">
        <v>0</v>
      </c>
      <c r="V944" s="239">
        <v>0</v>
      </c>
    </row>
    <row r="945" spans="1:22" ht="24" customHeight="1">
      <c r="A945" s="421" t="s">
        <v>655</v>
      </c>
      <c r="B945" s="422"/>
      <c r="C945" s="422"/>
      <c r="D945" s="421" t="s">
        <v>182</v>
      </c>
      <c r="E945" s="422"/>
      <c r="F945" s="422"/>
      <c r="G945" s="422"/>
      <c r="H945" s="422"/>
      <c r="I945" s="422"/>
      <c r="J945" s="422"/>
      <c r="K945" s="422"/>
      <c r="L945" s="237"/>
      <c r="M945" s="286"/>
      <c r="N945" s="357">
        <v>0</v>
      </c>
      <c r="O945" s="357">
        <v>282</v>
      </c>
      <c r="P945" s="358">
        <v>321</v>
      </c>
      <c r="Q945" s="252">
        <v>0</v>
      </c>
      <c r="R945" s="271">
        <v>0</v>
      </c>
      <c r="S945" s="251">
        <v>0</v>
      </c>
      <c r="T945" s="251">
        <v>0</v>
      </c>
      <c r="U945" s="251">
        <v>0</v>
      </c>
      <c r="V945" s="251">
        <v>0</v>
      </c>
    </row>
    <row r="946" spans="1:22" ht="15" customHeight="1">
      <c r="A946" s="337"/>
      <c r="B946" s="337"/>
      <c r="C946" s="337"/>
      <c r="D946" s="337"/>
      <c r="E946" s="337"/>
      <c r="F946" s="337"/>
      <c r="G946" s="337"/>
      <c r="H946" s="337"/>
      <c r="I946" s="337"/>
      <c r="J946" s="337"/>
      <c r="K946" s="337"/>
      <c r="L946" s="229"/>
      <c r="N946" s="359"/>
      <c r="O946" s="359"/>
      <c r="P946" s="360"/>
      <c r="Q946" s="255"/>
      <c r="R946" s="254"/>
      <c r="S946" s="254"/>
      <c r="T946" s="254"/>
      <c r="U946" s="254"/>
      <c r="V946" s="254"/>
    </row>
    <row r="947" spans="1:22" s="337" customFormat="1" ht="24" customHeight="1">
      <c r="K947" s="425" t="s">
        <v>763</v>
      </c>
      <c r="L947" s="449"/>
      <c r="M947" s="469"/>
      <c r="N947" s="361">
        <f t="shared" ref="N947:V947" si="92">SUM(N914:N946)</f>
        <v>687290</v>
      </c>
      <c r="O947" s="361">
        <f t="shared" si="92"/>
        <v>659476</v>
      </c>
      <c r="P947" s="362">
        <f t="shared" si="92"/>
        <v>703633</v>
      </c>
      <c r="Q947" s="362">
        <f t="shared" si="92"/>
        <v>760673</v>
      </c>
      <c r="R947" s="361">
        <f t="shared" si="92"/>
        <v>150489</v>
      </c>
      <c r="S947" s="361">
        <f t="shared" si="92"/>
        <v>0</v>
      </c>
      <c r="T947" s="361">
        <f t="shared" si="92"/>
        <v>0</v>
      </c>
      <c r="U947" s="361">
        <f t="shared" si="92"/>
        <v>0</v>
      </c>
      <c r="V947" s="361">
        <f t="shared" si="92"/>
        <v>0</v>
      </c>
    </row>
    <row r="948" spans="1:22" s="337" customFormat="1" ht="15" customHeight="1">
      <c r="L948" s="451"/>
      <c r="M948" s="463"/>
      <c r="N948" s="359"/>
      <c r="O948" s="359"/>
      <c r="P948" s="360"/>
      <c r="Q948" s="360"/>
      <c r="R948" s="359"/>
      <c r="S948" s="359"/>
      <c r="T948" s="359"/>
      <c r="U948" s="359"/>
      <c r="V948" s="359"/>
    </row>
    <row r="949" spans="1:22" s="337" customFormat="1" ht="24" customHeight="1">
      <c r="K949" s="425" t="s">
        <v>762</v>
      </c>
      <c r="L949" s="449"/>
      <c r="M949" s="449"/>
      <c r="N949" s="383">
        <f t="shared" ref="N949:V949" si="93">N912-N947</f>
        <v>-67272</v>
      </c>
      <c r="O949" s="383">
        <f t="shared" si="93"/>
        <v>-24913</v>
      </c>
      <c r="P949" s="384">
        <f t="shared" si="93"/>
        <v>-81133</v>
      </c>
      <c r="Q949" s="384">
        <f t="shared" si="93"/>
        <v>-247467</v>
      </c>
      <c r="R949" s="383">
        <f t="shared" si="93"/>
        <v>467468</v>
      </c>
      <c r="S949" s="383">
        <f t="shared" si="93"/>
        <v>0</v>
      </c>
      <c r="T949" s="383">
        <f t="shared" si="93"/>
        <v>0</v>
      </c>
      <c r="U949" s="383">
        <f t="shared" si="93"/>
        <v>0</v>
      </c>
      <c r="V949" s="383">
        <f t="shared" si="93"/>
        <v>0</v>
      </c>
    </row>
    <row r="950" spans="1:22" s="337" customFormat="1" ht="15" customHeight="1">
      <c r="L950" s="451"/>
      <c r="M950" s="449"/>
      <c r="N950" s="383"/>
      <c r="O950" s="383"/>
      <c r="P950" s="384"/>
      <c r="Q950" s="384"/>
      <c r="R950" s="383"/>
      <c r="S950" s="383"/>
      <c r="T950" s="383"/>
      <c r="U950" s="383"/>
      <c r="V950" s="383"/>
    </row>
    <row r="951" spans="1:22" s="337" customFormat="1" ht="24" customHeight="1">
      <c r="J951" s="430" t="s">
        <v>776</v>
      </c>
      <c r="L951" s="451"/>
      <c r="M951" s="449"/>
      <c r="N951" s="383">
        <v>-195087</v>
      </c>
      <c r="O951" s="383">
        <v>-220001</v>
      </c>
      <c r="P951" s="384">
        <v>-367521</v>
      </c>
      <c r="Q951" s="384">
        <f>O951+Q949</f>
        <v>-467468</v>
      </c>
      <c r="R951" s="383">
        <f>Q951+R949</f>
        <v>0</v>
      </c>
      <c r="S951" s="383">
        <f>R951+S949</f>
        <v>0</v>
      </c>
      <c r="T951" s="383">
        <f>S951+T949</f>
        <v>0</v>
      </c>
      <c r="U951" s="383">
        <f>T951+U949</f>
        <v>0</v>
      </c>
      <c r="V951" s="383">
        <f>U951+V949</f>
        <v>0</v>
      </c>
    </row>
    <row r="952" spans="1:22" s="434" customFormat="1" ht="24" customHeight="1">
      <c r="L952" s="468"/>
      <c r="M952" s="467"/>
      <c r="N952" s="385">
        <f>N951/N947</f>
        <v>-0.28384961224519489</v>
      </c>
      <c r="O952" s="385">
        <f>O951/O947</f>
        <v>-0.33359970643359271</v>
      </c>
      <c r="P952" s="386">
        <f>P951/P947</f>
        <v>-0.5223191635412211</v>
      </c>
      <c r="Q952" s="386">
        <f>Q951/Q947</f>
        <v>-0.61454527766859079</v>
      </c>
      <c r="R952" s="385">
        <v>0</v>
      </c>
      <c r="S952" s="385">
        <v>0</v>
      </c>
      <c r="T952" s="385">
        <v>0</v>
      </c>
      <c r="U952" s="385">
        <v>0</v>
      </c>
      <c r="V952" s="385">
        <v>0</v>
      </c>
    </row>
    <row r="953" spans="1:22" ht="15" customHeight="1">
      <c r="A953" s="337"/>
      <c r="B953" s="337"/>
      <c r="C953" s="337"/>
      <c r="D953" s="337"/>
      <c r="E953" s="337"/>
      <c r="F953" s="337"/>
      <c r="G953" s="337"/>
      <c r="H953" s="337"/>
      <c r="I953" s="337"/>
      <c r="J953" s="337"/>
      <c r="K953" s="337"/>
      <c r="L953" s="229"/>
      <c r="M953" s="257"/>
      <c r="N953" s="383"/>
      <c r="O953" s="383"/>
      <c r="P953" s="384"/>
      <c r="Q953" s="293"/>
      <c r="R953" s="292"/>
      <c r="S953" s="292"/>
      <c r="T953" s="292"/>
      <c r="U953" s="292"/>
      <c r="V953" s="292"/>
    </row>
    <row r="954" spans="1:22" ht="24" customHeight="1">
      <c r="A954" s="432" t="s">
        <v>841</v>
      </c>
      <c r="B954" s="337"/>
      <c r="C954" s="337"/>
      <c r="D954" s="337"/>
      <c r="E954" s="337"/>
      <c r="F954" s="337"/>
      <c r="G954" s="337"/>
      <c r="H954" s="337"/>
      <c r="I954" s="337"/>
      <c r="J954" s="337"/>
      <c r="K954" s="337"/>
      <c r="L954" s="229"/>
      <c r="M954" s="257"/>
      <c r="N954" s="383"/>
      <c r="O954" s="383"/>
      <c r="P954" s="384"/>
      <c r="Q954" s="293"/>
      <c r="R954" s="292"/>
      <c r="S954" s="292"/>
      <c r="T954" s="292"/>
      <c r="U954" s="292"/>
      <c r="V954" s="292"/>
    </row>
    <row r="955" spans="1:22" ht="15" customHeight="1">
      <c r="A955" s="337"/>
      <c r="B955" s="337"/>
      <c r="C955" s="337"/>
      <c r="D955" s="337"/>
      <c r="E955" s="337"/>
      <c r="F955" s="337"/>
      <c r="G955" s="337"/>
      <c r="H955" s="337"/>
      <c r="I955" s="337"/>
      <c r="J955" s="337"/>
      <c r="K955" s="337"/>
      <c r="L955" s="229"/>
      <c r="M955" s="257"/>
      <c r="N955" s="383"/>
      <c r="O955" s="383"/>
      <c r="P955" s="384"/>
      <c r="Q955" s="293"/>
      <c r="R955" s="292"/>
      <c r="S955" s="292"/>
      <c r="T955" s="292"/>
      <c r="U955" s="292"/>
      <c r="V955" s="292"/>
    </row>
    <row r="956" spans="1:22" ht="24" customHeight="1">
      <c r="A956" s="337" t="s">
        <v>656</v>
      </c>
      <c r="B956" s="337"/>
      <c r="C956" s="337"/>
      <c r="D956" s="337" t="s">
        <v>657</v>
      </c>
      <c r="E956" s="337"/>
      <c r="F956" s="337"/>
      <c r="G956" s="337"/>
      <c r="H956" s="337"/>
      <c r="I956" s="337"/>
      <c r="J956" s="337"/>
      <c r="K956" s="337"/>
      <c r="L956" s="229">
        <v>652085</v>
      </c>
      <c r="M956" s="238">
        <v>622624</v>
      </c>
      <c r="N956" s="350">
        <v>648060</v>
      </c>
      <c r="O956" s="348">
        <v>673145</v>
      </c>
      <c r="P956" s="349">
        <v>700000</v>
      </c>
      <c r="Q956" s="236">
        <v>691905</v>
      </c>
      <c r="R956" s="235">
        <v>670415</v>
      </c>
      <c r="S956" s="235">
        <v>700000</v>
      </c>
      <c r="T956" s="235">
        <v>700000</v>
      </c>
      <c r="U956" s="235">
        <v>700000</v>
      </c>
      <c r="V956" s="235">
        <v>725000</v>
      </c>
    </row>
    <row r="957" spans="1:22" ht="24" customHeight="1">
      <c r="A957" s="337" t="s">
        <v>1513</v>
      </c>
      <c r="B957" s="337"/>
      <c r="C957" s="337"/>
      <c r="D957" s="337" t="s">
        <v>322</v>
      </c>
      <c r="E957" s="337"/>
      <c r="F957" s="337"/>
      <c r="G957" s="337"/>
      <c r="H957" s="337"/>
      <c r="I957" s="337"/>
      <c r="J957" s="337"/>
      <c r="K957" s="337"/>
      <c r="L957" s="229"/>
      <c r="M957" s="238">
        <v>0</v>
      </c>
      <c r="N957" s="350">
        <v>0</v>
      </c>
      <c r="O957" s="350">
        <v>19331</v>
      </c>
      <c r="P957" s="353">
        <v>7500</v>
      </c>
      <c r="Q957" s="243">
        <v>0</v>
      </c>
      <c r="R957" s="239">
        <v>0</v>
      </c>
      <c r="S957" s="239">
        <v>0</v>
      </c>
      <c r="T957" s="239">
        <v>0</v>
      </c>
      <c r="U957" s="239">
        <v>0</v>
      </c>
      <c r="V957" s="239">
        <v>0</v>
      </c>
    </row>
    <row r="958" spans="1:22" ht="24" customHeight="1">
      <c r="A958" s="337" t="s">
        <v>658</v>
      </c>
      <c r="B958" s="337"/>
      <c r="C958" s="337"/>
      <c r="D958" s="337" t="s">
        <v>659</v>
      </c>
      <c r="E958" s="337"/>
      <c r="F958" s="337"/>
      <c r="G958" s="337"/>
      <c r="H958" s="337"/>
      <c r="I958" s="337"/>
      <c r="J958" s="337"/>
      <c r="K958" s="337"/>
      <c r="L958" s="229">
        <v>463324</v>
      </c>
      <c r="M958" s="238">
        <v>561150</v>
      </c>
      <c r="N958" s="350">
        <v>604131</v>
      </c>
      <c r="O958" s="350">
        <v>0</v>
      </c>
      <c r="P958" s="353">
        <v>0</v>
      </c>
      <c r="Q958" s="243">
        <v>0</v>
      </c>
      <c r="R958" s="239">
        <v>0</v>
      </c>
      <c r="S958" s="239">
        <v>0</v>
      </c>
      <c r="T958" s="239">
        <v>0</v>
      </c>
      <c r="U958" s="239">
        <v>0</v>
      </c>
      <c r="V958" s="239">
        <v>0</v>
      </c>
    </row>
    <row r="959" spans="1:22" ht="24" customHeight="1">
      <c r="A959" s="421" t="s">
        <v>660</v>
      </c>
      <c r="B959" s="337"/>
      <c r="C959" s="337"/>
      <c r="D959" s="421" t="s">
        <v>49</v>
      </c>
      <c r="E959" s="337"/>
      <c r="F959" s="337"/>
      <c r="G959" s="337"/>
      <c r="H959" s="337"/>
      <c r="I959" s="337"/>
      <c r="J959" s="337"/>
      <c r="K959" s="337"/>
      <c r="L959" s="229">
        <v>4451</v>
      </c>
      <c r="M959" s="238">
        <v>5139</v>
      </c>
      <c r="N959" s="350">
        <v>7217</v>
      </c>
      <c r="O959" s="348">
        <v>4981</v>
      </c>
      <c r="P959" s="349">
        <v>5000</v>
      </c>
      <c r="Q959" s="236">
        <v>5000</v>
      </c>
      <c r="R959" s="235">
        <v>5000</v>
      </c>
      <c r="S959" s="235">
        <v>5000</v>
      </c>
      <c r="T959" s="235">
        <v>5000</v>
      </c>
      <c r="U959" s="235">
        <v>5000</v>
      </c>
      <c r="V959" s="235">
        <v>5000</v>
      </c>
    </row>
    <row r="960" spans="1:22" ht="24" customHeight="1">
      <c r="A960" s="421" t="s">
        <v>661</v>
      </c>
      <c r="B960" s="337"/>
      <c r="C960" s="337"/>
      <c r="D960" s="199" t="s">
        <v>48</v>
      </c>
      <c r="E960" s="337"/>
      <c r="F960" s="337"/>
      <c r="G960" s="337"/>
      <c r="H960" s="337"/>
      <c r="I960" s="337"/>
      <c r="J960" s="337"/>
      <c r="K960" s="337"/>
      <c r="L960" s="229">
        <v>0</v>
      </c>
      <c r="M960" s="238">
        <v>14555</v>
      </c>
      <c r="N960" s="350">
        <v>17193</v>
      </c>
      <c r="O960" s="348">
        <v>17231</v>
      </c>
      <c r="P960" s="349">
        <v>17200</v>
      </c>
      <c r="Q960" s="236">
        <f>17352+1500</f>
        <v>18852</v>
      </c>
      <c r="R960" s="235">
        <v>17200</v>
      </c>
      <c r="S960" s="235">
        <v>17200</v>
      </c>
      <c r="T960" s="235">
        <v>17200</v>
      </c>
      <c r="U960" s="235">
        <v>17200</v>
      </c>
      <c r="V960" s="235">
        <v>17200</v>
      </c>
    </row>
    <row r="961" spans="1:24" ht="24" customHeight="1">
      <c r="A961" s="421" t="s">
        <v>662</v>
      </c>
      <c r="B961" s="422"/>
      <c r="C961" s="422"/>
      <c r="D961" s="421" t="s">
        <v>663</v>
      </c>
      <c r="E961" s="337"/>
      <c r="F961" s="337"/>
      <c r="G961" s="337"/>
      <c r="H961" s="337"/>
      <c r="I961" s="337"/>
      <c r="J961" s="337"/>
      <c r="K961" s="337"/>
      <c r="L961" s="229">
        <v>32700</v>
      </c>
      <c r="M961" s="238">
        <v>15550</v>
      </c>
      <c r="N961" s="350">
        <v>8825</v>
      </c>
      <c r="O961" s="348">
        <v>4681</v>
      </c>
      <c r="P961" s="349">
        <v>0</v>
      </c>
      <c r="Q961" s="236">
        <v>0</v>
      </c>
      <c r="R961" s="235">
        <v>0</v>
      </c>
      <c r="S961" s="235">
        <v>0</v>
      </c>
      <c r="T961" s="235">
        <v>0</v>
      </c>
      <c r="U961" s="235">
        <v>0</v>
      </c>
      <c r="V961" s="235">
        <v>0</v>
      </c>
    </row>
    <row r="962" spans="1:24" ht="24" customHeight="1">
      <c r="A962" s="421" t="s">
        <v>664</v>
      </c>
      <c r="B962" s="422"/>
      <c r="C962" s="422"/>
      <c r="D962" s="421" t="s">
        <v>665</v>
      </c>
      <c r="E962" s="337"/>
      <c r="F962" s="337"/>
      <c r="G962" s="337"/>
      <c r="H962" s="337"/>
      <c r="I962" s="337"/>
      <c r="J962" s="337"/>
      <c r="K962" s="337"/>
      <c r="L962" s="229">
        <v>32700</v>
      </c>
      <c r="M962" s="238">
        <v>15550</v>
      </c>
      <c r="N962" s="350">
        <v>8825</v>
      </c>
      <c r="O962" s="348">
        <v>0</v>
      </c>
      <c r="P962" s="349">
        <v>0</v>
      </c>
      <c r="Q962" s="236">
        <v>0</v>
      </c>
      <c r="R962" s="235">
        <v>0</v>
      </c>
      <c r="S962" s="235">
        <v>0</v>
      </c>
      <c r="T962" s="235">
        <v>0</v>
      </c>
      <c r="U962" s="235">
        <v>0</v>
      </c>
      <c r="V962" s="235">
        <v>0</v>
      </c>
    </row>
    <row r="963" spans="1:24" ht="24" customHeight="1">
      <c r="A963" s="421" t="s">
        <v>666</v>
      </c>
      <c r="B963" s="422"/>
      <c r="C963" s="422"/>
      <c r="D963" s="421" t="s">
        <v>667</v>
      </c>
      <c r="E963" s="422"/>
      <c r="F963" s="422"/>
      <c r="G963" s="422"/>
      <c r="H963" s="422"/>
      <c r="I963" s="422"/>
      <c r="J963" s="422"/>
      <c r="K963" s="422"/>
      <c r="L963" s="237">
        <v>9531</v>
      </c>
      <c r="M963" s="238">
        <v>11503</v>
      </c>
      <c r="N963" s="350">
        <v>14161</v>
      </c>
      <c r="O963" s="348">
        <v>12864</v>
      </c>
      <c r="P963" s="349">
        <v>13000</v>
      </c>
      <c r="Q963" s="236">
        <v>9300</v>
      </c>
      <c r="R963" s="235">
        <v>9300</v>
      </c>
      <c r="S963" s="235">
        <v>9300</v>
      </c>
      <c r="T963" s="235">
        <v>9300</v>
      </c>
      <c r="U963" s="235">
        <v>9300</v>
      </c>
      <c r="V963" s="235">
        <v>9300</v>
      </c>
    </row>
    <row r="964" spans="1:24" ht="24" customHeight="1">
      <c r="A964" s="421" t="s">
        <v>668</v>
      </c>
      <c r="B964" s="422"/>
      <c r="C964" s="422"/>
      <c r="D964" s="421" t="s">
        <v>669</v>
      </c>
      <c r="E964" s="422"/>
      <c r="F964" s="422"/>
      <c r="G964" s="422"/>
      <c r="H964" s="422"/>
      <c r="I964" s="422"/>
      <c r="J964" s="422"/>
      <c r="K964" s="422"/>
      <c r="L964" s="237">
        <v>16758</v>
      </c>
      <c r="M964" s="238">
        <v>14720</v>
      </c>
      <c r="N964" s="350">
        <v>13742</v>
      </c>
      <c r="O964" s="348">
        <v>11814</v>
      </c>
      <c r="P964" s="349">
        <v>12000</v>
      </c>
      <c r="Q964" s="236">
        <v>10000</v>
      </c>
      <c r="R964" s="235">
        <v>10000</v>
      </c>
      <c r="S964" s="235">
        <v>10000</v>
      </c>
      <c r="T964" s="235">
        <v>10000</v>
      </c>
      <c r="U964" s="235">
        <v>10000</v>
      </c>
      <c r="V964" s="235">
        <v>10000</v>
      </c>
    </row>
    <row r="965" spans="1:24" ht="24" customHeight="1">
      <c r="A965" s="421" t="s">
        <v>670</v>
      </c>
      <c r="B965" s="337"/>
      <c r="C965" s="337"/>
      <c r="D965" s="421" t="s">
        <v>671</v>
      </c>
      <c r="E965" s="337"/>
      <c r="F965" s="337"/>
      <c r="G965" s="337"/>
      <c r="H965" s="337"/>
      <c r="I965" s="337"/>
      <c r="J965" s="337"/>
      <c r="K965" s="337"/>
      <c r="L965" s="229">
        <v>2729</v>
      </c>
      <c r="M965" s="238">
        <v>3773</v>
      </c>
      <c r="N965" s="350">
        <v>3339</v>
      </c>
      <c r="O965" s="348">
        <v>3444</v>
      </c>
      <c r="P965" s="349">
        <v>3000</v>
      </c>
      <c r="Q965" s="236">
        <v>2500</v>
      </c>
      <c r="R965" s="235">
        <v>3000</v>
      </c>
      <c r="S965" s="235">
        <v>3000</v>
      </c>
      <c r="T965" s="235">
        <v>3000</v>
      </c>
      <c r="U965" s="235">
        <v>3000</v>
      </c>
      <c r="V965" s="235">
        <v>3000</v>
      </c>
    </row>
    <row r="966" spans="1:24" ht="24" customHeight="1">
      <c r="A966" s="421" t="s">
        <v>672</v>
      </c>
      <c r="B966" s="337"/>
      <c r="C966" s="337"/>
      <c r="D966" s="421" t="s">
        <v>580</v>
      </c>
      <c r="E966" s="337"/>
      <c r="F966" s="337"/>
      <c r="G966" s="337"/>
      <c r="H966" s="337"/>
      <c r="I966" s="337"/>
      <c r="J966" s="337"/>
      <c r="K966" s="337"/>
      <c r="L966" s="229">
        <v>0</v>
      </c>
      <c r="M966" s="238">
        <v>0</v>
      </c>
      <c r="N966" s="350">
        <v>36</v>
      </c>
      <c r="O966" s="350">
        <v>110</v>
      </c>
      <c r="P966" s="353">
        <v>2000</v>
      </c>
      <c r="Q966" s="243">
        <v>950</v>
      </c>
      <c r="R966" s="239">
        <v>1000</v>
      </c>
      <c r="S966" s="239">
        <v>1000</v>
      </c>
      <c r="T966" s="239">
        <v>1000</v>
      </c>
      <c r="U966" s="239">
        <v>1000</v>
      </c>
      <c r="V966" s="239">
        <v>1000</v>
      </c>
    </row>
    <row r="967" spans="1:24" ht="24" customHeight="1">
      <c r="A967" s="421" t="s">
        <v>673</v>
      </c>
      <c r="B967" s="422"/>
      <c r="C967" s="422"/>
      <c r="D967" s="535" t="s">
        <v>6</v>
      </c>
      <c r="E967" s="535"/>
      <c r="F967" s="535"/>
      <c r="G967" s="535"/>
      <c r="H967" s="535"/>
      <c r="I967" s="535"/>
      <c r="J967" s="535"/>
      <c r="K967" s="535"/>
      <c r="L967" s="237">
        <v>10985</v>
      </c>
      <c r="M967" s="238">
        <v>1952</v>
      </c>
      <c r="N967" s="350">
        <v>690</v>
      </c>
      <c r="O967" s="348">
        <v>393</v>
      </c>
      <c r="P967" s="349">
        <v>150</v>
      </c>
      <c r="Q967" s="236">
        <v>1260</v>
      </c>
      <c r="R967" s="235">
        <v>1300</v>
      </c>
      <c r="S967" s="235">
        <v>1300</v>
      </c>
      <c r="T967" s="235">
        <v>1500</v>
      </c>
      <c r="U967" s="235">
        <v>1500</v>
      </c>
      <c r="V967" s="235">
        <v>1500</v>
      </c>
    </row>
    <row r="968" spans="1:24" ht="24" customHeight="1">
      <c r="A968" s="421" t="s">
        <v>839</v>
      </c>
      <c r="B968" s="422"/>
      <c r="C968" s="422"/>
      <c r="D968" s="421" t="s">
        <v>323</v>
      </c>
      <c r="E968" s="422"/>
      <c r="F968" s="422"/>
      <c r="G968" s="422"/>
      <c r="H968" s="422"/>
      <c r="I968" s="422"/>
      <c r="J968" s="422"/>
      <c r="K968" s="422"/>
      <c r="L968" s="237"/>
      <c r="M968" s="238">
        <v>0</v>
      </c>
      <c r="N968" s="350">
        <v>0</v>
      </c>
      <c r="O968" s="350">
        <v>0</v>
      </c>
      <c r="P968" s="353">
        <v>6670</v>
      </c>
      <c r="Q968" s="243">
        <v>8685</v>
      </c>
      <c r="R968" s="239">
        <v>0</v>
      </c>
      <c r="S968" s="239">
        <v>0</v>
      </c>
      <c r="T968" s="239">
        <v>0</v>
      </c>
      <c r="U968" s="239">
        <v>0</v>
      </c>
      <c r="V968" s="239">
        <v>0</v>
      </c>
    </row>
    <row r="969" spans="1:24" ht="24" customHeight="1">
      <c r="A969" s="421" t="s">
        <v>844</v>
      </c>
      <c r="B969" s="422"/>
      <c r="C969" s="422"/>
      <c r="D969" s="421" t="s">
        <v>317</v>
      </c>
      <c r="E969" s="422"/>
      <c r="F969" s="422"/>
      <c r="G969" s="422"/>
      <c r="H969" s="422"/>
      <c r="I969" s="422"/>
      <c r="J969" s="422"/>
      <c r="K969" s="422"/>
      <c r="L969" s="237"/>
      <c r="M969" s="238">
        <v>0</v>
      </c>
      <c r="N969" s="350">
        <v>0</v>
      </c>
      <c r="O969" s="350">
        <v>0</v>
      </c>
      <c r="P969" s="355">
        <v>636</v>
      </c>
      <c r="Q969" s="246">
        <v>711</v>
      </c>
      <c r="R969" s="245">
        <v>0</v>
      </c>
      <c r="S969" s="245">
        <v>0</v>
      </c>
      <c r="T969" s="245">
        <v>0</v>
      </c>
      <c r="U969" s="245">
        <v>0</v>
      </c>
      <c r="V969" s="245">
        <v>0</v>
      </c>
    </row>
    <row r="970" spans="1:24" ht="24" customHeight="1">
      <c r="A970" s="421" t="s">
        <v>674</v>
      </c>
      <c r="B970" s="337"/>
      <c r="C970" s="337"/>
      <c r="D970" s="421" t="s">
        <v>293</v>
      </c>
      <c r="E970" s="337"/>
      <c r="F970" s="337"/>
      <c r="G970" s="337"/>
      <c r="H970" s="337"/>
      <c r="I970" s="337"/>
      <c r="J970" s="337"/>
      <c r="K970" s="337"/>
      <c r="L970" s="229">
        <v>1101</v>
      </c>
      <c r="M970" s="238">
        <v>1239</v>
      </c>
      <c r="N970" s="350">
        <v>1454</v>
      </c>
      <c r="O970" s="354">
        <v>2695</v>
      </c>
      <c r="P970" s="355">
        <v>2000</v>
      </c>
      <c r="Q970" s="246">
        <v>1540</v>
      </c>
      <c r="R970" s="245">
        <v>2000</v>
      </c>
      <c r="S970" s="245">
        <v>2000</v>
      </c>
      <c r="T970" s="245">
        <v>2000</v>
      </c>
      <c r="U970" s="245">
        <v>2000</v>
      </c>
      <c r="V970" s="245">
        <v>2000</v>
      </c>
    </row>
    <row r="971" spans="1:24" ht="24" customHeight="1">
      <c r="A971" s="421" t="s">
        <v>675</v>
      </c>
      <c r="B971" s="337"/>
      <c r="C971" s="337"/>
      <c r="D971" s="421" t="s">
        <v>676</v>
      </c>
      <c r="E971" s="443"/>
      <c r="F971" s="443"/>
      <c r="G971" s="443"/>
      <c r="H971" s="443"/>
      <c r="I971" s="443"/>
      <c r="J971" s="443"/>
      <c r="K971" s="443"/>
      <c r="L971" s="322"/>
      <c r="M971" s="244">
        <v>0</v>
      </c>
      <c r="N971" s="354">
        <v>4131</v>
      </c>
      <c r="O971" s="354">
        <v>5416</v>
      </c>
      <c r="P971" s="355">
        <v>4500</v>
      </c>
      <c r="Q971" s="246">
        <v>5000</v>
      </c>
      <c r="R971" s="245">
        <v>5000</v>
      </c>
      <c r="S971" s="245">
        <v>5000</v>
      </c>
      <c r="T971" s="245">
        <v>5000</v>
      </c>
      <c r="U971" s="245">
        <v>5000</v>
      </c>
      <c r="V971" s="245">
        <v>5000</v>
      </c>
    </row>
    <row r="972" spans="1:24" ht="24" customHeight="1">
      <c r="A972" s="421" t="s">
        <v>677</v>
      </c>
      <c r="B972" s="337"/>
      <c r="C972" s="337"/>
      <c r="D972" s="421" t="s">
        <v>678</v>
      </c>
      <c r="E972" s="337"/>
      <c r="F972" s="337"/>
      <c r="G972" s="337"/>
      <c r="H972" s="337"/>
      <c r="I972" s="337"/>
      <c r="J972" s="337"/>
      <c r="K972" s="337"/>
      <c r="L972" s="229">
        <v>1363</v>
      </c>
      <c r="M972" s="238">
        <v>4451</v>
      </c>
      <c r="N972" s="350">
        <v>1883</v>
      </c>
      <c r="O972" s="354">
        <v>6119</v>
      </c>
      <c r="P972" s="355">
        <v>2000</v>
      </c>
      <c r="Q972" s="246">
        <v>2000</v>
      </c>
      <c r="R972" s="245">
        <v>2000</v>
      </c>
      <c r="S972" s="245">
        <v>2000</v>
      </c>
      <c r="T972" s="245">
        <v>2000</v>
      </c>
      <c r="U972" s="245">
        <v>2000</v>
      </c>
      <c r="V972" s="245">
        <v>2000</v>
      </c>
    </row>
    <row r="973" spans="1:24" ht="24" customHeight="1">
      <c r="A973" s="421" t="s">
        <v>679</v>
      </c>
      <c r="B973" s="337"/>
      <c r="C973" s="337"/>
      <c r="D973" s="421" t="s">
        <v>7</v>
      </c>
      <c r="E973" s="337"/>
      <c r="F973" s="337"/>
      <c r="G973" s="337"/>
      <c r="H973" s="337"/>
      <c r="I973" s="337"/>
      <c r="J973" s="337"/>
      <c r="K973" s="337"/>
      <c r="L973" s="229"/>
      <c r="M973" s="238">
        <v>0</v>
      </c>
      <c r="N973" s="350">
        <v>55</v>
      </c>
      <c r="O973" s="350">
        <v>815</v>
      </c>
      <c r="P973" s="353">
        <v>0</v>
      </c>
      <c r="Q973" s="243">
        <v>400</v>
      </c>
      <c r="R973" s="239">
        <v>250</v>
      </c>
      <c r="S973" s="239">
        <v>250</v>
      </c>
      <c r="T973" s="239">
        <v>250</v>
      </c>
      <c r="U973" s="239">
        <v>250</v>
      </c>
      <c r="V973" s="239">
        <v>250</v>
      </c>
    </row>
    <row r="974" spans="1:24" ht="24" customHeight="1">
      <c r="A974" s="421" t="s">
        <v>680</v>
      </c>
      <c r="B974" s="337"/>
      <c r="C974" s="337"/>
      <c r="D974" s="421" t="s">
        <v>681</v>
      </c>
      <c r="E974" s="337"/>
      <c r="F974" s="337"/>
      <c r="G974" s="337"/>
      <c r="H974" s="337"/>
      <c r="I974" s="337"/>
      <c r="J974" s="337"/>
      <c r="K974" s="337"/>
      <c r="L974" s="229"/>
      <c r="M974" s="238">
        <v>423</v>
      </c>
      <c r="N974" s="350">
        <v>300</v>
      </c>
      <c r="O974" s="351">
        <v>0</v>
      </c>
      <c r="P974" s="352">
        <v>0</v>
      </c>
      <c r="Q974" s="242">
        <v>0</v>
      </c>
      <c r="R974" s="241">
        <v>0</v>
      </c>
      <c r="S974" s="241">
        <v>0</v>
      </c>
      <c r="T974" s="241">
        <v>0</v>
      </c>
      <c r="U974" s="241">
        <v>0</v>
      </c>
      <c r="V974" s="241">
        <v>0</v>
      </c>
    </row>
    <row r="975" spans="1:24" ht="24" customHeight="1">
      <c r="A975" s="421" t="s">
        <v>767</v>
      </c>
      <c r="B975" s="337"/>
      <c r="C975" s="337"/>
      <c r="D975" s="337" t="s">
        <v>353</v>
      </c>
      <c r="E975" s="337"/>
      <c r="F975" s="337"/>
      <c r="G975" s="337"/>
      <c r="H975" s="337"/>
      <c r="I975" s="337"/>
      <c r="J975" s="337"/>
      <c r="K975" s="337"/>
      <c r="L975" s="229"/>
      <c r="M975" s="238"/>
      <c r="N975" s="350">
        <v>0</v>
      </c>
      <c r="O975" s="350">
        <v>0</v>
      </c>
      <c r="P975" s="353">
        <v>0</v>
      </c>
      <c r="Q975" s="243">
        <v>0</v>
      </c>
      <c r="R975" s="239">
        <f>Q956-R956</f>
        <v>21490</v>
      </c>
      <c r="S975" s="239">
        <v>0</v>
      </c>
      <c r="T975" s="239">
        <v>0</v>
      </c>
      <c r="U975" s="239">
        <v>0</v>
      </c>
      <c r="V975" s="239">
        <v>0</v>
      </c>
      <c r="X975" s="323"/>
    </row>
    <row r="976" spans="1:24" ht="24" customHeight="1">
      <c r="A976" s="421" t="s">
        <v>767</v>
      </c>
      <c r="B976" s="337"/>
      <c r="C976" s="337"/>
      <c r="D976" s="337" t="s">
        <v>353</v>
      </c>
      <c r="E976" s="337"/>
      <c r="F976" s="337"/>
      <c r="G976" s="337"/>
      <c r="H976" s="337"/>
      <c r="I976" s="337"/>
      <c r="J976" s="337"/>
      <c r="K976" s="337"/>
      <c r="L976" s="229"/>
      <c r="M976" s="319"/>
      <c r="N976" s="402">
        <v>0</v>
      </c>
      <c r="O976" s="402">
        <v>332500</v>
      </c>
      <c r="P976" s="358">
        <v>41978</v>
      </c>
      <c r="Q976" s="252">
        <f t="shared" ref="Q976:V976" si="94">Q989+Q988</f>
        <v>30000</v>
      </c>
      <c r="R976" s="251">
        <f t="shared" si="94"/>
        <v>30684</v>
      </c>
      <c r="S976" s="251">
        <f t="shared" si="94"/>
        <v>32375</v>
      </c>
      <c r="T976" s="251">
        <f t="shared" si="94"/>
        <v>34168</v>
      </c>
      <c r="U976" s="251">
        <f t="shared" si="94"/>
        <v>36068</v>
      </c>
      <c r="V976" s="251">
        <f t="shared" si="94"/>
        <v>38082</v>
      </c>
      <c r="X976" s="323"/>
    </row>
    <row r="977" spans="1:22" ht="15" customHeight="1">
      <c r="A977" s="337"/>
      <c r="B977" s="337"/>
      <c r="C977" s="337"/>
      <c r="D977" s="337"/>
      <c r="E977" s="337"/>
      <c r="F977" s="337"/>
      <c r="G977" s="337"/>
      <c r="H977" s="337"/>
      <c r="I977" s="337"/>
      <c r="J977" s="337"/>
      <c r="K977" s="337"/>
      <c r="L977" s="229"/>
      <c r="N977" s="359"/>
      <c r="O977" s="359"/>
      <c r="P977" s="360"/>
      <c r="Q977" s="255"/>
      <c r="R977" s="254"/>
      <c r="S977" s="254"/>
      <c r="T977" s="254"/>
      <c r="U977" s="254"/>
      <c r="V977" s="254"/>
    </row>
    <row r="978" spans="1:22" s="337" customFormat="1" ht="24" customHeight="1">
      <c r="K978" s="425" t="s">
        <v>758</v>
      </c>
      <c r="L978" s="449"/>
      <c r="M978" s="450"/>
      <c r="N978" s="361">
        <f t="shared" ref="N978:V978" si="95">SUM(N956:N977)</f>
        <v>1334042</v>
      </c>
      <c r="O978" s="361">
        <f t="shared" si="95"/>
        <v>1095539</v>
      </c>
      <c r="P978" s="362">
        <f t="shared" si="95"/>
        <v>817634</v>
      </c>
      <c r="Q978" s="362">
        <f t="shared" si="95"/>
        <v>788103</v>
      </c>
      <c r="R978" s="361">
        <f>SUM(R956:R977)</f>
        <v>778639</v>
      </c>
      <c r="S978" s="361">
        <f t="shared" si="95"/>
        <v>788425</v>
      </c>
      <c r="T978" s="361">
        <f t="shared" si="95"/>
        <v>790418</v>
      </c>
      <c r="U978" s="361">
        <f t="shared" si="95"/>
        <v>792318</v>
      </c>
      <c r="V978" s="361">
        <f t="shared" si="95"/>
        <v>819332</v>
      </c>
    </row>
    <row r="979" spans="1:22" ht="15" customHeight="1">
      <c r="A979" s="337"/>
      <c r="B979" s="337"/>
      <c r="C979" s="337"/>
      <c r="D979" s="337"/>
      <c r="E979" s="337"/>
      <c r="F979" s="337"/>
      <c r="G979" s="337"/>
      <c r="H979" s="337"/>
      <c r="I979" s="337"/>
      <c r="J979" s="337"/>
      <c r="K979" s="337"/>
      <c r="L979" s="229"/>
      <c r="N979" s="359"/>
      <c r="O979" s="359"/>
      <c r="P979" s="360"/>
      <c r="Q979" s="255"/>
      <c r="R979" s="254"/>
      <c r="S979" s="254"/>
      <c r="T979" s="254"/>
      <c r="U979" s="254"/>
      <c r="V979" s="254"/>
    </row>
    <row r="980" spans="1:22" ht="24" customHeight="1">
      <c r="A980" s="421" t="s">
        <v>682</v>
      </c>
      <c r="B980" s="422"/>
      <c r="C980" s="422"/>
      <c r="D980" s="421" t="s">
        <v>1238</v>
      </c>
      <c r="E980" s="422"/>
      <c r="F980" s="422"/>
      <c r="G980" s="422"/>
      <c r="H980" s="422"/>
      <c r="I980" s="422"/>
      <c r="J980" s="422"/>
      <c r="K980" s="422"/>
      <c r="L980" s="237"/>
      <c r="M980" s="247"/>
      <c r="N980" s="346">
        <v>501353</v>
      </c>
      <c r="O980" s="348">
        <v>244695</v>
      </c>
      <c r="P980" s="349">
        <v>245000</v>
      </c>
      <c r="Q980" s="236">
        <v>245000</v>
      </c>
      <c r="R980" s="235">
        <v>252540</v>
      </c>
      <c r="S980" s="235">
        <v>252540</v>
      </c>
      <c r="T980" s="235">
        <v>252540</v>
      </c>
      <c r="U980" s="235">
        <v>252540</v>
      </c>
      <c r="V980" s="235">
        <v>252540</v>
      </c>
    </row>
    <row r="981" spans="1:22" ht="24" customHeight="1">
      <c r="A981" s="421" t="s">
        <v>683</v>
      </c>
      <c r="B981" s="422"/>
      <c r="C981" s="422"/>
      <c r="D981" s="421" t="s">
        <v>83</v>
      </c>
      <c r="E981" s="422"/>
      <c r="F981" s="422"/>
      <c r="G981" s="422"/>
      <c r="H981" s="422"/>
      <c r="I981" s="422"/>
      <c r="J981" s="422"/>
      <c r="K981" s="422"/>
      <c r="L981" s="237"/>
      <c r="M981" s="247"/>
      <c r="N981" s="346">
        <v>0</v>
      </c>
      <c r="O981" s="351">
        <v>187313</v>
      </c>
      <c r="P981" s="352">
        <v>195000</v>
      </c>
      <c r="Q981" s="242">
        <v>195000</v>
      </c>
      <c r="R981" s="241">
        <v>195000</v>
      </c>
      <c r="S981" s="241">
        <v>195000</v>
      </c>
      <c r="T981" s="241">
        <v>195000</v>
      </c>
      <c r="U981" s="241">
        <v>195000</v>
      </c>
      <c r="V981" s="241">
        <v>195000</v>
      </c>
    </row>
    <row r="982" spans="1:22" ht="24" customHeight="1">
      <c r="A982" s="421" t="s">
        <v>684</v>
      </c>
      <c r="B982" s="422"/>
      <c r="C982" s="422"/>
      <c r="D982" s="421" t="s">
        <v>8</v>
      </c>
      <c r="E982" s="422"/>
      <c r="F982" s="422"/>
      <c r="G982" s="422"/>
      <c r="H982" s="422"/>
      <c r="I982" s="422"/>
      <c r="J982" s="422"/>
      <c r="K982" s="422"/>
      <c r="L982" s="237"/>
      <c r="M982" s="247"/>
      <c r="N982" s="346">
        <v>21607</v>
      </c>
      <c r="O982" s="350">
        <v>23387</v>
      </c>
      <c r="P982" s="347">
        <v>26692</v>
      </c>
      <c r="Q982" s="232">
        <v>26692</v>
      </c>
      <c r="R982" s="231">
        <v>27988</v>
      </c>
      <c r="S982" s="231">
        <v>27988</v>
      </c>
      <c r="T982" s="231">
        <v>27988</v>
      </c>
      <c r="U982" s="231">
        <v>27988</v>
      </c>
      <c r="V982" s="231">
        <v>27988</v>
      </c>
    </row>
    <row r="983" spans="1:22" ht="24" customHeight="1">
      <c r="A983" s="421" t="s">
        <v>685</v>
      </c>
      <c r="B983" s="337"/>
      <c r="C983" s="337"/>
      <c r="D983" s="421" t="s">
        <v>9</v>
      </c>
      <c r="E983" s="337"/>
      <c r="F983" s="337"/>
      <c r="G983" s="337"/>
      <c r="H983" s="337"/>
      <c r="I983" s="337"/>
      <c r="J983" s="337"/>
      <c r="K983" s="337"/>
      <c r="L983" s="229"/>
      <c r="M983" s="247"/>
      <c r="N983" s="346">
        <v>37766</v>
      </c>
      <c r="O983" s="348">
        <v>32384</v>
      </c>
      <c r="P983" s="349">
        <v>38000</v>
      </c>
      <c r="Q983" s="236">
        <v>33000</v>
      </c>
      <c r="R983" s="235">
        <v>33572</v>
      </c>
      <c r="S983" s="235">
        <v>33572</v>
      </c>
      <c r="T983" s="235">
        <v>33572</v>
      </c>
      <c r="U983" s="235">
        <v>33572</v>
      </c>
      <c r="V983" s="235">
        <v>33572</v>
      </c>
    </row>
    <row r="984" spans="1:22" ht="24" customHeight="1">
      <c r="A984" s="421" t="s">
        <v>686</v>
      </c>
      <c r="B984" s="422"/>
      <c r="C984" s="422"/>
      <c r="D984" s="421" t="s">
        <v>14</v>
      </c>
      <c r="E984" s="422"/>
      <c r="F984" s="422"/>
      <c r="G984" s="422"/>
      <c r="H984" s="422"/>
      <c r="I984" s="422"/>
      <c r="J984" s="422"/>
      <c r="K984" s="422"/>
      <c r="L984" s="237"/>
      <c r="M984" s="247"/>
      <c r="N984" s="346">
        <v>76487</v>
      </c>
      <c r="O984" s="348">
        <v>86334</v>
      </c>
      <c r="P984" s="349">
        <v>102877</v>
      </c>
      <c r="Q984" s="236">
        <v>102877</v>
      </c>
      <c r="R984" s="235">
        <v>94116</v>
      </c>
      <c r="S984" s="241">
        <v>103528</v>
      </c>
      <c r="T984" s="241">
        <v>113880</v>
      </c>
      <c r="U984" s="241">
        <v>120713</v>
      </c>
      <c r="V984" s="241">
        <v>127956</v>
      </c>
    </row>
    <row r="985" spans="1:22" ht="24" customHeight="1">
      <c r="A985" s="421" t="s">
        <v>687</v>
      </c>
      <c r="B985" s="337"/>
      <c r="C985" s="337"/>
      <c r="D985" s="421" t="s">
        <v>229</v>
      </c>
      <c r="E985" s="337"/>
      <c r="F985" s="337"/>
      <c r="G985" s="337"/>
      <c r="H985" s="337"/>
      <c r="I985" s="337"/>
      <c r="J985" s="337"/>
      <c r="K985" s="337"/>
      <c r="L985" s="229"/>
      <c r="M985" s="247"/>
      <c r="N985" s="346">
        <v>1200</v>
      </c>
      <c r="O985" s="348">
        <v>760</v>
      </c>
      <c r="P985" s="349">
        <v>1410</v>
      </c>
      <c r="Q985" s="236">
        <v>1100</v>
      </c>
      <c r="R985" s="235">
        <v>595</v>
      </c>
      <c r="S985" s="241">
        <v>601</v>
      </c>
      <c r="T985" s="241">
        <v>607</v>
      </c>
      <c r="U985" s="241">
        <v>613</v>
      </c>
      <c r="V985" s="241">
        <v>619</v>
      </c>
    </row>
    <row r="986" spans="1:22" ht="24" customHeight="1">
      <c r="A986" s="421" t="s">
        <v>688</v>
      </c>
      <c r="B986" s="337"/>
      <c r="C986" s="337"/>
      <c r="D986" s="421" t="s">
        <v>819</v>
      </c>
      <c r="E986" s="337"/>
      <c r="F986" s="337"/>
      <c r="G986" s="337"/>
      <c r="H986" s="337"/>
      <c r="I986" s="337"/>
      <c r="J986" s="337"/>
      <c r="K986" s="337"/>
      <c r="L986" s="229"/>
      <c r="M986" s="247"/>
      <c r="N986" s="346">
        <v>5451</v>
      </c>
      <c r="O986" s="350">
        <v>6061</v>
      </c>
      <c r="P986" s="347">
        <v>6826</v>
      </c>
      <c r="Q986" s="232">
        <v>6100</v>
      </c>
      <c r="R986" s="231">
        <v>5926</v>
      </c>
      <c r="S986" s="241">
        <v>6519</v>
      </c>
      <c r="T986" s="241">
        <v>7170</v>
      </c>
      <c r="U986" s="241">
        <v>7601</v>
      </c>
      <c r="V986" s="241">
        <v>8057</v>
      </c>
    </row>
    <row r="987" spans="1:22" ht="24" customHeight="1">
      <c r="A987" s="421" t="s">
        <v>831</v>
      </c>
      <c r="B987" s="337"/>
      <c r="C987" s="337"/>
      <c r="D987" s="421" t="s">
        <v>821</v>
      </c>
      <c r="E987" s="337"/>
      <c r="F987" s="337"/>
      <c r="G987" s="337"/>
      <c r="H987" s="337"/>
      <c r="I987" s="337"/>
      <c r="J987" s="337"/>
      <c r="K987" s="337"/>
      <c r="L987" s="229"/>
      <c r="M987" s="247"/>
      <c r="N987" s="346">
        <v>709</v>
      </c>
      <c r="O987" s="350">
        <v>686</v>
      </c>
      <c r="P987" s="347">
        <v>770</v>
      </c>
      <c r="Q987" s="232">
        <v>643</v>
      </c>
      <c r="R987" s="231">
        <v>643</v>
      </c>
      <c r="S987" s="241">
        <v>707</v>
      </c>
      <c r="T987" s="241">
        <v>778</v>
      </c>
      <c r="U987" s="241">
        <v>825</v>
      </c>
      <c r="V987" s="241">
        <v>874</v>
      </c>
    </row>
    <row r="988" spans="1:22" ht="24" customHeight="1">
      <c r="A988" s="421" t="s">
        <v>966</v>
      </c>
      <c r="B988" s="337"/>
      <c r="C988" s="337"/>
      <c r="D988" s="421" t="s">
        <v>227</v>
      </c>
      <c r="E988" s="337"/>
      <c r="F988" s="337"/>
      <c r="G988" s="337"/>
      <c r="H988" s="337"/>
      <c r="I988" s="337"/>
      <c r="J988" s="337"/>
      <c r="K988" s="337"/>
      <c r="L988" s="229"/>
      <c r="M988" s="247"/>
      <c r="N988" s="346">
        <v>0</v>
      </c>
      <c r="O988" s="350">
        <v>0</v>
      </c>
      <c r="P988" s="347">
        <v>4286</v>
      </c>
      <c r="Q988" s="232">
        <v>2500</v>
      </c>
      <c r="R988" s="231">
        <v>2500</v>
      </c>
      <c r="S988" s="231">
        <v>2500</v>
      </c>
      <c r="T988" s="231">
        <v>2500</v>
      </c>
      <c r="U988" s="231">
        <v>2500</v>
      </c>
      <c r="V988" s="231">
        <v>2500</v>
      </c>
    </row>
    <row r="989" spans="1:22" ht="24" customHeight="1">
      <c r="A989" s="421" t="s">
        <v>939</v>
      </c>
      <c r="B989" s="337"/>
      <c r="C989" s="337"/>
      <c r="D989" s="421" t="s">
        <v>300</v>
      </c>
      <c r="E989" s="337"/>
      <c r="F989" s="337"/>
      <c r="G989" s="337"/>
      <c r="H989" s="337"/>
      <c r="I989" s="337"/>
      <c r="J989" s="337"/>
      <c r="K989" s="337"/>
      <c r="L989" s="229"/>
      <c r="M989" s="247"/>
      <c r="N989" s="346">
        <v>0</v>
      </c>
      <c r="O989" s="350">
        <v>0</v>
      </c>
      <c r="P989" s="347">
        <v>37692</v>
      </c>
      <c r="Q989" s="232">
        <v>27500</v>
      </c>
      <c r="R989" s="231">
        <v>28184</v>
      </c>
      <c r="S989" s="231">
        <v>29875</v>
      </c>
      <c r="T989" s="231">
        <v>31668</v>
      </c>
      <c r="U989" s="231">
        <v>33568</v>
      </c>
      <c r="V989" s="231">
        <v>35582</v>
      </c>
    </row>
    <row r="990" spans="1:22" ht="24" customHeight="1">
      <c r="A990" s="421" t="s">
        <v>689</v>
      </c>
      <c r="B990" s="422"/>
      <c r="C990" s="422"/>
      <c r="D990" s="421" t="s">
        <v>108</v>
      </c>
      <c r="E990" s="422"/>
      <c r="F990" s="422"/>
      <c r="G990" s="422"/>
      <c r="H990" s="422"/>
      <c r="I990" s="422"/>
      <c r="J990" s="422"/>
      <c r="K990" s="422"/>
      <c r="L990" s="237"/>
      <c r="M990" s="247"/>
      <c r="N990" s="346">
        <v>949</v>
      </c>
      <c r="O990" s="348">
        <v>0</v>
      </c>
      <c r="P990" s="349">
        <v>0</v>
      </c>
      <c r="Q990" s="236">
        <v>500</v>
      </c>
      <c r="R990" s="235">
        <v>500</v>
      </c>
      <c r="S990" s="235">
        <v>500</v>
      </c>
      <c r="T990" s="235">
        <v>500</v>
      </c>
      <c r="U990" s="235">
        <v>500</v>
      </c>
      <c r="V990" s="235">
        <v>500</v>
      </c>
    </row>
    <row r="991" spans="1:22" ht="24" customHeight="1">
      <c r="A991" s="421" t="s">
        <v>690</v>
      </c>
      <c r="B991" s="422"/>
      <c r="C991" s="422"/>
      <c r="D991" s="421" t="s">
        <v>1487</v>
      </c>
      <c r="E991" s="422"/>
      <c r="F991" s="422"/>
      <c r="G991" s="422"/>
      <c r="H991" s="422"/>
      <c r="I991" s="422"/>
      <c r="J991" s="422"/>
      <c r="K991" s="422"/>
      <c r="L991" s="237"/>
      <c r="M991" s="247"/>
      <c r="N991" s="346">
        <v>593</v>
      </c>
      <c r="O991" s="350">
        <v>215</v>
      </c>
      <c r="P991" s="347">
        <v>500</v>
      </c>
      <c r="Q991" s="232">
        <v>1000</v>
      </c>
      <c r="R991" s="231">
        <v>600</v>
      </c>
      <c r="S991" s="231">
        <v>600</v>
      </c>
      <c r="T991" s="231">
        <v>600</v>
      </c>
      <c r="U991" s="231">
        <v>600</v>
      </c>
      <c r="V991" s="231">
        <v>600</v>
      </c>
    </row>
    <row r="992" spans="1:22" ht="24" customHeight="1">
      <c r="A992" s="421" t="s">
        <v>691</v>
      </c>
      <c r="B992" s="422"/>
      <c r="C992" s="422"/>
      <c r="D992" s="421" t="s">
        <v>16</v>
      </c>
      <c r="E992" s="422"/>
      <c r="F992" s="422"/>
      <c r="G992" s="422"/>
      <c r="H992" s="422"/>
      <c r="I992" s="422"/>
      <c r="J992" s="422"/>
      <c r="K992" s="422"/>
      <c r="L992" s="237"/>
      <c r="M992" s="247"/>
      <c r="N992" s="346">
        <v>112</v>
      </c>
      <c r="O992" s="348">
        <v>0</v>
      </c>
      <c r="P992" s="349">
        <v>0</v>
      </c>
      <c r="Q992" s="236">
        <v>0</v>
      </c>
      <c r="R992" s="235">
        <v>0</v>
      </c>
      <c r="S992" s="235">
        <v>0</v>
      </c>
      <c r="T992" s="235">
        <v>0</v>
      </c>
      <c r="U992" s="235">
        <v>0</v>
      </c>
      <c r="V992" s="235">
        <v>0</v>
      </c>
    </row>
    <row r="993" spans="1:22" ht="24" customHeight="1">
      <c r="A993" s="421" t="s">
        <v>692</v>
      </c>
      <c r="B993" s="422"/>
      <c r="C993" s="422"/>
      <c r="D993" s="421" t="s">
        <v>107</v>
      </c>
      <c r="E993" s="422"/>
      <c r="F993" s="422"/>
      <c r="G993" s="422"/>
      <c r="H993" s="422"/>
      <c r="I993" s="422"/>
      <c r="J993" s="422"/>
      <c r="K993" s="422"/>
      <c r="L993" s="237"/>
      <c r="M993" s="247"/>
      <c r="N993" s="346">
        <v>130</v>
      </c>
      <c r="O993" s="348">
        <v>0</v>
      </c>
      <c r="P993" s="349">
        <v>100</v>
      </c>
      <c r="Q993" s="236">
        <v>100</v>
      </c>
      <c r="R993" s="235">
        <v>100</v>
      </c>
      <c r="S993" s="235">
        <v>100</v>
      </c>
      <c r="T993" s="235">
        <v>100</v>
      </c>
      <c r="U993" s="235">
        <v>100</v>
      </c>
      <c r="V993" s="235">
        <v>100</v>
      </c>
    </row>
    <row r="994" spans="1:22" ht="24" customHeight="1">
      <c r="A994" s="421" t="s">
        <v>693</v>
      </c>
      <c r="B994" s="337"/>
      <c r="C994" s="337"/>
      <c r="D994" s="421" t="s">
        <v>294</v>
      </c>
      <c r="E994" s="337"/>
      <c r="F994" s="337"/>
      <c r="G994" s="337"/>
      <c r="H994" s="337"/>
      <c r="I994" s="337"/>
      <c r="J994" s="337"/>
      <c r="K994" s="337"/>
      <c r="L994" s="229"/>
      <c r="M994" s="247"/>
      <c r="N994" s="346">
        <v>9055</v>
      </c>
      <c r="O994" s="348">
        <v>8609</v>
      </c>
      <c r="P994" s="349">
        <v>8500</v>
      </c>
      <c r="Q994" s="236">
        <v>10500</v>
      </c>
      <c r="R994" s="235">
        <v>11000</v>
      </c>
      <c r="S994" s="235">
        <v>11000</v>
      </c>
      <c r="T994" s="235">
        <v>11000</v>
      </c>
      <c r="U994" s="235">
        <v>11000</v>
      </c>
      <c r="V994" s="235">
        <v>11000</v>
      </c>
    </row>
    <row r="995" spans="1:22" ht="24" customHeight="1">
      <c r="A995" s="421" t="s">
        <v>694</v>
      </c>
      <c r="B995" s="422"/>
      <c r="C995" s="422"/>
      <c r="D995" s="421" t="s">
        <v>106</v>
      </c>
      <c r="E995" s="422"/>
      <c r="F995" s="422"/>
      <c r="G995" s="422"/>
      <c r="H995" s="422"/>
      <c r="I995" s="422"/>
      <c r="J995" s="422"/>
      <c r="K995" s="422"/>
      <c r="L995" s="237"/>
      <c r="M995" s="247"/>
      <c r="N995" s="346">
        <v>2104</v>
      </c>
      <c r="O995" s="348">
        <v>538</v>
      </c>
      <c r="P995" s="349">
        <v>1000</v>
      </c>
      <c r="Q995" s="236">
        <v>300</v>
      </c>
      <c r="R995" s="235">
        <v>500</v>
      </c>
      <c r="S995" s="235">
        <v>500</v>
      </c>
      <c r="T995" s="235">
        <v>500</v>
      </c>
      <c r="U995" s="235">
        <v>500</v>
      </c>
      <c r="V995" s="235">
        <v>500</v>
      </c>
    </row>
    <row r="996" spans="1:22" ht="24" customHeight="1">
      <c r="A996" s="421" t="s">
        <v>695</v>
      </c>
      <c r="B996" s="337"/>
      <c r="C996" s="337"/>
      <c r="D996" s="421" t="s">
        <v>1489</v>
      </c>
      <c r="E996" s="337"/>
      <c r="F996" s="337"/>
      <c r="G996" s="337"/>
      <c r="H996" s="337"/>
      <c r="I996" s="337"/>
      <c r="J996" s="337"/>
      <c r="K996" s="337"/>
      <c r="L996" s="229"/>
      <c r="M996" s="247"/>
      <c r="N996" s="346">
        <v>11290</v>
      </c>
      <c r="O996" s="348">
        <v>7495</v>
      </c>
      <c r="P996" s="349">
        <v>14000</v>
      </c>
      <c r="Q996" s="236">
        <v>12000</v>
      </c>
      <c r="R996" s="235">
        <v>12000</v>
      </c>
      <c r="S996" s="235">
        <v>12000</v>
      </c>
      <c r="T996" s="235">
        <v>12000</v>
      </c>
      <c r="U996" s="235">
        <v>12000</v>
      </c>
      <c r="V996" s="235">
        <v>12000</v>
      </c>
    </row>
    <row r="997" spans="1:22" ht="24" customHeight="1">
      <c r="A997" s="421" t="s">
        <v>696</v>
      </c>
      <c r="B997" s="337"/>
      <c r="C997" s="337"/>
      <c r="D997" s="421" t="s">
        <v>10</v>
      </c>
      <c r="E997" s="337"/>
      <c r="F997" s="337"/>
      <c r="G997" s="337"/>
      <c r="H997" s="337"/>
      <c r="I997" s="337"/>
      <c r="J997" s="337"/>
      <c r="K997" s="337"/>
      <c r="L997" s="229"/>
      <c r="M997" s="247"/>
      <c r="N997" s="346">
        <v>31824</v>
      </c>
      <c r="O997" s="348">
        <v>29909</v>
      </c>
      <c r="P997" s="349">
        <v>29000</v>
      </c>
      <c r="Q997" s="236">
        <v>29000</v>
      </c>
      <c r="R997" s="235">
        <v>29000</v>
      </c>
      <c r="S997" s="235">
        <v>29000</v>
      </c>
      <c r="T997" s="235">
        <v>29000</v>
      </c>
      <c r="U997" s="235">
        <v>29000</v>
      </c>
      <c r="V997" s="235">
        <v>29000</v>
      </c>
    </row>
    <row r="998" spans="1:22" ht="24" customHeight="1">
      <c r="A998" s="421" t="s">
        <v>697</v>
      </c>
      <c r="B998" s="337"/>
      <c r="C998" s="337"/>
      <c r="D998" s="421" t="s">
        <v>173</v>
      </c>
      <c r="E998" s="337"/>
      <c r="F998" s="337"/>
      <c r="G998" s="422"/>
      <c r="H998" s="422"/>
      <c r="I998" s="422"/>
      <c r="J998" s="422"/>
      <c r="K998" s="422"/>
      <c r="L998" s="237"/>
      <c r="M998" s="247"/>
      <c r="N998" s="346">
        <v>4175</v>
      </c>
      <c r="O998" s="348">
        <v>0</v>
      </c>
      <c r="P998" s="349">
        <v>2000</v>
      </c>
      <c r="Q998" s="236">
        <v>2000</v>
      </c>
      <c r="R998" s="235">
        <v>2000</v>
      </c>
      <c r="S998" s="235">
        <v>2000</v>
      </c>
      <c r="T998" s="235">
        <v>2000</v>
      </c>
      <c r="U998" s="235">
        <v>2000</v>
      </c>
      <c r="V998" s="235">
        <v>2000</v>
      </c>
    </row>
    <row r="999" spans="1:22" ht="24" customHeight="1">
      <c r="A999" s="421" t="s">
        <v>698</v>
      </c>
      <c r="B999" s="337"/>
      <c r="C999" s="337"/>
      <c r="D999" s="421" t="s">
        <v>699</v>
      </c>
      <c r="E999" s="337"/>
      <c r="F999" s="337"/>
      <c r="G999" s="443"/>
      <c r="H999" s="443"/>
      <c r="I999" s="443"/>
      <c r="J999" s="443"/>
      <c r="K999" s="443"/>
      <c r="L999" s="322"/>
      <c r="M999" s="247"/>
      <c r="N999" s="346">
        <v>48567</v>
      </c>
      <c r="O999" s="348">
        <v>28210</v>
      </c>
      <c r="P999" s="349">
        <v>35000</v>
      </c>
      <c r="Q999" s="236">
        <v>35000</v>
      </c>
      <c r="R999" s="235">
        <v>35000</v>
      </c>
      <c r="S999" s="235">
        <v>35000</v>
      </c>
      <c r="T999" s="235">
        <v>35000</v>
      </c>
      <c r="U999" s="235">
        <v>35000</v>
      </c>
      <c r="V999" s="235">
        <v>35000</v>
      </c>
    </row>
    <row r="1000" spans="1:22" ht="24" customHeight="1">
      <c r="A1000" s="421" t="s">
        <v>700</v>
      </c>
      <c r="B1000" s="422"/>
      <c r="C1000" s="422"/>
      <c r="D1000" s="421" t="s">
        <v>21</v>
      </c>
      <c r="E1000" s="422"/>
      <c r="F1000" s="422"/>
      <c r="G1000" s="422"/>
      <c r="H1000" s="422"/>
      <c r="I1000" s="422"/>
      <c r="J1000" s="422"/>
      <c r="K1000" s="422"/>
      <c r="L1000" s="237"/>
      <c r="M1000" s="247"/>
      <c r="N1000" s="346">
        <v>11484</v>
      </c>
      <c r="O1000" s="350">
        <v>8872</v>
      </c>
      <c r="P1000" s="347">
        <v>15750</v>
      </c>
      <c r="Q1000" s="232">
        <v>12000</v>
      </c>
      <c r="R1000" s="231">
        <v>12600</v>
      </c>
      <c r="S1000" s="231">
        <v>13230</v>
      </c>
      <c r="T1000" s="231">
        <v>13892</v>
      </c>
      <c r="U1000" s="231">
        <v>14586</v>
      </c>
      <c r="V1000" s="231">
        <v>15315</v>
      </c>
    </row>
    <row r="1001" spans="1:22" ht="24" customHeight="1">
      <c r="A1001" s="421" t="s">
        <v>701</v>
      </c>
      <c r="B1001" s="422"/>
      <c r="C1001" s="422"/>
      <c r="D1001" s="421" t="s">
        <v>102</v>
      </c>
      <c r="E1001" s="422"/>
      <c r="F1001" s="422"/>
      <c r="G1001" s="337"/>
      <c r="H1001" s="337"/>
      <c r="I1001" s="337"/>
      <c r="J1001" s="337"/>
      <c r="K1001" s="337"/>
      <c r="L1001" s="229"/>
      <c r="M1001" s="247"/>
      <c r="N1001" s="346">
        <v>1007</v>
      </c>
      <c r="O1001" s="377">
        <v>0</v>
      </c>
      <c r="P1001" s="378">
        <v>0</v>
      </c>
      <c r="Q1001" s="284">
        <v>0</v>
      </c>
      <c r="R1001" s="283">
        <v>0</v>
      </c>
      <c r="S1001" s="283">
        <v>0</v>
      </c>
      <c r="T1001" s="283">
        <v>0</v>
      </c>
      <c r="U1001" s="283">
        <v>0</v>
      </c>
      <c r="V1001" s="283">
        <v>0</v>
      </c>
    </row>
    <row r="1002" spans="1:22" ht="24" customHeight="1">
      <c r="A1002" s="421" t="s">
        <v>702</v>
      </c>
      <c r="B1002" s="422"/>
      <c r="C1002" s="422"/>
      <c r="D1002" s="421" t="s">
        <v>1491</v>
      </c>
      <c r="E1002" s="422"/>
      <c r="F1002" s="422"/>
      <c r="G1002" s="422"/>
      <c r="H1002" s="422"/>
      <c r="I1002" s="422"/>
      <c r="J1002" s="422"/>
      <c r="K1002" s="422"/>
      <c r="L1002" s="237"/>
      <c r="M1002" s="247"/>
      <c r="N1002" s="346">
        <v>28388</v>
      </c>
      <c r="O1002" s="372">
        <v>4276</v>
      </c>
      <c r="P1002" s="379">
        <v>5000</v>
      </c>
      <c r="Q1002" s="285">
        <v>5000</v>
      </c>
      <c r="R1002" s="276">
        <v>5000</v>
      </c>
      <c r="S1002" s="276">
        <v>5000</v>
      </c>
      <c r="T1002" s="276">
        <v>5000</v>
      </c>
      <c r="U1002" s="276">
        <v>5000</v>
      </c>
      <c r="V1002" s="276">
        <v>5000</v>
      </c>
    </row>
    <row r="1003" spans="1:22" ht="24" customHeight="1">
      <c r="A1003" s="421" t="s">
        <v>977</v>
      </c>
      <c r="B1003" s="422"/>
      <c r="C1003" s="422"/>
      <c r="D1003" s="421" t="s">
        <v>417</v>
      </c>
      <c r="E1003" s="422"/>
      <c r="F1003" s="422"/>
      <c r="G1003" s="422"/>
      <c r="H1003" s="422"/>
      <c r="I1003" s="422"/>
      <c r="J1003" s="422"/>
      <c r="K1003" s="422"/>
      <c r="L1003" s="237"/>
      <c r="M1003" s="247"/>
      <c r="N1003" s="346">
        <v>0</v>
      </c>
      <c r="O1003" s="372">
        <v>0</v>
      </c>
      <c r="P1003" s="379">
        <v>749</v>
      </c>
      <c r="Q1003" s="285">
        <v>749</v>
      </c>
      <c r="R1003" s="276">
        <v>749</v>
      </c>
      <c r="S1003" s="276">
        <v>749</v>
      </c>
      <c r="T1003" s="276">
        <v>749</v>
      </c>
      <c r="U1003" s="276">
        <v>749</v>
      </c>
      <c r="V1003" s="276">
        <v>749</v>
      </c>
    </row>
    <row r="1004" spans="1:22" ht="24" customHeight="1">
      <c r="A1004" s="421" t="s">
        <v>703</v>
      </c>
      <c r="B1004" s="422"/>
      <c r="C1004" s="422"/>
      <c r="D1004" s="421" t="s">
        <v>11</v>
      </c>
      <c r="E1004" s="422"/>
      <c r="F1004" s="422"/>
      <c r="G1004" s="422"/>
      <c r="H1004" s="422"/>
      <c r="I1004" s="422"/>
      <c r="J1004" s="422"/>
      <c r="K1004" s="422"/>
      <c r="L1004" s="237"/>
      <c r="M1004" s="247"/>
      <c r="N1004" s="346">
        <v>8784</v>
      </c>
      <c r="O1004" s="350">
        <v>5005</v>
      </c>
      <c r="P1004" s="347">
        <v>8000</v>
      </c>
      <c r="Q1004" s="232">
        <v>8000</v>
      </c>
      <c r="R1004" s="231">
        <v>8000</v>
      </c>
      <c r="S1004" s="231">
        <v>8000</v>
      </c>
      <c r="T1004" s="231">
        <v>8000</v>
      </c>
      <c r="U1004" s="231">
        <v>8000</v>
      </c>
      <c r="V1004" s="231">
        <v>8000</v>
      </c>
    </row>
    <row r="1005" spans="1:22" ht="24" customHeight="1">
      <c r="A1005" s="421" t="s">
        <v>704</v>
      </c>
      <c r="B1005" s="422"/>
      <c r="C1005" s="422"/>
      <c r="D1005" s="421" t="s">
        <v>13</v>
      </c>
      <c r="E1005" s="422"/>
      <c r="F1005" s="422"/>
      <c r="G1005" s="422"/>
      <c r="H1005" s="422"/>
      <c r="I1005" s="422"/>
      <c r="J1005" s="422"/>
      <c r="K1005" s="422"/>
      <c r="L1005" s="237"/>
      <c r="M1005" s="247"/>
      <c r="N1005" s="346">
        <v>6995</v>
      </c>
      <c r="O1005" s="348">
        <v>4694</v>
      </c>
      <c r="P1005" s="349">
        <v>7500</v>
      </c>
      <c r="Q1005" s="236">
        <v>8000</v>
      </c>
      <c r="R1005" s="235">
        <v>8000</v>
      </c>
      <c r="S1005" s="235">
        <v>8000</v>
      </c>
      <c r="T1005" s="235">
        <v>8000</v>
      </c>
      <c r="U1005" s="235">
        <v>8000</v>
      </c>
      <c r="V1005" s="235">
        <v>8000</v>
      </c>
    </row>
    <row r="1006" spans="1:22" ht="24" customHeight="1">
      <c r="A1006" s="421" t="s">
        <v>705</v>
      </c>
      <c r="B1006" s="422"/>
      <c r="C1006" s="422"/>
      <c r="D1006" s="421" t="s">
        <v>304</v>
      </c>
      <c r="E1006" s="422"/>
      <c r="F1006" s="422"/>
      <c r="G1006" s="422"/>
      <c r="H1006" s="422"/>
      <c r="I1006" s="422"/>
      <c r="J1006" s="422"/>
      <c r="K1006" s="422"/>
      <c r="L1006" s="237"/>
      <c r="M1006" s="247"/>
      <c r="N1006" s="346">
        <v>7637</v>
      </c>
      <c r="O1006" s="350">
        <v>0</v>
      </c>
      <c r="P1006" s="347">
        <v>0</v>
      </c>
      <c r="Q1006" s="232">
        <v>1550</v>
      </c>
      <c r="R1006" s="231">
        <v>0</v>
      </c>
      <c r="S1006" s="231">
        <v>0</v>
      </c>
      <c r="T1006" s="231">
        <v>0</v>
      </c>
      <c r="U1006" s="231">
        <v>0</v>
      </c>
      <c r="V1006" s="231">
        <v>0</v>
      </c>
    </row>
    <row r="1007" spans="1:22" ht="24" customHeight="1">
      <c r="A1007" s="421" t="s">
        <v>706</v>
      </c>
      <c r="B1007" s="422"/>
      <c r="C1007" s="422"/>
      <c r="D1007" s="421" t="s">
        <v>1490</v>
      </c>
      <c r="E1007" s="422"/>
      <c r="F1007" s="422"/>
      <c r="G1007" s="422"/>
      <c r="H1007" s="422"/>
      <c r="I1007" s="422"/>
      <c r="J1007" s="422"/>
      <c r="K1007" s="422"/>
      <c r="L1007" s="237"/>
      <c r="M1007" s="247"/>
      <c r="N1007" s="346">
        <v>2180</v>
      </c>
      <c r="O1007" s="346">
        <v>0</v>
      </c>
      <c r="P1007" s="347">
        <v>0</v>
      </c>
      <c r="Q1007" s="232">
        <v>0</v>
      </c>
      <c r="R1007" s="231">
        <v>0</v>
      </c>
      <c r="S1007" s="231">
        <v>0</v>
      </c>
      <c r="T1007" s="231">
        <v>0</v>
      </c>
      <c r="U1007" s="231">
        <v>0</v>
      </c>
      <c r="V1007" s="231">
        <v>0</v>
      </c>
    </row>
    <row r="1008" spans="1:22" ht="24" customHeight="1">
      <c r="A1008" s="421" t="s">
        <v>707</v>
      </c>
      <c r="B1008" s="422"/>
      <c r="C1008" s="422"/>
      <c r="D1008" s="421" t="s">
        <v>708</v>
      </c>
      <c r="E1008" s="422"/>
      <c r="F1008" s="422"/>
      <c r="G1008" s="422"/>
      <c r="H1008" s="422"/>
      <c r="I1008" s="422"/>
      <c r="J1008" s="422"/>
      <c r="K1008" s="422"/>
      <c r="L1008" s="237"/>
      <c r="M1008" s="247"/>
      <c r="N1008" s="346">
        <v>8172</v>
      </c>
      <c r="O1008" s="351">
        <v>225</v>
      </c>
      <c r="P1008" s="352">
        <v>2000</v>
      </c>
      <c r="Q1008" s="242">
        <f t="shared" ref="Q1008:V1008" si="96">Q966</f>
        <v>950</v>
      </c>
      <c r="R1008" s="241">
        <f t="shared" si="96"/>
        <v>1000</v>
      </c>
      <c r="S1008" s="241">
        <f t="shared" si="96"/>
        <v>1000</v>
      </c>
      <c r="T1008" s="241">
        <f t="shared" si="96"/>
        <v>1000</v>
      </c>
      <c r="U1008" s="241">
        <f t="shared" si="96"/>
        <v>1000</v>
      </c>
      <c r="V1008" s="241">
        <f t="shared" si="96"/>
        <v>1000</v>
      </c>
    </row>
    <row r="1009" spans="1:22" ht="24" customHeight="1">
      <c r="A1009" s="421" t="s">
        <v>709</v>
      </c>
      <c r="B1009" s="337"/>
      <c r="C1009" s="337"/>
      <c r="D1009" s="421" t="s">
        <v>710</v>
      </c>
      <c r="E1009" s="337"/>
      <c r="F1009" s="337"/>
      <c r="G1009" s="337"/>
      <c r="H1009" s="337"/>
      <c r="I1009" s="337"/>
      <c r="J1009" s="337"/>
      <c r="K1009" s="337"/>
      <c r="L1009" s="229"/>
      <c r="M1009" s="247"/>
      <c r="N1009" s="346">
        <v>93</v>
      </c>
      <c r="O1009" s="350">
        <v>0</v>
      </c>
      <c r="P1009" s="347">
        <v>0</v>
      </c>
      <c r="Q1009" s="232">
        <v>0</v>
      </c>
      <c r="R1009" s="231">
        <v>0</v>
      </c>
      <c r="S1009" s="231">
        <v>0</v>
      </c>
      <c r="T1009" s="231">
        <v>0</v>
      </c>
      <c r="U1009" s="231">
        <v>0</v>
      </c>
      <c r="V1009" s="231">
        <v>0</v>
      </c>
    </row>
    <row r="1010" spans="1:22" ht="24" customHeight="1">
      <c r="A1010" s="421" t="s">
        <v>711</v>
      </c>
      <c r="B1010" s="337"/>
      <c r="C1010" s="337"/>
      <c r="D1010" s="421" t="s">
        <v>712</v>
      </c>
      <c r="E1010" s="337"/>
      <c r="F1010" s="337"/>
      <c r="G1010" s="337"/>
      <c r="H1010" s="337"/>
      <c r="I1010" s="337"/>
      <c r="J1010" s="337"/>
      <c r="K1010" s="337"/>
      <c r="L1010" s="229"/>
      <c r="M1010" s="247"/>
      <c r="N1010" s="346">
        <v>30312</v>
      </c>
      <c r="O1010" s="351">
        <v>0</v>
      </c>
      <c r="P1010" s="352">
        <v>0</v>
      </c>
      <c r="Q1010" s="242">
        <v>0</v>
      </c>
      <c r="R1010" s="241">
        <v>0</v>
      </c>
      <c r="S1010" s="241">
        <v>0</v>
      </c>
      <c r="T1010" s="241">
        <v>0</v>
      </c>
      <c r="U1010" s="241">
        <v>0</v>
      </c>
      <c r="V1010" s="241">
        <v>0</v>
      </c>
    </row>
    <row r="1011" spans="1:22" ht="24" customHeight="1">
      <c r="A1011" s="421" t="s">
        <v>713</v>
      </c>
      <c r="B1011" s="337"/>
      <c r="C1011" s="337"/>
      <c r="D1011" s="421" t="s">
        <v>714</v>
      </c>
      <c r="E1011" s="337"/>
      <c r="F1011" s="337"/>
      <c r="G1011" s="337"/>
      <c r="H1011" s="337"/>
      <c r="I1011" s="337"/>
      <c r="J1011" s="337"/>
      <c r="K1011" s="337"/>
      <c r="L1011" s="229"/>
      <c r="M1011" s="247"/>
      <c r="N1011" s="346">
        <v>40713</v>
      </c>
      <c r="O1011" s="351">
        <v>0</v>
      </c>
      <c r="P1011" s="352">
        <v>0</v>
      </c>
      <c r="Q1011" s="242">
        <v>0</v>
      </c>
      <c r="R1011" s="241">
        <v>0</v>
      </c>
      <c r="S1011" s="241">
        <v>0</v>
      </c>
      <c r="T1011" s="241">
        <v>0</v>
      </c>
      <c r="U1011" s="241">
        <v>0</v>
      </c>
      <c r="V1011" s="241">
        <v>0</v>
      </c>
    </row>
    <row r="1012" spans="1:22" ht="24" customHeight="1">
      <c r="A1012" s="421" t="s">
        <v>715</v>
      </c>
      <c r="B1012" s="337"/>
      <c r="C1012" s="337"/>
      <c r="D1012" s="421" t="s">
        <v>716</v>
      </c>
      <c r="E1012" s="337"/>
      <c r="F1012" s="337"/>
      <c r="G1012" s="337"/>
      <c r="H1012" s="337"/>
      <c r="I1012" s="337"/>
      <c r="J1012" s="337"/>
      <c r="K1012" s="337"/>
      <c r="L1012" s="229"/>
      <c r="M1012" s="247"/>
      <c r="N1012" s="346">
        <v>11394</v>
      </c>
      <c r="O1012" s="346">
        <v>0</v>
      </c>
      <c r="P1012" s="347">
        <v>0</v>
      </c>
      <c r="Q1012" s="232">
        <v>0</v>
      </c>
      <c r="R1012" s="231">
        <v>0</v>
      </c>
      <c r="S1012" s="231">
        <v>0</v>
      </c>
      <c r="T1012" s="231">
        <v>0</v>
      </c>
      <c r="U1012" s="231">
        <v>0</v>
      </c>
      <c r="V1012" s="231">
        <v>0</v>
      </c>
    </row>
    <row r="1013" spans="1:22" ht="24" customHeight="1">
      <c r="A1013" s="421" t="s">
        <v>717</v>
      </c>
      <c r="B1013" s="337"/>
      <c r="C1013" s="337"/>
      <c r="D1013" s="421" t="s">
        <v>718</v>
      </c>
      <c r="E1013" s="337"/>
      <c r="F1013" s="337"/>
      <c r="G1013" s="337"/>
      <c r="H1013" s="337"/>
      <c r="I1013" s="337"/>
      <c r="J1013" s="337"/>
      <c r="K1013" s="337"/>
      <c r="L1013" s="229"/>
      <c r="M1013" s="247"/>
      <c r="N1013" s="346">
        <v>9526</v>
      </c>
      <c r="O1013" s="351">
        <v>0</v>
      </c>
      <c r="P1013" s="352">
        <v>0</v>
      </c>
      <c r="Q1013" s="242">
        <v>0</v>
      </c>
      <c r="R1013" s="241">
        <v>0</v>
      </c>
      <c r="S1013" s="241">
        <v>0</v>
      </c>
      <c r="T1013" s="241">
        <v>0</v>
      </c>
      <c r="U1013" s="241">
        <v>0</v>
      </c>
      <c r="V1013" s="241">
        <v>0</v>
      </c>
    </row>
    <row r="1014" spans="1:22" ht="24" customHeight="1">
      <c r="A1014" s="421" t="s">
        <v>719</v>
      </c>
      <c r="B1014" s="337"/>
      <c r="C1014" s="337"/>
      <c r="D1014" s="421" t="s">
        <v>1497</v>
      </c>
      <c r="E1014" s="337"/>
      <c r="F1014" s="337"/>
      <c r="G1014" s="337"/>
      <c r="H1014" s="337"/>
      <c r="I1014" s="337"/>
      <c r="J1014" s="337"/>
      <c r="K1014" s="337"/>
      <c r="L1014" s="229"/>
      <c r="M1014" s="247"/>
      <c r="N1014" s="346">
        <v>2122</v>
      </c>
      <c r="O1014" s="351">
        <v>0</v>
      </c>
      <c r="P1014" s="352">
        <v>0</v>
      </c>
      <c r="Q1014" s="242">
        <v>0</v>
      </c>
      <c r="R1014" s="241">
        <v>0</v>
      </c>
      <c r="S1014" s="241">
        <v>0</v>
      </c>
      <c r="T1014" s="241">
        <v>0</v>
      </c>
      <c r="U1014" s="241">
        <v>0</v>
      </c>
      <c r="V1014" s="241">
        <v>0</v>
      </c>
    </row>
    <row r="1015" spans="1:22" ht="24" customHeight="1">
      <c r="A1015" s="421" t="s">
        <v>720</v>
      </c>
      <c r="B1015" s="337"/>
      <c r="C1015" s="337"/>
      <c r="D1015" s="421" t="s">
        <v>721</v>
      </c>
      <c r="E1015" s="337"/>
      <c r="F1015" s="337"/>
      <c r="G1015" s="337"/>
      <c r="H1015" s="337"/>
      <c r="I1015" s="337"/>
      <c r="J1015" s="337"/>
      <c r="K1015" s="337"/>
      <c r="L1015" s="229"/>
      <c r="M1015" s="247"/>
      <c r="N1015" s="346">
        <v>7715</v>
      </c>
      <c r="O1015" s="351">
        <v>1260</v>
      </c>
      <c r="P1015" s="352">
        <v>2000</v>
      </c>
      <c r="Q1015" s="242">
        <v>2000</v>
      </c>
      <c r="R1015" s="241">
        <v>2000</v>
      </c>
      <c r="S1015" s="241">
        <v>2000</v>
      </c>
      <c r="T1015" s="241">
        <v>2000</v>
      </c>
      <c r="U1015" s="241">
        <v>2000</v>
      </c>
      <c r="V1015" s="241">
        <v>2000</v>
      </c>
    </row>
    <row r="1016" spans="1:22" ht="24" customHeight="1">
      <c r="A1016" s="421" t="s">
        <v>722</v>
      </c>
      <c r="B1016" s="337"/>
      <c r="C1016" s="337"/>
      <c r="D1016" s="421" t="s">
        <v>64</v>
      </c>
      <c r="E1016" s="337"/>
      <c r="F1016" s="337"/>
      <c r="G1016" s="337"/>
      <c r="H1016" s="337"/>
      <c r="I1016" s="337"/>
      <c r="J1016" s="337"/>
      <c r="K1016" s="337"/>
      <c r="L1016" s="229"/>
      <c r="M1016" s="247"/>
      <c r="N1016" s="346">
        <v>42766</v>
      </c>
      <c r="O1016" s="351">
        <v>4681</v>
      </c>
      <c r="P1016" s="352">
        <v>0</v>
      </c>
      <c r="Q1016" s="242">
        <v>0</v>
      </c>
      <c r="R1016" s="241">
        <v>0</v>
      </c>
      <c r="S1016" s="241">
        <v>0</v>
      </c>
      <c r="T1016" s="241">
        <v>0</v>
      </c>
      <c r="U1016" s="241">
        <v>0</v>
      </c>
      <c r="V1016" s="241">
        <v>0</v>
      </c>
    </row>
    <row r="1017" spans="1:22" ht="24" customHeight="1">
      <c r="A1017" s="421" t="s">
        <v>723</v>
      </c>
      <c r="B1017" s="337"/>
      <c r="C1017" s="337"/>
      <c r="D1017" s="421" t="s">
        <v>1498</v>
      </c>
      <c r="E1017" s="337"/>
      <c r="F1017" s="337"/>
      <c r="G1017" s="337"/>
      <c r="H1017" s="337"/>
      <c r="I1017" s="337"/>
      <c r="J1017" s="337"/>
      <c r="K1017" s="337"/>
      <c r="L1017" s="229"/>
      <c r="M1017" s="247"/>
      <c r="N1017" s="346">
        <v>1622</v>
      </c>
      <c r="O1017" s="351">
        <v>5627</v>
      </c>
      <c r="P1017" s="352">
        <v>2000</v>
      </c>
      <c r="Q1017" s="242">
        <f t="shared" ref="Q1017:V1017" si="97">Q972</f>
        <v>2000</v>
      </c>
      <c r="R1017" s="241">
        <f t="shared" si="97"/>
        <v>2000</v>
      </c>
      <c r="S1017" s="241">
        <f t="shared" si="97"/>
        <v>2000</v>
      </c>
      <c r="T1017" s="241">
        <f t="shared" si="97"/>
        <v>2000</v>
      </c>
      <c r="U1017" s="241">
        <f t="shared" si="97"/>
        <v>2000</v>
      </c>
      <c r="V1017" s="241">
        <f t="shared" si="97"/>
        <v>2000</v>
      </c>
    </row>
    <row r="1018" spans="1:22" ht="24" customHeight="1">
      <c r="A1018" s="421" t="s">
        <v>724</v>
      </c>
      <c r="B1018" s="337"/>
      <c r="C1018" s="337"/>
      <c r="D1018" s="421" t="s">
        <v>15</v>
      </c>
      <c r="E1018" s="337"/>
      <c r="F1018" s="337"/>
      <c r="G1018" s="337"/>
      <c r="H1018" s="337"/>
      <c r="I1018" s="337"/>
      <c r="J1018" s="337"/>
      <c r="K1018" s="337"/>
      <c r="L1018" s="229"/>
      <c r="M1018" s="247"/>
      <c r="N1018" s="346">
        <v>800</v>
      </c>
      <c r="O1018" s="350">
        <v>131</v>
      </c>
      <c r="P1018" s="353">
        <v>250</v>
      </c>
      <c r="Q1018" s="243">
        <v>250</v>
      </c>
      <c r="R1018" s="239">
        <v>250</v>
      </c>
      <c r="S1018" s="239">
        <v>250</v>
      </c>
      <c r="T1018" s="239">
        <v>250</v>
      </c>
      <c r="U1018" s="239">
        <v>250</v>
      </c>
      <c r="V1018" s="239">
        <v>250</v>
      </c>
    </row>
    <row r="1019" spans="1:22" ht="24" customHeight="1">
      <c r="A1019" s="421" t="s">
        <v>725</v>
      </c>
      <c r="B1019" s="337"/>
      <c r="C1019" s="337"/>
      <c r="D1019" s="421" t="s">
        <v>113</v>
      </c>
      <c r="E1019" s="337"/>
      <c r="F1019" s="337"/>
      <c r="G1019" s="337"/>
      <c r="H1019" s="337"/>
      <c r="I1019" s="337"/>
      <c r="J1019" s="337"/>
      <c r="K1019" s="337"/>
      <c r="L1019" s="229"/>
      <c r="M1019" s="247"/>
      <c r="N1019" s="346">
        <v>6705</v>
      </c>
      <c r="O1019" s="348">
        <v>158</v>
      </c>
      <c r="P1019" s="349">
        <v>1000</v>
      </c>
      <c r="Q1019" s="236">
        <v>0</v>
      </c>
      <c r="R1019" s="235">
        <v>0</v>
      </c>
      <c r="S1019" s="235">
        <v>0</v>
      </c>
      <c r="T1019" s="235">
        <v>0</v>
      </c>
      <c r="U1019" s="235">
        <v>0</v>
      </c>
      <c r="V1019" s="235">
        <v>0</v>
      </c>
    </row>
    <row r="1020" spans="1:22" ht="24" customHeight="1">
      <c r="A1020" s="425" t="s">
        <v>726</v>
      </c>
      <c r="B1020" s="425"/>
      <c r="C1020" s="425"/>
      <c r="D1020" s="425"/>
      <c r="E1020" s="425"/>
      <c r="F1020" s="425"/>
      <c r="G1020" s="425"/>
      <c r="H1020" s="425"/>
      <c r="I1020" s="425"/>
      <c r="J1020" s="425"/>
      <c r="K1020" s="425"/>
      <c r="L1020" s="257"/>
      <c r="N1020" s="359"/>
      <c r="O1020" s="359"/>
      <c r="P1020" s="360"/>
      <c r="Q1020" s="255"/>
      <c r="R1020" s="254"/>
      <c r="S1020" s="254"/>
      <c r="T1020" s="254"/>
      <c r="U1020" s="254"/>
      <c r="V1020" s="254"/>
    </row>
    <row r="1021" spans="1:22" ht="24" customHeight="1">
      <c r="A1021" s="421" t="s">
        <v>727</v>
      </c>
      <c r="B1021" s="422"/>
      <c r="C1021" s="422"/>
      <c r="D1021" s="421" t="s">
        <v>1417</v>
      </c>
      <c r="E1021" s="422"/>
      <c r="F1021" s="422"/>
      <c r="G1021" s="422"/>
      <c r="H1021" s="422"/>
      <c r="I1021" s="422"/>
      <c r="J1021" s="422"/>
      <c r="K1021" s="422"/>
      <c r="L1021" s="237"/>
      <c r="M1021" s="263"/>
      <c r="N1021" s="348">
        <v>75000</v>
      </c>
      <c r="O1021" s="350">
        <v>0</v>
      </c>
      <c r="P1021" s="347">
        <v>0</v>
      </c>
      <c r="Q1021" s="232">
        <v>0</v>
      </c>
      <c r="R1021" s="231">
        <v>0</v>
      </c>
      <c r="S1021" s="231">
        <v>0</v>
      </c>
      <c r="T1021" s="231">
        <v>0</v>
      </c>
      <c r="U1021" s="231">
        <v>0</v>
      </c>
      <c r="V1021" s="231">
        <v>0</v>
      </c>
    </row>
    <row r="1022" spans="1:22" ht="24" customHeight="1">
      <c r="A1022" s="421" t="s">
        <v>728</v>
      </c>
      <c r="B1022" s="422"/>
      <c r="C1022" s="422"/>
      <c r="D1022" s="421" t="s">
        <v>384</v>
      </c>
      <c r="E1022" s="422"/>
      <c r="F1022" s="422"/>
      <c r="G1022" s="422"/>
      <c r="H1022" s="422"/>
      <c r="I1022" s="422"/>
      <c r="J1022" s="422"/>
      <c r="K1022" s="422"/>
      <c r="L1022" s="237"/>
      <c r="M1022" s="279"/>
      <c r="N1022" s="351">
        <v>319125</v>
      </c>
      <c r="O1022" s="350">
        <v>0</v>
      </c>
      <c r="P1022" s="347">
        <v>0</v>
      </c>
      <c r="Q1022" s="232">
        <v>0</v>
      </c>
      <c r="R1022" s="231">
        <v>0</v>
      </c>
      <c r="S1022" s="231">
        <v>0</v>
      </c>
      <c r="T1022" s="231">
        <v>0</v>
      </c>
      <c r="U1022" s="231">
        <v>0</v>
      </c>
      <c r="V1022" s="231">
        <v>0</v>
      </c>
    </row>
    <row r="1023" spans="1:22" ht="24" customHeight="1">
      <c r="A1023" s="425" t="s">
        <v>729</v>
      </c>
      <c r="B1023" s="425"/>
      <c r="C1023" s="425"/>
      <c r="D1023" s="425"/>
      <c r="E1023" s="425"/>
      <c r="F1023" s="425"/>
      <c r="G1023" s="425"/>
      <c r="H1023" s="425"/>
      <c r="I1023" s="425"/>
      <c r="J1023" s="425"/>
      <c r="K1023" s="425"/>
      <c r="L1023" s="257"/>
      <c r="N1023" s="359"/>
      <c r="O1023" s="359"/>
      <c r="P1023" s="360"/>
      <c r="Q1023" s="255"/>
      <c r="R1023" s="254"/>
      <c r="S1023" s="254"/>
      <c r="T1023" s="254"/>
      <c r="U1023" s="254"/>
      <c r="V1023" s="254"/>
    </row>
    <row r="1024" spans="1:22" ht="24" customHeight="1">
      <c r="A1024" s="421" t="s">
        <v>730</v>
      </c>
      <c r="B1024" s="422"/>
      <c r="C1024" s="422"/>
      <c r="D1024" s="421" t="s">
        <v>1417</v>
      </c>
      <c r="E1024" s="422"/>
      <c r="F1024" s="422"/>
      <c r="G1024" s="422"/>
      <c r="H1024" s="422"/>
      <c r="I1024" s="422"/>
      <c r="J1024" s="422"/>
      <c r="K1024" s="422"/>
      <c r="L1024" s="237"/>
      <c r="M1024" s="263"/>
      <c r="N1024" s="348">
        <v>150000</v>
      </c>
      <c r="O1024" s="350">
        <v>0</v>
      </c>
      <c r="P1024" s="347">
        <v>0</v>
      </c>
      <c r="Q1024" s="232">
        <v>0</v>
      </c>
      <c r="R1024" s="231">
        <v>0</v>
      </c>
      <c r="S1024" s="231">
        <v>0</v>
      </c>
      <c r="T1024" s="231">
        <v>0</v>
      </c>
      <c r="U1024" s="231">
        <v>0</v>
      </c>
      <c r="V1024" s="231">
        <v>0</v>
      </c>
    </row>
    <row r="1025" spans="1:23" ht="24" customHeight="1">
      <c r="A1025" s="421" t="s">
        <v>731</v>
      </c>
      <c r="B1025" s="422"/>
      <c r="C1025" s="422"/>
      <c r="D1025" s="421" t="s">
        <v>384</v>
      </c>
      <c r="E1025" s="422"/>
      <c r="F1025" s="422"/>
      <c r="G1025" s="422"/>
      <c r="H1025" s="422"/>
      <c r="I1025" s="422"/>
      <c r="J1025" s="422"/>
      <c r="K1025" s="422"/>
      <c r="L1025" s="237"/>
      <c r="M1025" s="279"/>
      <c r="N1025" s="351">
        <v>61800</v>
      </c>
      <c r="O1025" s="350">
        <v>0</v>
      </c>
      <c r="P1025" s="347">
        <v>0</v>
      </c>
      <c r="Q1025" s="232">
        <v>0</v>
      </c>
      <c r="R1025" s="231">
        <v>0</v>
      </c>
      <c r="S1025" s="231">
        <v>0</v>
      </c>
      <c r="T1025" s="231">
        <v>0</v>
      </c>
      <c r="U1025" s="231">
        <v>0</v>
      </c>
      <c r="V1025" s="231">
        <v>0</v>
      </c>
    </row>
    <row r="1026" spans="1:23" ht="24" customHeight="1">
      <c r="A1026" s="421" t="s">
        <v>978</v>
      </c>
      <c r="B1026" s="422"/>
      <c r="C1026" s="422"/>
      <c r="D1026" s="421" t="s">
        <v>979</v>
      </c>
      <c r="E1026" s="422"/>
      <c r="F1026" s="422"/>
      <c r="G1026" s="422"/>
      <c r="H1026" s="422"/>
      <c r="I1026" s="422"/>
      <c r="J1026" s="422"/>
      <c r="K1026" s="422"/>
      <c r="L1026" s="237"/>
      <c r="M1026" s="229"/>
      <c r="N1026" s="377">
        <v>0</v>
      </c>
      <c r="O1026" s="377">
        <v>0</v>
      </c>
      <c r="P1026" s="378">
        <v>1511</v>
      </c>
      <c r="Q1026" s="284">
        <f t="shared" ref="Q1026:V1026" si="98">Q1040</f>
        <v>5469</v>
      </c>
      <c r="R1026" s="283">
        <f t="shared" si="98"/>
        <v>0</v>
      </c>
      <c r="S1026" s="283">
        <f t="shared" si="98"/>
        <v>0</v>
      </c>
      <c r="T1026" s="283">
        <f t="shared" si="98"/>
        <v>0</v>
      </c>
      <c r="U1026" s="283">
        <f t="shared" si="98"/>
        <v>0</v>
      </c>
      <c r="V1026" s="283">
        <f t="shared" si="98"/>
        <v>0</v>
      </c>
    </row>
    <row r="1027" spans="1:23" ht="24" customHeight="1">
      <c r="A1027" s="421" t="s">
        <v>732</v>
      </c>
      <c r="B1027" s="422"/>
      <c r="C1027" s="422"/>
      <c r="D1027" s="421" t="s">
        <v>1248</v>
      </c>
      <c r="E1027" s="422"/>
      <c r="F1027" s="422"/>
      <c r="G1027" s="424"/>
      <c r="H1027" s="424"/>
      <c r="I1027" s="424"/>
      <c r="J1027" s="424"/>
      <c r="K1027" s="424"/>
      <c r="L1027" s="253"/>
      <c r="M1027" s="319"/>
      <c r="N1027" s="402">
        <v>0</v>
      </c>
      <c r="O1027" s="402">
        <v>332519</v>
      </c>
      <c r="P1027" s="403">
        <v>0</v>
      </c>
      <c r="Q1027" s="321">
        <v>0</v>
      </c>
      <c r="R1027" s="320">
        <v>0</v>
      </c>
      <c r="S1027" s="320">
        <v>0</v>
      </c>
      <c r="T1027" s="320">
        <v>0</v>
      </c>
      <c r="U1027" s="320">
        <v>0</v>
      </c>
      <c r="V1027" s="320">
        <v>0</v>
      </c>
    </row>
    <row r="1028" spans="1:23" ht="15" customHeight="1">
      <c r="A1028" s="337"/>
      <c r="B1028" s="337"/>
      <c r="C1028" s="337"/>
      <c r="D1028" s="337"/>
      <c r="E1028" s="337"/>
      <c r="F1028" s="337"/>
      <c r="G1028" s="337"/>
      <c r="H1028" s="337"/>
      <c r="I1028" s="337"/>
      <c r="J1028" s="337"/>
      <c r="K1028" s="337"/>
      <c r="L1028" s="229"/>
      <c r="N1028" s="359"/>
      <c r="O1028" s="359"/>
      <c r="P1028" s="360"/>
      <c r="Q1028" s="255"/>
      <c r="R1028" s="254"/>
      <c r="S1028" s="254"/>
      <c r="T1028" s="254"/>
      <c r="U1028" s="254"/>
      <c r="V1028" s="254"/>
    </row>
    <row r="1029" spans="1:23" s="337" customFormat="1" ht="24" customHeight="1">
      <c r="K1029" s="425" t="s">
        <v>761</v>
      </c>
      <c r="L1029" s="449"/>
      <c r="M1029" s="469"/>
      <c r="N1029" s="361">
        <f t="shared" ref="N1029:U1029" si="99">SUM(N980:N1028)</f>
        <v>1587712</v>
      </c>
      <c r="O1029" s="361">
        <f t="shared" si="99"/>
        <v>1024044</v>
      </c>
      <c r="P1029" s="362">
        <f>SUM(P980:P1028)</f>
        <v>794413</v>
      </c>
      <c r="Q1029" s="362">
        <f>SUM(Q980:Q1028)</f>
        <v>776780</v>
      </c>
      <c r="R1029" s="361">
        <f t="shared" si="99"/>
        <v>771363</v>
      </c>
      <c r="S1029" s="361">
        <f t="shared" si="99"/>
        <v>783759</v>
      </c>
      <c r="T1029" s="361">
        <f t="shared" si="99"/>
        <v>797294</v>
      </c>
      <c r="U1029" s="361">
        <f t="shared" si="99"/>
        <v>807205</v>
      </c>
      <c r="V1029" s="361">
        <f>SUM(V980:V1028)</f>
        <v>817702</v>
      </c>
    </row>
    <row r="1030" spans="1:23" s="337" customFormat="1" ht="15" customHeight="1">
      <c r="L1030" s="451"/>
      <c r="M1030" s="463"/>
      <c r="N1030" s="359"/>
      <c r="O1030" s="359"/>
      <c r="P1030" s="360"/>
      <c r="Q1030" s="360"/>
      <c r="R1030" s="359"/>
      <c r="S1030" s="359"/>
      <c r="T1030" s="359"/>
      <c r="U1030" s="359"/>
      <c r="V1030" s="359"/>
    </row>
    <row r="1031" spans="1:23" s="337" customFormat="1" ht="24" customHeight="1">
      <c r="K1031" s="425" t="s">
        <v>762</v>
      </c>
      <c r="L1031" s="449"/>
      <c r="M1031" s="450"/>
      <c r="N1031" s="361">
        <f t="shared" ref="N1031:V1031" si="100">N978-N1029</f>
        <v>-253670</v>
      </c>
      <c r="O1031" s="361">
        <f t="shared" si="100"/>
        <v>71495</v>
      </c>
      <c r="P1031" s="362">
        <f t="shared" si="100"/>
        <v>23221</v>
      </c>
      <c r="Q1031" s="362">
        <f t="shared" si="100"/>
        <v>11323</v>
      </c>
      <c r="R1031" s="361">
        <f t="shared" si="100"/>
        <v>7276</v>
      </c>
      <c r="S1031" s="361">
        <f t="shared" si="100"/>
        <v>4666</v>
      </c>
      <c r="T1031" s="361">
        <f t="shared" si="100"/>
        <v>-6876</v>
      </c>
      <c r="U1031" s="361">
        <f t="shared" si="100"/>
        <v>-14887</v>
      </c>
      <c r="V1031" s="361">
        <f t="shared" si="100"/>
        <v>1630</v>
      </c>
    </row>
    <row r="1032" spans="1:23" s="337" customFormat="1" ht="15" customHeight="1">
      <c r="L1032" s="451"/>
      <c r="M1032" s="463"/>
      <c r="N1032" s="359"/>
      <c r="O1032" s="359"/>
      <c r="P1032" s="360"/>
      <c r="Q1032" s="360"/>
      <c r="R1032" s="359"/>
      <c r="S1032" s="359"/>
      <c r="T1032" s="359"/>
      <c r="U1032" s="359"/>
      <c r="V1032" s="359"/>
    </row>
    <row r="1033" spans="1:23" s="337" customFormat="1" ht="24" customHeight="1">
      <c r="K1033" s="430" t="s">
        <v>764</v>
      </c>
      <c r="L1033" s="449"/>
      <c r="M1033" s="449"/>
      <c r="N1033" s="383">
        <v>317336</v>
      </c>
      <c r="O1033" s="383">
        <v>388831</v>
      </c>
      <c r="P1033" s="384">
        <v>370330</v>
      </c>
      <c r="Q1033" s="384">
        <f>O1033+Q1031</f>
        <v>400154</v>
      </c>
      <c r="R1033" s="383">
        <f>Q1033+R1031</f>
        <v>407430</v>
      </c>
      <c r="S1033" s="383">
        <f>R1033+S1031</f>
        <v>412096</v>
      </c>
      <c r="T1033" s="383">
        <f>S1033+T1031</f>
        <v>405220</v>
      </c>
      <c r="U1033" s="383">
        <f>T1033+U1031</f>
        <v>390333</v>
      </c>
      <c r="V1033" s="383">
        <f>U1033+V1031</f>
        <v>391963</v>
      </c>
    </row>
    <row r="1034" spans="1:23" s="434" customFormat="1" ht="24" customHeight="1">
      <c r="L1034" s="468"/>
      <c r="M1034" s="467"/>
      <c r="N1034" s="385">
        <f t="shared" ref="N1034:V1034" si="101">N1033/N1029</f>
        <v>0.19987000161238311</v>
      </c>
      <c r="O1034" s="385">
        <f t="shared" si="101"/>
        <v>0.37970145814047052</v>
      </c>
      <c r="P1034" s="386">
        <f t="shared" si="101"/>
        <v>0.46616810147870186</v>
      </c>
      <c r="Q1034" s="386">
        <f t="shared" si="101"/>
        <v>0.51514457117845469</v>
      </c>
      <c r="R1034" s="385">
        <f t="shared" si="101"/>
        <v>0.52819489656620811</v>
      </c>
      <c r="S1034" s="385">
        <f t="shared" si="101"/>
        <v>0.52579428115020055</v>
      </c>
      <c r="T1034" s="385">
        <f t="shared" si="101"/>
        <v>0.50824413578930738</v>
      </c>
      <c r="U1034" s="385">
        <f t="shared" si="101"/>
        <v>0.48356117714830804</v>
      </c>
      <c r="V1034" s="385">
        <f t="shared" si="101"/>
        <v>0.47934699927357399</v>
      </c>
    </row>
    <row r="1035" spans="1:23" ht="15" customHeight="1">
      <c r="A1035" s="337"/>
      <c r="B1035" s="337"/>
      <c r="C1035" s="337"/>
      <c r="D1035" s="337"/>
      <c r="E1035" s="337"/>
      <c r="F1035" s="337"/>
      <c r="G1035" s="337"/>
      <c r="H1035" s="337"/>
      <c r="I1035" s="337"/>
      <c r="J1035" s="337"/>
      <c r="K1035" s="337"/>
      <c r="L1035" s="229"/>
      <c r="M1035" s="257"/>
      <c r="N1035" s="383"/>
      <c r="O1035" s="383"/>
      <c r="P1035" s="384"/>
      <c r="Q1035" s="293"/>
      <c r="R1035" s="292"/>
      <c r="S1035" s="292"/>
      <c r="T1035" s="292"/>
      <c r="U1035" s="292"/>
      <c r="V1035" s="292"/>
    </row>
    <row r="1036" spans="1:23" ht="24" customHeight="1">
      <c r="A1036" s="432" t="s">
        <v>734</v>
      </c>
      <c r="B1036" s="337"/>
      <c r="C1036" s="337"/>
      <c r="D1036" s="337"/>
      <c r="E1036" s="337"/>
      <c r="F1036" s="337"/>
      <c r="G1036" s="337"/>
      <c r="H1036" s="337"/>
      <c r="I1036" s="337"/>
      <c r="J1036" s="337"/>
      <c r="K1036" s="337"/>
      <c r="L1036" s="229"/>
      <c r="M1036" s="257"/>
      <c r="N1036" s="383"/>
      <c r="O1036" s="383"/>
      <c r="P1036" s="384"/>
      <c r="Q1036" s="293"/>
      <c r="R1036" s="292"/>
      <c r="S1036" s="292"/>
      <c r="T1036" s="292"/>
      <c r="U1036" s="292"/>
      <c r="V1036" s="292"/>
    </row>
    <row r="1037" spans="1:23" ht="24" customHeight="1">
      <c r="A1037" s="337"/>
      <c r="B1037" s="337"/>
      <c r="C1037" s="337"/>
      <c r="D1037" s="337"/>
      <c r="E1037" s="337"/>
      <c r="F1037" s="337"/>
      <c r="G1037" s="337"/>
      <c r="H1037" s="337"/>
      <c r="I1037" s="337"/>
      <c r="J1037" s="337"/>
      <c r="K1037" s="337"/>
      <c r="L1037" s="229"/>
      <c r="M1037" s="257"/>
      <c r="N1037" s="383"/>
      <c r="O1037" s="383"/>
      <c r="P1037" s="384"/>
      <c r="Q1037" s="293"/>
      <c r="R1037" s="292"/>
      <c r="S1037" s="292"/>
      <c r="T1037" s="292"/>
      <c r="U1037" s="292"/>
      <c r="V1037" s="292"/>
    </row>
    <row r="1038" spans="1:23" ht="24" customHeight="1">
      <c r="A1038" s="337" t="s">
        <v>733</v>
      </c>
      <c r="B1038" s="337"/>
      <c r="C1038" s="337"/>
      <c r="D1038" s="337" t="s">
        <v>659</v>
      </c>
      <c r="E1038" s="337"/>
      <c r="F1038" s="337"/>
      <c r="G1038" s="337"/>
      <c r="H1038" s="337"/>
      <c r="I1038" s="337"/>
      <c r="J1038" s="337"/>
      <c r="K1038" s="337"/>
      <c r="L1038" s="229"/>
      <c r="M1038" s="238"/>
      <c r="N1038" s="350">
        <v>0</v>
      </c>
      <c r="O1038" s="350">
        <v>718839</v>
      </c>
      <c r="P1038" s="353">
        <v>795488</v>
      </c>
      <c r="Q1038" s="243">
        <v>791640</v>
      </c>
      <c r="R1038" s="239">
        <v>771763</v>
      </c>
      <c r="S1038" s="239">
        <f>S1045+S1046+S1048+S1049+S1051+S1052</f>
        <v>730288</v>
      </c>
      <c r="T1038" s="239">
        <f t="shared" ref="T1038:V1038" si="102">T1045+T1046+T1048+T1049+T1051+T1052</f>
        <v>743513</v>
      </c>
      <c r="U1038" s="239">
        <f t="shared" si="102"/>
        <v>751238</v>
      </c>
      <c r="V1038" s="239">
        <f t="shared" si="102"/>
        <v>753563</v>
      </c>
    </row>
    <row r="1039" spans="1:23" ht="24" customHeight="1">
      <c r="A1039" s="337" t="s">
        <v>937</v>
      </c>
      <c r="B1039" s="337"/>
      <c r="C1039" s="337"/>
      <c r="D1039" s="337" t="s">
        <v>6</v>
      </c>
      <c r="E1039" s="337"/>
      <c r="F1039" s="337"/>
      <c r="G1039" s="337"/>
      <c r="H1039" s="337"/>
      <c r="I1039" s="337"/>
      <c r="J1039" s="337"/>
      <c r="K1039" s="337"/>
      <c r="L1039" s="229"/>
      <c r="M1039" s="238"/>
      <c r="N1039" s="350">
        <v>0</v>
      </c>
      <c r="O1039" s="350">
        <v>140</v>
      </c>
      <c r="P1039" s="353">
        <v>300</v>
      </c>
      <c r="Q1039" s="243">
        <v>200</v>
      </c>
      <c r="R1039" s="239">
        <v>200</v>
      </c>
      <c r="S1039" s="239">
        <v>200</v>
      </c>
      <c r="T1039" s="239">
        <v>200</v>
      </c>
      <c r="U1039" s="239">
        <v>200</v>
      </c>
      <c r="V1039" s="239">
        <v>200</v>
      </c>
      <c r="W1039" s="239"/>
    </row>
    <row r="1040" spans="1:23" ht="24" customHeight="1">
      <c r="A1040" s="337" t="s">
        <v>980</v>
      </c>
      <c r="B1040" s="337"/>
      <c r="C1040" s="337"/>
      <c r="D1040" s="337" t="s">
        <v>847</v>
      </c>
      <c r="E1040" s="337"/>
      <c r="F1040" s="337"/>
      <c r="G1040" s="337"/>
      <c r="H1040" s="337"/>
      <c r="I1040" s="337"/>
      <c r="J1040" s="337"/>
      <c r="K1040" s="337"/>
      <c r="L1040" s="229"/>
      <c r="M1040" s="262"/>
      <c r="N1040" s="357">
        <v>0</v>
      </c>
      <c r="O1040" s="357">
        <v>0</v>
      </c>
      <c r="P1040" s="358">
        <v>1511</v>
      </c>
      <c r="Q1040" s="252">
        <f>5559-90</f>
        <v>5469</v>
      </c>
      <c r="R1040" s="251">
        <v>0</v>
      </c>
      <c r="S1040" s="251">
        <v>0</v>
      </c>
      <c r="T1040" s="251">
        <v>0</v>
      </c>
      <c r="U1040" s="251">
        <v>0</v>
      </c>
      <c r="V1040" s="251">
        <v>0</v>
      </c>
      <c r="W1040" s="239"/>
    </row>
    <row r="1041" spans="1:24" ht="15" customHeight="1">
      <c r="A1041" s="337"/>
      <c r="B1041" s="337"/>
      <c r="C1041" s="337"/>
      <c r="D1041" s="337"/>
      <c r="E1041" s="337"/>
      <c r="F1041" s="337"/>
      <c r="G1041" s="337"/>
      <c r="H1041" s="337"/>
      <c r="I1041" s="337"/>
      <c r="J1041" s="337"/>
      <c r="K1041" s="337"/>
      <c r="L1041" s="229"/>
      <c r="M1041" s="262"/>
      <c r="N1041" s="357"/>
      <c r="O1041" s="357"/>
      <c r="P1041" s="358"/>
      <c r="Q1041" s="252"/>
      <c r="R1041" s="251"/>
      <c r="S1041" s="251"/>
      <c r="T1041" s="251"/>
      <c r="U1041" s="251"/>
      <c r="V1041" s="251"/>
      <c r="W1041" s="239"/>
    </row>
    <row r="1042" spans="1:24" s="337" customFormat="1" ht="24" customHeight="1">
      <c r="K1042" s="425" t="s">
        <v>758</v>
      </c>
      <c r="L1042" s="449"/>
      <c r="M1042" s="450"/>
      <c r="N1042" s="361">
        <f t="shared" ref="N1042:V1042" si="103">SUM(N1038:N1041)</f>
        <v>0</v>
      </c>
      <c r="O1042" s="361">
        <f t="shared" si="103"/>
        <v>718979</v>
      </c>
      <c r="P1042" s="362">
        <f t="shared" si="103"/>
        <v>797299</v>
      </c>
      <c r="Q1042" s="362">
        <f t="shared" si="103"/>
        <v>797309</v>
      </c>
      <c r="R1042" s="361">
        <f t="shared" si="103"/>
        <v>771963</v>
      </c>
      <c r="S1042" s="361">
        <f t="shared" si="103"/>
        <v>730488</v>
      </c>
      <c r="T1042" s="361">
        <f t="shared" si="103"/>
        <v>743713</v>
      </c>
      <c r="U1042" s="361">
        <f t="shared" si="103"/>
        <v>751438</v>
      </c>
      <c r="V1042" s="361">
        <f t="shared" si="103"/>
        <v>753763</v>
      </c>
      <c r="W1042" s="350"/>
    </row>
    <row r="1043" spans="1:24" ht="15" customHeight="1">
      <c r="A1043" s="337"/>
      <c r="B1043" s="337"/>
      <c r="C1043" s="337"/>
      <c r="D1043" s="337"/>
      <c r="E1043" s="337"/>
      <c r="F1043" s="337"/>
      <c r="G1043" s="337"/>
      <c r="H1043" s="337"/>
      <c r="I1043" s="337"/>
      <c r="J1043" s="337"/>
      <c r="K1043" s="337"/>
      <c r="L1043" s="229"/>
      <c r="N1043" s="359"/>
      <c r="O1043" s="359"/>
      <c r="P1043" s="360"/>
      <c r="Q1043" s="255"/>
      <c r="R1043" s="254"/>
      <c r="S1043" s="254"/>
      <c r="T1043" s="254"/>
      <c r="U1043" s="254"/>
      <c r="V1043" s="254"/>
    </row>
    <row r="1044" spans="1:24" ht="24" customHeight="1">
      <c r="A1044" s="425" t="s">
        <v>726</v>
      </c>
      <c r="B1044" s="425"/>
      <c r="C1044" s="425"/>
      <c r="D1044" s="425"/>
      <c r="E1044" s="425"/>
      <c r="F1044" s="425"/>
      <c r="G1044" s="425"/>
      <c r="H1044" s="425"/>
      <c r="I1044" s="425"/>
      <c r="J1044" s="425"/>
      <c r="K1044" s="425"/>
      <c r="L1044" s="257"/>
      <c r="N1044" s="359"/>
      <c r="O1044" s="359"/>
      <c r="P1044" s="360"/>
      <c r="Q1044" s="255"/>
      <c r="R1044" s="254"/>
      <c r="S1044" s="254"/>
      <c r="T1044" s="254"/>
      <c r="U1044" s="254"/>
      <c r="V1044" s="254"/>
      <c r="X1044" s="332"/>
    </row>
    <row r="1045" spans="1:24" ht="24" customHeight="1">
      <c r="A1045" s="421" t="s">
        <v>768</v>
      </c>
      <c r="B1045" s="422"/>
      <c r="C1045" s="422"/>
      <c r="D1045" s="421" t="s">
        <v>1417</v>
      </c>
      <c r="E1045" s="422"/>
      <c r="F1045" s="422"/>
      <c r="G1045" s="422"/>
      <c r="H1045" s="422"/>
      <c r="I1045" s="422"/>
      <c r="J1045" s="422"/>
      <c r="K1045" s="422"/>
      <c r="L1045" s="237"/>
      <c r="M1045" s="263"/>
      <c r="N1045" s="348">
        <v>0</v>
      </c>
      <c r="O1045" s="350">
        <v>175000</v>
      </c>
      <c r="P1045" s="347">
        <v>290000</v>
      </c>
      <c r="Q1045" s="232">
        <v>290000</v>
      </c>
      <c r="R1045" s="231">
        <v>335000</v>
      </c>
      <c r="S1045" s="231">
        <v>0</v>
      </c>
      <c r="T1045" s="231">
        <v>0</v>
      </c>
      <c r="U1045" s="231">
        <v>0</v>
      </c>
      <c r="V1045" s="231">
        <v>0</v>
      </c>
      <c r="X1045" s="311"/>
    </row>
    <row r="1046" spans="1:24" ht="24" customHeight="1">
      <c r="A1046" s="421" t="s">
        <v>769</v>
      </c>
      <c r="B1046" s="422"/>
      <c r="C1046" s="422"/>
      <c r="D1046" s="421" t="s">
        <v>384</v>
      </c>
      <c r="E1046" s="422"/>
      <c r="F1046" s="422"/>
      <c r="G1046" s="422"/>
      <c r="H1046" s="422"/>
      <c r="I1046" s="422"/>
      <c r="J1046" s="422"/>
      <c r="K1046" s="422"/>
      <c r="L1046" s="237"/>
      <c r="M1046" s="279"/>
      <c r="N1046" s="351">
        <v>0</v>
      </c>
      <c r="O1046" s="350">
        <v>316125</v>
      </c>
      <c r="P1046" s="347">
        <v>309125</v>
      </c>
      <c r="Q1046" s="232">
        <v>309125</v>
      </c>
      <c r="R1046" s="231">
        <v>13400</v>
      </c>
      <c r="S1046" s="231">
        <v>0</v>
      </c>
      <c r="T1046" s="231">
        <v>0</v>
      </c>
      <c r="U1046" s="231">
        <v>0</v>
      </c>
      <c r="V1046" s="231">
        <v>0</v>
      </c>
      <c r="X1046" s="311"/>
    </row>
    <row r="1047" spans="1:24" ht="24" customHeight="1">
      <c r="A1047" s="425" t="s">
        <v>729</v>
      </c>
      <c r="B1047" s="425"/>
      <c r="C1047" s="425"/>
      <c r="D1047" s="425"/>
      <c r="E1047" s="425"/>
      <c r="F1047" s="425"/>
      <c r="G1047" s="425"/>
      <c r="H1047" s="425"/>
      <c r="I1047" s="425"/>
      <c r="J1047" s="425"/>
      <c r="K1047" s="425"/>
      <c r="L1047" s="257"/>
      <c r="N1047" s="359"/>
      <c r="O1047" s="359"/>
      <c r="P1047" s="360"/>
      <c r="Q1047" s="255"/>
      <c r="R1047" s="254"/>
      <c r="S1047" s="254"/>
      <c r="T1047" s="254"/>
      <c r="U1047" s="254"/>
      <c r="V1047" s="254"/>
      <c r="X1047" s="311"/>
    </row>
    <row r="1048" spans="1:24" ht="24" customHeight="1">
      <c r="A1048" s="421" t="s">
        <v>770</v>
      </c>
      <c r="B1048" s="422"/>
      <c r="C1048" s="422"/>
      <c r="D1048" s="421" t="s">
        <v>1417</v>
      </c>
      <c r="E1048" s="422"/>
      <c r="F1048" s="422"/>
      <c r="G1048" s="422"/>
      <c r="H1048" s="422"/>
      <c r="I1048" s="422"/>
      <c r="J1048" s="422"/>
      <c r="K1048" s="422"/>
      <c r="L1048" s="237"/>
      <c r="M1048" s="263"/>
      <c r="N1048" s="348">
        <v>0</v>
      </c>
      <c r="O1048" s="350">
        <v>175000</v>
      </c>
      <c r="P1048" s="347">
        <v>150000</v>
      </c>
      <c r="Q1048" s="232">
        <v>150000</v>
      </c>
      <c r="R1048" s="231">
        <v>100000</v>
      </c>
      <c r="S1048" s="231">
        <v>50000</v>
      </c>
      <c r="T1048" s="231">
        <v>50000</v>
      </c>
      <c r="U1048" s="231">
        <v>50000</v>
      </c>
      <c r="V1048" s="231">
        <v>50000</v>
      </c>
      <c r="X1048" s="311"/>
    </row>
    <row r="1049" spans="1:24" ht="24" customHeight="1">
      <c r="A1049" s="421" t="s">
        <v>771</v>
      </c>
      <c r="B1049" s="422"/>
      <c r="C1049" s="422"/>
      <c r="D1049" s="421" t="s">
        <v>384</v>
      </c>
      <c r="E1049" s="422"/>
      <c r="F1049" s="422"/>
      <c r="G1049" s="422"/>
      <c r="H1049" s="422"/>
      <c r="I1049" s="422"/>
      <c r="J1049" s="422"/>
      <c r="K1049" s="422"/>
      <c r="L1049" s="237"/>
      <c r="M1049" s="314"/>
      <c r="N1049" s="351">
        <v>0</v>
      </c>
      <c r="O1049" s="350">
        <v>54675</v>
      </c>
      <c r="P1049" s="347">
        <v>46363</v>
      </c>
      <c r="Q1049" s="232">
        <v>46363</v>
      </c>
      <c r="R1049" s="231">
        <v>39238</v>
      </c>
      <c r="S1049" s="231">
        <v>34488</v>
      </c>
      <c r="T1049" s="231">
        <v>32113</v>
      </c>
      <c r="U1049" s="231">
        <v>29738</v>
      </c>
      <c r="V1049" s="231">
        <v>27363</v>
      </c>
      <c r="X1049" s="311"/>
    </row>
    <row r="1050" spans="1:24" ht="24" customHeight="1">
      <c r="A1050" s="425" t="s">
        <v>1422</v>
      </c>
      <c r="B1050" s="425"/>
      <c r="C1050" s="425"/>
      <c r="D1050" s="425"/>
      <c r="E1050" s="425"/>
      <c r="F1050" s="425"/>
      <c r="G1050" s="425"/>
      <c r="H1050" s="425"/>
      <c r="I1050" s="425"/>
      <c r="J1050" s="422"/>
      <c r="K1050" s="422"/>
      <c r="L1050" s="237"/>
      <c r="M1050" s="286"/>
      <c r="N1050" s="357"/>
      <c r="O1050" s="357"/>
      <c r="P1050" s="367"/>
      <c r="Q1050" s="268"/>
      <c r="R1050" s="250"/>
      <c r="S1050" s="250"/>
      <c r="T1050" s="250"/>
      <c r="U1050" s="250"/>
      <c r="V1050" s="250"/>
      <c r="X1050" s="311"/>
    </row>
    <row r="1051" spans="1:24" ht="24" customHeight="1">
      <c r="A1051" s="421" t="s">
        <v>1464</v>
      </c>
      <c r="B1051" s="422"/>
      <c r="C1051" s="422"/>
      <c r="D1051" s="421" t="s">
        <v>1417</v>
      </c>
      <c r="E1051" s="422"/>
      <c r="F1051" s="422"/>
      <c r="G1051" s="422"/>
      <c r="H1051" s="422"/>
      <c r="I1051" s="422"/>
      <c r="J1051" s="422"/>
      <c r="K1051" s="422"/>
      <c r="L1051" s="237"/>
      <c r="M1051" s="286"/>
      <c r="N1051" s="350">
        <v>0</v>
      </c>
      <c r="O1051" s="350">
        <v>0</v>
      </c>
      <c r="P1051" s="353">
        <v>0</v>
      </c>
      <c r="Q1051" s="243">
        <v>0</v>
      </c>
      <c r="R1051" s="239">
        <v>170000</v>
      </c>
      <c r="S1051" s="239">
        <v>470000</v>
      </c>
      <c r="T1051" s="239">
        <v>495000</v>
      </c>
      <c r="U1051" s="239">
        <v>515000</v>
      </c>
      <c r="V1051" s="239">
        <v>530000</v>
      </c>
      <c r="X1051" s="311"/>
    </row>
    <row r="1052" spans="1:24" ht="24" customHeight="1">
      <c r="A1052" s="421" t="s">
        <v>1465</v>
      </c>
      <c r="B1052" s="422"/>
      <c r="C1052" s="422"/>
      <c r="D1052" s="421" t="s">
        <v>384</v>
      </c>
      <c r="E1052" s="422"/>
      <c r="F1052" s="422"/>
      <c r="G1052" s="422"/>
      <c r="H1052" s="422"/>
      <c r="I1052" s="422"/>
      <c r="J1052" s="422"/>
      <c r="K1052" s="422"/>
      <c r="L1052" s="237"/>
      <c r="M1052" s="269"/>
      <c r="N1052" s="357">
        <v>0</v>
      </c>
      <c r="O1052" s="357">
        <v>0</v>
      </c>
      <c r="P1052" s="358">
        <v>0</v>
      </c>
      <c r="Q1052" s="252">
        <v>0</v>
      </c>
      <c r="R1052" s="251">
        <v>112000</v>
      </c>
      <c r="S1052" s="251">
        <v>175800</v>
      </c>
      <c r="T1052" s="251">
        <v>166400</v>
      </c>
      <c r="U1052" s="251">
        <v>156500</v>
      </c>
      <c r="V1052" s="251">
        <v>146200</v>
      </c>
      <c r="X1052" s="311"/>
    </row>
    <row r="1053" spans="1:24" ht="15" customHeight="1">
      <c r="A1053" s="421"/>
      <c r="B1053" s="422"/>
      <c r="C1053" s="422"/>
      <c r="D1053" s="421"/>
      <c r="E1053" s="422"/>
      <c r="F1053" s="422"/>
      <c r="G1053" s="422"/>
      <c r="H1053" s="422"/>
      <c r="I1053" s="422"/>
      <c r="J1053" s="422"/>
      <c r="K1053" s="422"/>
      <c r="L1053" s="237"/>
      <c r="M1053" s="269"/>
      <c r="N1053" s="350"/>
      <c r="O1053" s="350"/>
      <c r="P1053" s="347"/>
      <c r="Q1053" s="232"/>
      <c r="R1053" s="231"/>
      <c r="S1053" s="231"/>
      <c r="T1053" s="231"/>
      <c r="U1053" s="231"/>
      <c r="V1053" s="231"/>
      <c r="X1053" s="311"/>
    </row>
    <row r="1054" spans="1:24" s="337" customFormat="1" ht="24" customHeight="1">
      <c r="A1054" s="421"/>
      <c r="B1054" s="422"/>
      <c r="C1054" s="422"/>
      <c r="D1054" s="421"/>
      <c r="E1054" s="422"/>
      <c r="F1054" s="422"/>
      <c r="G1054" s="422"/>
      <c r="H1054" s="422"/>
      <c r="I1054" s="422"/>
      <c r="J1054" s="422"/>
      <c r="K1054" s="425" t="s">
        <v>761</v>
      </c>
      <c r="L1054" s="449"/>
      <c r="M1054" s="450"/>
      <c r="N1054" s="361">
        <f t="shared" ref="N1054:V1054" si="104">SUM(N1045:N1052)</f>
        <v>0</v>
      </c>
      <c r="O1054" s="361">
        <f t="shared" si="104"/>
        <v>720800</v>
      </c>
      <c r="P1054" s="362">
        <f t="shared" si="104"/>
        <v>795488</v>
      </c>
      <c r="Q1054" s="362">
        <f t="shared" si="104"/>
        <v>795488</v>
      </c>
      <c r="R1054" s="361">
        <f t="shared" si="104"/>
        <v>769638</v>
      </c>
      <c r="S1054" s="361">
        <f>SUM(S1045:S1052)</f>
        <v>730288</v>
      </c>
      <c r="T1054" s="361">
        <f t="shared" si="104"/>
        <v>743513</v>
      </c>
      <c r="U1054" s="361">
        <f t="shared" si="104"/>
        <v>751238</v>
      </c>
      <c r="V1054" s="361">
        <f t="shared" si="104"/>
        <v>753563</v>
      </c>
    </row>
    <row r="1055" spans="1:24" s="337" customFormat="1" ht="15" customHeight="1">
      <c r="A1055" s="421"/>
      <c r="B1055" s="422"/>
      <c r="C1055" s="422"/>
      <c r="D1055" s="421"/>
      <c r="E1055" s="422"/>
      <c r="F1055" s="422"/>
      <c r="G1055" s="422"/>
      <c r="H1055" s="422"/>
      <c r="I1055" s="422"/>
      <c r="J1055" s="422"/>
      <c r="K1055" s="425"/>
      <c r="L1055" s="449"/>
      <c r="M1055" s="462"/>
      <c r="N1055" s="350"/>
      <c r="O1055" s="350"/>
      <c r="P1055" s="347"/>
      <c r="Q1055" s="347"/>
      <c r="R1055" s="346"/>
      <c r="S1055" s="346"/>
      <c r="T1055" s="346"/>
      <c r="U1055" s="346"/>
      <c r="V1055" s="346"/>
    </row>
    <row r="1056" spans="1:24" s="337" customFormat="1" ht="24" customHeight="1">
      <c r="K1056" s="425" t="s">
        <v>762</v>
      </c>
      <c r="L1056" s="449"/>
      <c r="M1056" s="450"/>
      <c r="N1056" s="361">
        <f t="shared" ref="N1056:V1056" si="105">N1042-N1054</f>
        <v>0</v>
      </c>
      <c r="O1056" s="361">
        <f t="shared" si="105"/>
        <v>-1821</v>
      </c>
      <c r="P1056" s="362">
        <f t="shared" si="105"/>
        <v>1811</v>
      </c>
      <c r="Q1056" s="362">
        <f t="shared" si="105"/>
        <v>1821</v>
      </c>
      <c r="R1056" s="361">
        <f t="shared" si="105"/>
        <v>2325</v>
      </c>
      <c r="S1056" s="361">
        <f t="shared" si="105"/>
        <v>200</v>
      </c>
      <c r="T1056" s="361">
        <f t="shared" si="105"/>
        <v>200</v>
      </c>
      <c r="U1056" s="361">
        <f t="shared" si="105"/>
        <v>200</v>
      </c>
      <c r="V1056" s="361">
        <f t="shared" si="105"/>
        <v>200</v>
      </c>
      <c r="W1056" s="359"/>
    </row>
    <row r="1057" spans="1:22" s="337" customFormat="1" ht="15" customHeight="1">
      <c r="L1057" s="451"/>
      <c r="M1057" s="464"/>
      <c r="N1057" s="361"/>
      <c r="O1057" s="361"/>
      <c r="P1057" s="362"/>
      <c r="Q1057" s="362"/>
      <c r="R1057" s="361"/>
      <c r="S1057" s="361"/>
      <c r="T1057" s="361"/>
      <c r="U1057" s="361"/>
      <c r="V1057" s="361"/>
    </row>
    <row r="1058" spans="1:22" s="337" customFormat="1" ht="24" customHeight="1">
      <c r="K1058" s="430" t="s">
        <v>764</v>
      </c>
      <c r="L1058" s="449"/>
      <c r="M1058" s="464"/>
      <c r="N1058" s="361">
        <v>0</v>
      </c>
      <c r="O1058" s="361">
        <v>-1821</v>
      </c>
      <c r="P1058" s="362">
        <v>0</v>
      </c>
      <c r="Q1058" s="362">
        <f>O1058+Q1056</f>
        <v>0</v>
      </c>
      <c r="R1058" s="361">
        <f>Q1058+R1056</f>
        <v>2325</v>
      </c>
      <c r="S1058" s="361">
        <f>R1058+S1056</f>
        <v>2525</v>
      </c>
      <c r="T1058" s="361">
        <f>S1058+T1056</f>
        <v>2725</v>
      </c>
      <c r="U1058" s="361">
        <f>T1058+U1056</f>
        <v>2925</v>
      </c>
      <c r="V1058" s="361">
        <f>U1058+V1056</f>
        <v>3125</v>
      </c>
    </row>
    <row r="1059" spans="1:22" ht="15" customHeight="1">
      <c r="A1059" s="337"/>
      <c r="B1059" s="337"/>
      <c r="C1059" s="337"/>
      <c r="D1059" s="337"/>
      <c r="E1059" s="337"/>
      <c r="F1059" s="337"/>
      <c r="G1059" s="337"/>
      <c r="H1059" s="337"/>
      <c r="I1059" s="337"/>
      <c r="J1059" s="337"/>
      <c r="K1059" s="337"/>
      <c r="L1059" s="229"/>
      <c r="N1059" s="359"/>
      <c r="O1059" s="359"/>
      <c r="P1059" s="360"/>
      <c r="Q1059" s="255"/>
      <c r="R1059" s="254"/>
      <c r="S1059" s="254"/>
      <c r="T1059" s="254"/>
      <c r="U1059" s="254"/>
      <c r="V1059" s="254"/>
    </row>
    <row r="1060" spans="1:22" ht="24" customHeight="1">
      <c r="A1060" s="432" t="s">
        <v>1236</v>
      </c>
      <c r="B1060" s="337"/>
      <c r="C1060" s="337"/>
      <c r="D1060" s="337"/>
      <c r="E1060" s="337"/>
      <c r="F1060" s="337"/>
      <c r="G1060" s="337"/>
      <c r="H1060" s="337"/>
      <c r="I1060" s="337"/>
      <c r="J1060" s="337"/>
      <c r="K1060" s="337"/>
      <c r="L1060" s="229"/>
      <c r="N1060" s="359"/>
      <c r="O1060" s="359"/>
      <c r="P1060" s="360"/>
      <c r="Q1060" s="255"/>
      <c r="R1060" s="254"/>
      <c r="S1060" s="254"/>
      <c r="T1060" s="254"/>
      <c r="U1060" s="254"/>
      <c r="V1060" s="254"/>
    </row>
    <row r="1061" spans="1:22" ht="15" customHeight="1">
      <c r="A1061" s="337"/>
      <c r="B1061" s="337"/>
      <c r="C1061" s="337"/>
      <c r="D1061" s="337"/>
      <c r="E1061" s="337"/>
      <c r="F1061" s="337"/>
      <c r="G1061" s="337"/>
      <c r="H1061" s="337"/>
      <c r="I1061" s="337"/>
      <c r="J1061" s="337"/>
      <c r="K1061" s="337"/>
      <c r="L1061" s="229"/>
      <c r="N1061" s="359"/>
      <c r="O1061" s="359"/>
      <c r="P1061" s="360"/>
      <c r="Q1061" s="255"/>
      <c r="R1061" s="254"/>
      <c r="S1061" s="254"/>
      <c r="T1061" s="254"/>
      <c r="U1061" s="254"/>
      <c r="V1061" s="254"/>
    </row>
    <row r="1062" spans="1:22" ht="24" customHeight="1">
      <c r="A1062" s="421" t="s">
        <v>989</v>
      </c>
      <c r="B1062" s="422"/>
      <c r="C1062" s="422"/>
      <c r="D1062" s="421" t="s">
        <v>988</v>
      </c>
      <c r="E1062" s="337"/>
      <c r="F1062" s="337"/>
      <c r="G1062" s="337"/>
      <c r="H1062" s="337"/>
      <c r="I1062" s="337"/>
      <c r="J1062" s="337"/>
      <c r="K1062" s="337"/>
      <c r="L1062" s="229"/>
      <c r="M1062" s="238"/>
      <c r="N1062" s="350">
        <v>0</v>
      </c>
      <c r="O1062" s="348">
        <v>17669</v>
      </c>
      <c r="P1062" s="349">
        <v>16250</v>
      </c>
      <c r="Q1062" s="236">
        <v>30000</v>
      </c>
      <c r="R1062" s="235">
        <v>20000</v>
      </c>
      <c r="S1062" s="235">
        <v>20000</v>
      </c>
      <c r="T1062" s="235">
        <v>20000</v>
      </c>
      <c r="U1062" s="235">
        <v>20000</v>
      </c>
      <c r="V1062" s="235">
        <v>20000</v>
      </c>
    </row>
    <row r="1063" spans="1:22" ht="24" customHeight="1">
      <c r="A1063" s="421" t="s">
        <v>938</v>
      </c>
      <c r="B1063" s="422"/>
      <c r="C1063" s="422"/>
      <c r="D1063" s="546" t="s">
        <v>6</v>
      </c>
      <c r="E1063" s="546"/>
      <c r="F1063" s="546"/>
      <c r="G1063" s="546"/>
      <c r="H1063" s="546"/>
      <c r="I1063" s="546"/>
      <c r="J1063" s="546"/>
      <c r="K1063" s="546"/>
      <c r="L1063" s="229"/>
      <c r="M1063" s="238"/>
      <c r="N1063" s="350">
        <v>0</v>
      </c>
      <c r="O1063" s="348">
        <v>71</v>
      </c>
      <c r="P1063" s="349">
        <v>100</v>
      </c>
      <c r="Q1063" s="236">
        <v>10</v>
      </c>
      <c r="R1063" s="235">
        <v>20</v>
      </c>
      <c r="S1063" s="235">
        <v>20</v>
      </c>
      <c r="T1063" s="235">
        <v>20</v>
      </c>
      <c r="U1063" s="235">
        <v>20</v>
      </c>
      <c r="V1063" s="235">
        <v>20</v>
      </c>
    </row>
    <row r="1064" spans="1:22" ht="24" customHeight="1">
      <c r="A1064" s="421" t="s">
        <v>846</v>
      </c>
      <c r="B1064" s="422"/>
      <c r="C1064" s="422"/>
      <c r="D1064" s="421" t="s">
        <v>847</v>
      </c>
      <c r="E1064" s="337"/>
      <c r="F1064" s="337"/>
      <c r="G1064" s="337"/>
      <c r="H1064" s="337"/>
      <c r="I1064" s="337"/>
      <c r="J1064" s="337"/>
      <c r="K1064" s="337"/>
      <c r="L1064" s="229"/>
      <c r="M1064" s="262"/>
      <c r="N1064" s="357">
        <v>0</v>
      </c>
      <c r="O1064" s="369">
        <v>332519</v>
      </c>
      <c r="P1064" s="370">
        <v>0</v>
      </c>
      <c r="Q1064" s="272">
        <v>0</v>
      </c>
      <c r="R1064" s="271">
        <v>0</v>
      </c>
      <c r="S1064" s="271">
        <v>0</v>
      </c>
      <c r="T1064" s="271">
        <v>0</v>
      </c>
      <c r="U1064" s="271">
        <v>0</v>
      </c>
      <c r="V1064" s="271">
        <v>0</v>
      </c>
    </row>
    <row r="1065" spans="1:22" ht="15" customHeight="1">
      <c r="A1065" s="337"/>
      <c r="B1065" s="337"/>
      <c r="C1065" s="337"/>
      <c r="D1065" s="337"/>
      <c r="E1065" s="337"/>
      <c r="F1065" s="337"/>
      <c r="G1065" s="337"/>
      <c r="H1065" s="337"/>
      <c r="I1065" s="337"/>
      <c r="J1065" s="337"/>
      <c r="K1065" s="337"/>
      <c r="L1065" s="229"/>
      <c r="N1065" s="359"/>
      <c r="O1065" s="359"/>
      <c r="P1065" s="360"/>
      <c r="Q1065" s="255"/>
      <c r="R1065" s="254"/>
      <c r="S1065" s="254"/>
      <c r="T1065" s="254"/>
      <c r="U1065" s="254"/>
      <c r="V1065" s="254"/>
    </row>
    <row r="1066" spans="1:22" s="337" customFormat="1" ht="24" customHeight="1">
      <c r="K1066" s="425" t="s">
        <v>758</v>
      </c>
      <c r="L1066" s="449"/>
      <c r="M1066" s="450"/>
      <c r="N1066" s="361">
        <f t="shared" ref="N1066:U1066" si="106">SUM(N1062:N1065)</f>
        <v>0</v>
      </c>
      <c r="O1066" s="361">
        <f t="shared" si="106"/>
        <v>350259</v>
      </c>
      <c r="P1066" s="362">
        <f t="shared" si="106"/>
        <v>16350</v>
      </c>
      <c r="Q1066" s="362">
        <f>SUM(Q1062:Q1065)</f>
        <v>30010</v>
      </c>
      <c r="R1066" s="361">
        <f t="shared" si="106"/>
        <v>20020</v>
      </c>
      <c r="S1066" s="361">
        <f t="shared" si="106"/>
        <v>20020</v>
      </c>
      <c r="T1066" s="361">
        <f t="shared" si="106"/>
        <v>20020</v>
      </c>
      <c r="U1066" s="361">
        <f t="shared" si="106"/>
        <v>20020</v>
      </c>
      <c r="V1066" s="361">
        <f>SUM(V1062:V1065)</f>
        <v>20020</v>
      </c>
    </row>
    <row r="1067" spans="1:22" ht="15" customHeight="1">
      <c r="A1067" s="337"/>
      <c r="B1067" s="337"/>
      <c r="C1067" s="337"/>
      <c r="D1067" s="337"/>
      <c r="E1067" s="337"/>
      <c r="F1067" s="337"/>
      <c r="G1067" s="337"/>
      <c r="H1067" s="337"/>
      <c r="I1067" s="337"/>
      <c r="J1067" s="337"/>
      <c r="K1067" s="425"/>
      <c r="L1067" s="257"/>
      <c r="M1067" s="258"/>
      <c r="N1067" s="361"/>
      <c r="O1067" s="361"/>
      <c r="P1067" s="362"/>
      <c r="Q1067" s="260"/>
      <c r="R1067" s="259"/>
      <c r="S1067" s="259"/>
      <c r="T1067" s="259"/>
      <c r="U1067" s="259"/>
      <c r="V1067" s="259"/>
    </row>
    <row r="1068" spans="1:22" ht="24" customHeight="1">
      <c r="A1068" s="421" t="s">
        <v>1338</v>
      </c>
      <c r="B1068" s="337"/>
      <c r="C1068" s="337"/>
      <c r="D1068" s="421" t="s">
        <v>1489</v>
      </c>
      <c r="E1068" s="337"/>
      <c r="F1068" s="337"/>
      <c r="G1068" s="337"/>
      <c r="H1068" s="337"/>
      <c r="I1068" s="337"/>
      <c r="J1068" s="337"/>
      <c r="K1068" s="425"/>
      <c r="L1068" s="257"/>
      <c r="M1068" s="258"/>
      <c r="N1068" s="377">
        <v>0</v>
      </c>
      <c r="O1068" s="377">
        <v>0</v>
      </c>
      <c r="P1068" s="378">
        <v>0</v>
      </c>
      <c r="Q1068" s="284">
        <v>3500</v>
      </c>
      <c r="R1068" s="283">
        <v>3500</v>
      </c>
      <c r="S1068" s="283">
        <v>3500</v>
      </c>
      <c r="T1068" s="283">
        <v>3500</v>
      </c>
      <c r="U1068" s="283">
        <v>3500</v>
      </c>
      <c r="V1068" s="283">
        <v>3500</v>
      </c>
    </row>
    <row r="1069" spans="1:22" ht="24" customHeight="1">
      <c r="A1069" s="421" t="s">
        <v>1211</v>
      </c>
      <c r="B1069" s="422"/>
      <c r="C1069" s="422"/>
      <c r="D1069" s="421" t="s">
        <v>304</v>
      </c>
      <c r="E1069" s="422"/>
      <c r="F1069" s="422"/>
      <c r="G1069" s="422"/>
      <c r="H1069" s="422"/>
      <c r="I1069" s="422"/>
      <c r="J1069" s="337"/>
      <c r="K1069" s="425"/>
      <c r="L1069" s="257"/>
      <c r="M1069" s="324"/>
      <c r="N1069" s="377">
        <v>0</v>
      </c>
      <c r="O1069" s="377">
        <v>0</v>
      </c>
      <c r="P1069" s="378">
        <v>0</v>
      </c>
      <c r="Q1069" s="284">
        <v>0</v>
      </c>
      <c r="R1069" s="283">
        <v>0</v>
      </c>
      <c r="S1069" s="283">
        <v>0</v>
      </c>
      <c r="T1069" s="283">
        <v>0</v>
      </c>
      <c r="U1069" s="283">
        <v>0</v>
      </c>
      <c r="V1069" s="283">
        <v>0</v>
      </c>
    </row>
    <row r="1070" spans="1:22" ht="24" customHeight="1">
      <c r="A1070" s="421" t="s">
        <v>1208</v>
      </c>
      <c r="B1070" s="337"/>
      <c r="C1070" s="337"/>
      <c r="D1070" s="421" t="s">
        <v>718</v>
      </c>
      <c r="E1070" s="337"/>
      <c r="F1070" s="337"/>
      <c r="G1070" s="337"/>
      <c r="H1070" s="337"/>
      <c r="I1070" s="337"/>
      <c r="J1070" s="337"/>
      <c r="K1070" s="337"/>
      <c r="L1070" s="229"/>
      <c r="M1070" s="247"/>
      <c r="N1070" s="346">
        <v>0</v>
      </c>
      <c r="O1070" s="377">
        <v>0</v>
      </c>
      <c r="P1070" s="378">
        <v>0</v>
      </c>
      <c r="Q1070" s="284">
        <v>0</v>
      </c>
      <c r="R1070" s="283">
        <v>0</v>
      </c>
      <c r="S1070" s="283">
        <v>0</v>
      </c>
      <c r="T1070" s="283">
        <v>0</v>
      </c>
      <c r="U1070" s="283">
        <v>0</v>
      </c>
      <c r="V1070" s="283">
        <v>0</v>
      </c>
    </row>
    <row r="1071" spans="1:22" ht="24" customHeight="1">
      <c r="A1071" s="421" t="s">
        <v>1209</v>
      </c>
      <c r="B1071" s="337"/>
      <c r="C1071" s="337"/>
      <c r="D1071" s="421" t="s">
        <v>1497</v>
      </c>
      <c r="E1071" s="337"/>
      <c r="F1071" s="337"/>
      <c r="G1071" s="337"/>
      <c r="H1071" s="337"/>
      <c r="I1071" s="337"/>
      <c r="J1071" s="337"/>
      <c r="K1071" s="337"/>
      <c r="L1071" s="229"/>
      <c r="M1071" s="247"/>
      <c r="N1071" s="346">
        <v>0</v>
      </c>
      <c r="O1071" s="377">
        <v>0</v>
      </c>
      <c r="P1071" s="378">
        <v>0</v>
      </c>
      <c r="Q1071" s="284">
        <v>0</v>
      </c>
      <c r="R1071" s="283">
        <v>0</v>
      </c>
      <c r="S1071" s="283">
        <v>0</v>
      </c>
      <c r="T1071" s="283">
        <v>0</v>
      </c>
      <c r="U1071" s="283">
        <v>0</v>
      </c>
      <c r="V1071" s="283">
        <v>0</v>
      </c>
    </row>
    <row r="1072" spans="1:22" ht="24" customHeight="1">
      <c r="A1072" s="421" t="s">
        <v>1210</v>
      </c>
      <c r="B1072" s="337"/>
      <c r="C1072" s="337"/>
      <c r="D1072" s="421" t="s">
        <v>721</v>
      </c>
      <c r="E1072" s="337"/>
      <c r="F1072" s="337"/>
      <c r="G1072" s="337"/>
      <c r="H1072" s="337"/>
      <c r="I1072" s="337"/>
      <c r="J1072" s="337"/>
      <c r="K1072" s="337"/>
      <c r="L1072" s="229"/>
      <c r="M1072" s="247"/>
      <c r="N1072" s="346">
        <v>0</v>
      </c>
      <c r="O1072" s="377">
        <v>0</v>
      </c>
      <c r="P1072" s="378">
        <v>0</v>
      </c>
      <c r="Q1072" s="284">
        <v>1000</v>
      </c>
      <c r="R1072" s="283">
        <v>0</v>
      </c>
      <c r="S1072" s="283">
        <v>0</v>
      </c>
      <c r="T1072" s="283">
        <v>0</v>
      </c>
      <c r="U1072" s="283">
        <v>0</v>
      </c>
      <c r="V1072" s="283">
        <v>0</v>
      </c>
    </row>
    <row r="1073" spans="1:22" ht="24" customHeight="1">
      <c r="A1073" s="421" t="s">
        <v>1213</v>
      </c>
      <c r="B1073" s="337"/>
      <c r="C1073" s="337"/>
      <c r="D1073" s="421" t="s">
        <v>1212</v>
      </c>
      <c r="E1073" s="337"/>
      <c r="F1073" s="337"/>
      <c r="G1073" s="337"/>
      <c r="H1073" s="337"/>
      <c r="I1073" s="337"/>
      <c r="J1073" s="337"/>
      <c r="K1073" s="337"/>
      <c r="L1073" s="229"/>
      <c r="M1073" s="247"/>
      <c r="N1073" s="346">
        <v>0</v>
      </c>
      <c r="O1073" s="377">
        <v>0</v>
      </c>
      <c r="P1073" s="378">
        <v>13474</v>
      </c>
      <c r="Q1073" s="284">
        <v>13474</v>
      </c>
      <c r="R1073" s="283">
        <v>35350</v>
      </c>
      <c r="S1073" s="283">
        <v>16520</v>
      </c>
      <c r="T1073" s="283">
        <v>16520</v>
      </c>
      <c r="U1073" s="283">
        <v>16520</v>
      </c>
      <c r="V1073" s="283">
        <v>16520</v>
      </c>
    </row>
    <row r="1074" spans="1:22" ht="24" customHeight="1">
      <c r="A1074" s="421" t="s">
        <v>981</v>
      </c>
      <c r="B1074" s="422"/>
      <c r="C1074" s="422"/>
      <c r="D1074" s="421" t="s">
        <v>982</v>
      </c>
      <c r="E1074" s="422"/>
      <c r="F1074" s="422"/>
      <c r="G1074" s="337"/>
      <c r="H1074" s="337"/>
      <c r="I1074" s="337"/>
      <c r="J1074" s="337"/>
      <c r="K1074" s="337"/>
      <c r="L1074" s="229"/>
      <c r="M1074" s="247"/>
      <c r="N1074" s="346">
        <v>0</v>
      </c>
      <c r="O1074" s="351">
        <v>10965</v>
      </c>
      <c r="P1074" s="352">
        <v>0</v>
      </c>
      <c r="Q1074" s="242">
        <v>0</v>
      </c>
      <c r="R1074" s="241">
        <v>0</v>
      </c>
      <c r="S1074" s="241">
        <v>0</v>
      </c>
      <c r="T1074" s="241">
        <v>0</v>
      </c>
      <c r="U1074" s="241">
        <v>0</v>
      </c>
      <c r="V1074" s="241">
        <v>0</v>
      </c>
    </row>
    <row r="1075" spans="1:22" ht="24" customHeight="1">
      <c r="A1075" s="421" t="s">
        <v>848</v>
      </c>
      <c r="B1075" s="337"/>
      <c r="C1075" s="337"/>
      <c r="D1075" s="337" t="s">
        <v>1249</v>
      </c>
      <c r="E1075" s="337"/>
      <c r="F1075" s="337"/>
      <c r="G1075" s="337"/>
      <c r="H1075" s="337"/>
      <c r="I1075" s="337"/>
      <c r="J1075" s="337"/>
      <c r="K1075" s="337"/>
      <c r="L1075" s="229"/>
      <c r="M1075" s="249"/>
      <c r="N1075" s="356">
        <v>0</v>
      </c>
      <c r="O1075" s="357">
        <v>332500</v>
      </c>
      <c r="P1075" s="403">
        <v>0</v>
      </c>
      <c r="Q1075" s="321">
        <v>0</v>
      </c>
      <c r="R1075" s="320">
        <v>0</v>
      </c>
      <c r="S1075" s="320">
        <v>0</v>
      </c>
      <c r="T1075" s="320">
        <v>0</v>
      </c>
      <c r="U1075" s="320">
        <v>0</v>
      </c>
      <c r="V1075" s="320">
        <v>0</v>
      </c>
    </row>
    <row r="1076" spans="1:22" ht="15" customHeight="1">
      <c r="A1076" s="421"/>
      <c r="B1076" s="337"/>
      <c r="C1076" s="337"/>
      <c r="D1076" s="337"/>
      <c r="E1076" s="337"/>
      <c r="F1076" s="337"/>
      <c r="G1076" s="337"/>
      <c r="H1076" s="337"/>
      <c r="I1076" s="337"/>
      <c r="J1076" s="337"/>
      <c r="K1076" s="337"/>
      <c r="L1076" s="229"/>
      <c r="N1076" s="359"/>
      <c r="O1076" s="359"/>
      <c r="P1076" s="360"/>
      <c r="Q1076" s="255"/>
      <c r="R1076" s="254"/>
      <c r="S1076" s="254"/>
      <c r="T1076" s="254"/>
      <c r="U1076" s="254"/>
      <c r="V1076" s="254"/>
    </row>
    <row r="1077" spans="1:22" s="337" customFormat="1" ht="24" customHeight="1">
      <c r="A1077" s="421"/>
      <c r="K1077" s="425" t="s">
        <v>761</v>
      </c>
      <c r="L1077" s="449"/>
      <c r="M1077" s="469"/>
      <c r="N1077" s="361">
        <f t="shared" ref="N1077:V1077" si="107">SUM(N1068:N1076)</f>
        <v>0</v>
      </c>
      <c r="O1077" s="361">
        <f t="shared" si="107"/>
        <v>343465</v>
      </c>
      <c r="P1077" s="362">
        <f t="shared" si="107"/>
        <v>13474</v>
      </c>
      <c r="Q1077" s="362">
        <f t="shared" si="107"/>
        <v>17974</v>
      </c>
      <c r="R1077" s="361">
        <f t="shared" si="107"/>
        <v>38850</v>
      </c>
      <c r="S1077" s="361">
        <f t="shared" si="107"/>
        <v>20020</v>
      </c>
      <c r="T1077" s="361">
        <f t="shared" si="107"/>
        <v>20020</v>
      </c>
      <c r="U1077" s="361">
        <f t="shared" si="107"/>
        <v>20020</v>
      </c>
      <c r="V1077" s="361">
        <f t="shared" si="107"/>
        <v>20020</v>
      </c>
    </row>
    <row r="1078" spans="1:22" s="337" customFormat="1" ht="15" customHeight="1">
      <c r="A1078" s="421"/>
      <c r="L1078" s="451"/>
      <c r="M1078" s="463"/>
      <c r="N1078" s="359"/>
      <c r="O1078" s="359"/>
      <c r="P1078" s="360"/>
      <c r="Q1078" s="360"/>
      <c r="R1078" s="359"/>
      <c r="S1078" s="359"/>
      <c r="T1078" s="359"/>
      <c r="U1078" s="359"/>
      <c r="V1078" s="359"/>
    </row>
    <row r="1079" spans="1:22" s="337" customFormat="1" ht="24" customHeight="1">
      <c r="K1079" s="425" t="s">
        <v>762</v>
      </c>
      <c r="L1079" s="449"/>
      <c r="M1079" s="450"/>
      <c r="N1079" s="361">
        <f t="shared" ref="N1079:V1079" si="108">N1066-N1077</f>
        <v>0</v>
      </c>
      <c r="O1079" s="361">
        <f t="shared" si="108"/>
        <v>6794</v>
      </c>
      <c r="P1079" s="362">
        <f t="shared" si="108"/>
        <v>2876</v>
      </c>
      <c r="Q1079" s="362">
        <f t="shared" si="108"/>
        <v>12036</v>
      </c>
      <c r="R1079" s="361">
        <f t="shared" si="108"/>
        <v>-18830</v>
      </c>
      <c r="S1079" s="361">
        <f t="shared" si="108"/>
        <v>0</v>
      </c>
      <c r="T1079" s="361">
        <f t="shared" si="108"/>
        <v>0</v>
      </c>
      <c r="U1079" s="361">
        <f t="shared" si="108"/>
        <v>0</v>
      </c>
      <c r="V1079" s="361">
        <f t="shared" si="108"/>
        <v>0</v>
      </c>
    </row>
    <row r="1080" spans="1:22" s="337" customFormat="1" ht="15" customHeight="1">
      <c r="L1080" s="451"/>
      <c r="M1080" s="463"/>
      <c r="N1080" s="359"/>
      <c r="O1080" s="359"/>
      <c r="P1080" s="360"/>
      <c r="Q1080" s="360"/>
      <c r="R1080" s="359"/>
      <c r="S1080" s="359"/>
      <c r="T1080" s="359"/>
      <c r="U1080" s="359"/>
      <c r="V1080" s="359"/>
    </row>
    <row r="1081" spans="1:22" s="337" customFormat="1" ht="24" customHeight="1">
      <c r="K1081" s="430" t="s">
        <v>764</v>
      </c>
      <c r="L1081" s="449"/>
      <c r="M1081" s="464"/>
      <c r="N1081" s="383">
        <v>0</v>
      </c>
      <c r="O1081" s="361">
        <v>6794</v>
      </c>
      <c r="P1081" s="384">
        <v>0</v>
      </c>
      <c r="Q1081" s="362">
        <f>O1081+Q1079</f>
        <v>18830</v>
      </c>
      <c r="R1081" s="361">
        <f>Q1081+R1079</f>
        <v>0</v>
      </c>
      <c r="S1081" s="361">
        <f>R1081+S1079</f>
        <v>0</v>
      </c>
      <c r="T1081" s="361">
        <f>S1081+T1079</f>
        <v>0</v>
      </c>
      <c r="U1081" s="361">
        <f>T1081+U1079</f>
        <v>0</v>
      </c>
      <c r="V1081" s="361">
        <f>U1081+V1079</f>
        <v>0</v>
      </c>
    </row>
    <row r="1082" spans="1:22" ht="15" customHeight="1">
      <c r="A1082" s="337"/>
      <c r="B1082" s="337"/>
      <c r="C1082" s="337"/>
      <c r="D1082" s="337"/>
      <c r="E1082" s="337"/>
      <c r="F1082" s="337"/>
      <c r="G1082" s="337"/>
      <c r="H1082" s="337"/>
      <c r="I1082" s="337"/>
      <c r="J1082" s="337"/>
      <c r="K1082" s="337"/>
      <c r="L1082" s="229"/>
      <c r="N1082" s="359"/>
      <c r="O1082" s="359"/>
      <c r="P1082" s="360"/>
      <c r="Q1082" s="255"/>
      <c r="R1082" s="254"/>
      <c r="S1082" s="254"/>
      <c r="T1082" s="254"/>
      <c r="U1082" s="254"/>
      <c r="V1082" s="254"/>
    </row>
    <row r="1083" spans="1:22" ht="24" customHeight="1">
      <c r="A1083" s="432" t="s">
        <v>984</v>
      </c>
      <c r="B1083" s="337"/>
      <c r="C1083" s="337"/>
      <c r="D1083" s="337"/>
      <c r="E1083" s="337"/>
      <c r="F1083" s="337"/>
      <c r="G1083" s="337"/>
      <c r="H1083" s="337"/>
      <c r="I1083" s="337"/>
      <c r="J1083" s="337"/>
      <c r="K1083" s="337"/>
      <c r="L1083" s="229"/>
      <c r="N1083" s="359"/>
      <c r="O1083" s="359"/>
      <c r="P1083" s="360"/>
      <c r="Q1083" s="255"/>
      <c r="R1083" s="254"/>
      <c r="S1083" s="254"/>
      <c r="T1083" s="254"/>
      <c r="U1083" s="254"/>
      <c r="V1083" s="254"/>
    </row>
    <row r="1084" spans="1:22" ht="15" customHeight="1">
      <c r="A1084" s="337"/>
      <c r="B1084" s="337"/>
      <c r="C1084" s="337"/>
      <c r="D1084" s="337"/>
      <c r="E1084" s="337"/>
      <c r="F1084" s="337"/>
      <c r="G1084" s="337"/>
      <c r="H1084" s="337"/>
      <c r="I1084" s="337"/>
      <c r="J1084" s="337"/>
      <c r="K1084" s="337"/>
      <c r="L1084" s="229"/>
      <c r="N1084" s="359"/>
      <c r="O1084" s="359"/>
      <c r="P1084" s="360"/>
      <c r="Q1084" s="255"/>
      <c r="R1084" s="254"/>
      <c r="S1084" s="254"/>
      <c r="T1084" s="254"/>
      <c r="U1084" s="254"/>
      <c r="V1084" s="254"/>
    </row>
    <row r="1085" spans="1:22" ht="24" customHeight="1">
      <c r="A1085" s="337" t="s">
        <v>735</v>
      </c>
      <c r="B1085" s="337"/>
      <c r="C1085" s="337"/>
      <c r="D1085" s="337" t="s">
        <v>736</v>
      </c>
      <c r="E1085" s="337"/>
      <c r="F1085" s="337"/>
      <c r="G1085" s="337"/>
      <c r="H1085" s="337"/>
      <c r="I1085" s="337"/>
      <c r="J1085" s="337"/>
      <c r="K1085" s="337"/>
      <c r="L1085" s="229">
        <v>207398</v>
      </c>
      <c r="M1085" s="234">
        <v>216677</v>
      </c>
      <c r="N1085" s="348">
        <v>228346</v>
      </c>
      <c r="O1085" s="350">
        <v>259052</v>
      </c>
      <c r="P1085" s="353">
        <v>0</v>
      </c>
      <c r="Q1085" s="243">
        <v>0</v>
      </c>
      <c r="R1085" s="239">
        <v>0</v>
      </c>
      <c r="S1085" s="239">
        <v>0</v>
      </c>
      <c r="T1085" s="239">
        <v>0</v>
      </c>
      <c r="U1085" s="239">
        <v>0</v>
      </c>
      <c r="V1085" s="239">
        <v>0</v>
      </c>
    </row>
    <row r="1086" spans="1:22" ht="24" customHeight="1">
      <c r="A1086" s="421" t="s">
        <v>737</v>
      </c>
      <c r="B1086" s="422"/>
      <c r="C1086" s="422"/>
      <c r="D1086" s="535" t="s">
        <v>6</v>
      </c>
      <c r="E1086" s="535"/>
      <c r="F1086" s="535"/>
      <c r="G1086" s="535"/>
      <c r="H1086" s="535"/>
      <c r="I1086" s="535"/>
      <c r="J1086" s="535"/>
      <c r="K1086" s="535"/>
      <c r="L1086" s="237"/>
      <c r="M1086" s="317"/>
      <c r="N1086" s="369">
        <v>13</v>
      </c>
      <c r="O1086" s="357">
        <v>275</v>
      </c>
      <c r="P1086" s="358">
        <v>0</v>
      </c>
      <c r="Q1086" s="252">
        <v>0</v>
      </c>
      <c r="R1086" s="251">
        <v>0</v>
      </c>
      <c r="S1086" s="251">
        <v>0</v>
      </c>
      <c r="T1086" s="251">
        <v>0</v>
      </c>
      <c r="U1086" s="251">
        <v>0</v>
      </c>
      <c r="V1086" s="251">
        <v>0</v>
      </c>
    </row>
    <row r="1087" spans="1:22" ht="15" customHeight="1">
      <c r="A1087" s="337"/>
      <c r="B1087" s="337"/>
      <c r="C1087" s="337"/>
      <c r="D1087" s="424"/>
      <c r="E1087" s="424"/>
      <c r="F1087" s="424"/>
      <c r="G1087" s="424"/>
      <c r="H1087" s="424"/>
      <c r="I1087" s="424"/>
      <c r="J1087" s="424"/>
      <c r="K1087" s="424"/>
      <c r="L1087" s="253"/>
      <c r="N1087" s="359"/>
      <c r="O1087" s="359"/>
      <c r="P1087" s="360"/>
      <c r="Q1087" s="255"/>
      <c r="R1087" s="254"/>
      <c r="S1087" s="254"/>
      <c r="T1087" s="254"/>
      <c r="U1087" s="254"/>
      <c r="V1087" s="254"/>
    </row>
    <row r="1088" spans="1:22" s="337" customFormat="1" ht="24" customHeight="1">
      <c r="K1088" s="425" t="s">
        <v>758</v>
      </c>
      <c r="L1088" s="449"/>
      <c r="M1088" s="450"/>
      <c r="N1088" s="361">
        <f t="shared" ref="N1088:U1088" si="109">SUM(N1085:N1087)</f>
        <v>228359</v>
      </c>
      <c r="O1088" s="361">
        <f t="shared" si="109"/>
        <v>259327</v>
      </c>
      <c r="P1088" s="362">
        <f t="shared" si="109"/>
        <v>0</v>
      </c>
      <c r="Q1088" s="362">
        <f>SUM(Q1085:Q1087)</f>
        <v>0</v>
      </c>
      <c r="R1088" s="361">
        <f t="shared" si="109"/>
        <v>0</v>
      </c>
      <c r="S1088" s="361">
        <f t="shared" si="109"/>
        <v>0</v>
      </c>
      <c r="T1088" s="361">
        <f t="shared" si="109"/>
        <v>0</v>
      </c>
      <c r="U1088" s="361">
        <f t="shared" si="109"/>
        <v>0</v>
      </c>
      <c r="V1088" s="361">
        <f>SUM(V1085:V1087)</f>
        <v>0</v>
      </c>
    </row>
    <row r="1089" spans="1:22" ht="15" customHeight="1">
      <c r="A1089" s="337"/>
      <c r="B1089" s="337"/>
      <c r="C1089" s="337"/>
      <c r="D1089" s="337"/>
      <c r="E1089" s="337"/>
      <c r="F1089" s="337"/>
      <c r="G1089" s="337"/>
      <c r="H1089" s="337"/>
      <c r="I1089" s="337"/>
      <c r="J1089" s="337"/>
      <c r="K1089" s="337"/>
      <c r="L1089" s="229"/>
      <c r="N1089" s="359"/>
      <c r="O1089" s="359"/>
      <c r="P1089" s="360"/>
      <c r="Q1089" s="255"/>
      <c r="R1089" s="254"/>
      <c r="S1089" s="254"/>
      <c r="T1089" s="254"/>
      <c r="U1089" s="254"/>
      <c r="V1089" s="254"/>
    </row>
    <row r="1090" spans="1:22" ht="24" customHeight="1">
      <c r="A1090" s="421" t="s">
        <v>1326</v>
      </c>
      <c r="B1090" s="422"/>
      <c r="C1090" s="422"/>
      <c r="D1090" s="421" t="s">
        <v>946</v>
      </c>
      <c r="E1090" s="422"/>
      <c r="F1090" s="422"/>
      <c r="G1090" s="422"/>
      <c r="H1090" s="422"/>
      <c r="I1090" s="422"/>
      <c r="J1090" s="422"/>
      <c r="K1090" s="422"/>
      <c r="L1090" s="237"/>
      <c r="M1090" s="269"/>
      <c r="N1090" s="350">
        <v>0</v>
      </c>
      <c r="O1090" s="350">
        <v>658757</v>
      </c>
      <c r="P1090" s="353">
        <v>0</v>
      </c>
      <c r="Q1090" s="243">
        <v>0</v>
      </c>
      <c r="R1090" s="239">
        <v>0</v>
      </c>
      <c r="S1090" s="239">
        <v>0</v>
      </c>
      <c r="T1090" s="239">
        <v>0</v>
      </c>
      <c r="U1090" s="239">
        <v>0</v>
      </c>
      <c r="V1090" s="239">
        <v>0</v>
      </c>
    </row>
    <row r="1091" spans="1:22" ht="24" customHeight="1">
      <c r="A1091" s="421" t="s">
        <v>738</v>
      </c>
      <c r="B1091" s="422"/>
      <c r="C1091" s="422"/>
      <c r="D1091" s="421" t="s">
        <v>739</v>
      </c>
      <c r="E1091" s="422"/>
      <c r="F1091" s="422"/>
      <c r="G1091" s="422"/>
      <c r="H1091" s="422"/>
      <c r="I1091" s="422"/>
      <c r="J1091" s="422"/>
      <c r="K1091" s="422"/>
      <c r="L1091" s="237"/>
      <c r="M1091" s="263"/>
      <c r="N1091" s="348">
        <v>1989</v>
      </c>
      <c r="O1091" s="350">
        <v>3565</v>
      </c>
      <c r="P1091" s="353">
        <v>0</v>
      </c>
      <c r="Q1091" s="243">
        <v>0</v>
      </c>
      <c r="R1091" s="239">
        <v>0</v>
      </c>
      <c r="S1091" s="239">
        <v>0</v>
      </c>
      <c r="T1091" s="239">
        <v>0</v>
      </c>
      <c r="U1091" s="239">
        <v>0</v>
      </c>
      <c r="V1091" s="239">
        <v>0</v>
      </c>
    </row>
    <row r="1092" spans="1:22" ht="24" customHeight="1">
      <c r="A1092" s="423" t="s">
        <v>863</v>
      </c>
      <c r="B1092" s="422"/>
      <c r="C1092" s="422"/>
      <c r="D1092" s="421" t="s">
        <v>359</v>
      </c>
      <c r="E1092" s="422"/>
      <c r="F1092" s="422"/>
      <c r="G1092" s="422"/>
      <c r="H1092" s="422"/>
      <c r="I1092" s="422"/>
      <c r="J1092" s="422"/>
      <c r="K1092" s="422"/>
      <c r="L1092" s="237"/>
      <c r="M1092" s="269"/>
      <c r="N1092" s="350">
        <v>0</v>
      </c>
      <c r="O1092" s="350">
        <v>11236</v>
      </c>
      <c r="P1092" s="353">
        <v>0</v>
      </c>
      <c r="Q1092" s="243">
        <v>0</v>
      </c>
      <c r="R1092" s="239">
        <v>0</v>
      </c>
      <c r="S1092" s="239">
        <v>0</v>
      </c>
      <c r="T1092" s="239">
        <v>0</v>
      </c>
      <c r="U1092" s="239">
        <v>0</v>
      </c>
      <c r="V1092" s="239">
        <v>0</v>
      </c>
    </row>
    <row r="1093" spans="1:22" ht="24" customHeight="1">
      <c r="A1093" s="425" t="s">
        <v>740</v>
      </c>
      <c r="B1093" s="425"/>
      <c r="C1093" s="425"/>
      <c r="D1093" s="425"/>
      <c r="E1093" s="425"/>
      <c r="F1093" s="425"/>
      <c r="G1093" s="425"/>
      <c r="H1093" s="425"/>
      <c r="I1093" s="425"/>
      <c r="J1093" s="425"/>
      <c r="K1093" s="425"/>
      <c r="L1093" s="257"/>
      <c r="N1093" s="359"/>
      <c r="O1093" s="359"/>
      <c r="P1093" s="360"/>
      <c r="Q1093" s="255"/>
      <c r="R1093" s="254"/>
      <c r="S1093" s="254"/>
      <c r="T1093" s="254"/>
      <c r="U1093" s="254"/>
      <c r="V1093" s="254"/>
    </row>
    <row r="1094" spans="1:22" ht="24" customHeight="1">
      <c r="A1094" s="421" t="s">
        <v>741</v>
      </c>
      <c r="B1094" s="422"/>
      <c r="C1094" s="422"/>
      <c r="D1094" s="421" t="s">
        <v>1417</v>
      </c>
      <c r="E1094" s="422"/>
      <c r="F1094" s="422"/>
      <c r="G1094" s="422"/>
      <c r="H1094" s="422"/>
      <c r="I1094" s="422"/>
      <c r="J1094" s="422"/>
      <c r="K1094" s="422"/>
      <c r="L1094" s="237"/>
      <c r="M1094" s="263"/>
      <c r="N1094" s="348">
        <v>70000</v>
      </c>
      <c r="O1094" s="350">
        <v>70000</v>
      </c>
      <c r="P1094" s="353">
        <v>0</v>
      </c>
      <c r="Q1094" s="243">
        <v>0</v>
      </c>
      <c r="R1094" s="239">
        <v>0</v>
      </c>
      <c r="S1094" s="239">
        <v>0</v>
      </c>
      <c r="T1094" s="239">
        <v>0</v>
      </c>
      <c r="U1094" s="239">
        <v>0</v>
      </c>
      <c r="V1094" s="239">
        <v>0</v>
      </c>
    </row>
    <row r="1095" spans="1:22" ht="24" customHeight="1">
      <c r="A1095" s="421" t="s">
        <v>742</v>
      </c>
      <c r="B1095" s="422"/>
      <c r="C1095" s="422"/>
      <c r="D1095" s="421" t="s">
        <v>384</v>
      </c>
      <c r="E1095" s="422"/>
      <c r="F1095" s="422"/>
      <c r="G1095" s="422"/>
      <c r="H1095" s="422"/>
      <c r="I1095" s="422"/>
      <c r="J1095" s="422"/>
      <c r="K1095" s="422"/>
      <c r="L1095" s="237"/>
      <c r="M1095" s="279"/>
      <c r="N1095" s="351">
        <v>9933</v>
      </c>
      <c r="O1095" s="350">
        <v>6782</v>
      </c>
      <c r="P1095" s="353">
        <v>0</v>
      </c>
      <c r="Q1095" s="243">
        <v>0</v>
      </c>
      <c r="R1095" s="239">
        <v>0</v>
      </c>
      <c r="S1095" s="239">
        <v>0</v>
      </c>
      <c r="T1095" s="239">
        <v>0</v>
      </c>
      <c r="U1095" s="239">
        <v>0</v>
      </c>
      <c r="V1095" s="239">
        <v>0</v>
      </c>
    </row>
    <row r="1096" spans="1:22" ht="24" customHeight="1">
      <c r="A1096" s="421" t="s">
        <v>743</v>
      </c>
      <c r="B1096" s="422"/>
      <c r="C1096" s="422"/>
      <c r="D1096" s="421" t="s">
        <v>489</v>
      </c>
      <c r="E1096" s="422"/>
      <c r="F1096" s="422"/>
      <c r="G1096" s="422"/>
      <c r="H1096" s="422"/>
      <c r="I1096" s="422"/>
      <c r="J1096" s="422"/>
      <c r="K1096" s="422"/>
      <c r="L1096" s="237"/>
      <c r="M1096" s="263"/>
      <c r="N1096" s="348">
        <v>0</v>
      </c>
      <c r="O1096" s="348">
        <v>0</v>
      </c>
      <c r="P1096" s="349">
        <v>0</v>
      </c>
      <c r="Q1096" s="236">
        <v>0</v>
      </c>
      <c r="R1096" s="235">
        <v>0</v>
      </c>
      <c r="S1096" s="235">
        <v>0</v>
      </c>
      <c r="T1096" s="235">
        <v>0</v>
      </c>
      <c r="U1096" s="235">
        <v>0</v>
      </c>
      <c r="V1096" s="235">
        <v>0</v>
      </c>
    </row>
    <row r="1097" spans="1:22" ht="24" customHeight="1">
      <c r="A1097" s="421" t="s">
        <v>951</v>
      </c>
      <c r="B1097" s="422"/>
      <c r="C1097" s="422"/>
      <c r="D1097" s="421" t="s">
        <v>273</v>
      </c>
      <c r="E1097" s="422"/>
      <c r="F1097" s="422"/>
      <c r="G1097" s="422"/>
      <c r="H1097" s="422"/>
      <c r="I1097" s="422"/>
      <c r="J1097" s="422"/>
      <c r="K1097" s="422"/>
      <c r="L1097" s="237"/>
      <c r="M1097" s="286"/>
      <c r="N1097" s="357">
        <v>0</v>
      </c>
      <c r="O1097" s="357">
        <v>78777</v>
      </c>
      <c r="P1097" s="358">
        <v>0</v>
      </c>
      <c r="Q1097" s="252">
        <v>0</v>
      </c>
      <c r="R1097" s="251">
        <v>0</v>
      </c>
      <c r="S1097" s="251">
        <v>0</v>
      </c>
      <c r="T1097" s="251">
        <v>0</v>
      </c>
      <c r="U1097" s="251">
        <v>0</v>
      </c>
      <c r="V1097" s="251">
        <v>0</v>
      </c>
    </row>
    <row r="1098" spans="1:22" ht="15" customHeight="1">
      <c r="A1098" s="337"/>
      <c r="B1098" s="337"/>
      <c r="C1098" s="337"/>
      <c r="D1098" s="337"/>
      <c r="E1098" s="337"/>
      <c r="F1098" s="337"/>
      <c r="G1098" s="337"/>
      <c r="H1098" s="337"/>
      <c r="I1098" s="337"/>
      <c r="J1098" s="337"/>
      <c r="K1098" s="337"/>
      <c r="L1098" s="229"/>
      <c r="N1098" s="359"/>
      <c r="O1098" s="359"/>
      <c r="P1098" s="360"/>
      <c r="Q1098" s="255"/>
      <c r="R1098" s="254"/>
      <c r="S1098" s="254"/>
      <c r="T1098" s="254"/>
      <c r="U1098" s="254"/>
      <c r="V1098" s="254"/>
    </row>
    <row r="1099" spans="1:22" s="337" customFormat="1" ht="24" customHeight="1">
      <c r="K1099" s="425" t="s">
        <v>761</v>
      </c>
      <c r="L1099" s="449"/>
      <c r="M1099" s="469"/>
      <c r="N1099" s="361">
        <f>SUM(N1090:N1098)</f>
        <v>81922</v>
      </c>
      <c r="O1099" s="361">
        <f t="shared" ref="O1099:V1099" si="110">SUM(O1090:O1098)</f>
        <v>829117</v>
      </c>
      <c r="P1099" s="362">
        <f t="shared" si="110"/>
        <v>0</v>
      </c>
      <c r="Q1099" s="362">
        <f t="shared" si="110"/>
        <v>0</v>
      </c>
      <c r="R1099" s="361">
        <f t="shared" si="110"/>
        <v>0</v>
      </c>
      <c r="S1099" s="361">
        <f t="shared" si="110"/>
        <v>0</v>
      </c>
      <c r="T1099" s="361">
        <f t="shared" si="110"/>
        <v>0</v>
      </c>
      <c r="U1099" s="361">
        <f t="shared" si="110"/>
        <v>0</v>
      </c>
      <c r="V1099" s="361">
        <f t="shared" si="110"/>
        <v>0</v>
      </c>
    </row>
    <row r="1100" spans="1:22" s="337" customFormat="1" ht="15" customHeight="1">
      <c r="L1100" s="451"/>
      <c r="M1100" s="463"/>
      <c r="N1100" s="359"/>
      <c r="O1100" s="359"/>
      <c r="P1100" s="360"/>
      <c r="Q1100" s="360"/>
      <c r="R1100" s="359"/>
      <c r="S1100" s="359"/>
      <c r="T1100" s="359"/>
      <c r="U1100" s="359"/>
      <c r="V1100" s="359"/>
    </row>
    <row r="1101" spans="1:22" s="337" customFormat="1" ht="24" customHeight="1">
      <c r="K1101" s="425" t="s">
        <v>762</v>
      </c>
      <c r="L1101" s="449"/>
      <c r="M1101" s="450"/>
      <c r="N1101" s="361">
        <f t="shared" ref="N1101:V1101" si="111">N1088-N1099</f>
        <v>146437</v>
      </c>
      <c r="O1101" s="361">
        <f t="shared" si="111"/>
        <v>-569790</v>
      </c>
      <c r="P1101" s="362">
        <f t="shared" si="111"/>
        <v>0</v>
      </c>
      <c r="Q1101" s="362">
        <f t="shared" si="111"/>
        <v>0</v>
      </c>
      <c r="R1101" s="361">
        <f t="shared" si="111"/>
        <v>0</v>
      </c>
      <c r="S1101" s="361">
        <f t="shared" si="111"/>
        <v>0</v>
      </c>
      <c r="T1101" s="361">
        <f t="shared" si="111"/>
        <v>0</v>
      </c>
      <c r="U1101" s="361">
        <f t="shared" si="111"/>
        <v>0</v>
      </c>
      <c r="V1101" s="361">
        <f t="shared" si="111"/>
        <v>0</v>
      </c>
    </row>
    <row r="1102" spans="1:22" s="337" customFormat="1" ht="15" customHeight="1">
      <c r="L1102" s="451"/>
      <c r="M1102" s="463"/>
      <c r="N1102" s="359"/>
      <c r="O1102" s="359"/>
      <c r="P1102" s="360"/>
      <c r="Q1102" s="360"/>
      <c r="R1102" s="359"/>
      <c r="S1102" s="359"/>
      <c r="T1102" s="359"/>
      <c r="U1102" s="359"/>
      <c r="V1102" s="359"/>
    </row>
    <row r="1103" spans="1:22" s="337" customFormat="1" ht="24" customHeight="1">
      <c r="K1103" s="430" t="s">
        <v>764</v>
      </c>
      <c r="L1103" s="449"/>
      <c r="M1103" s="449"/>
      <c r="N1103" s="383">
        <v>569790</v>
      </c>
      <c r="O1103" s="383">
        <v>0</v>
      </c>
      <c r="P1103" s="384">
        <v>0</v>
      </c>
      <c r="Q1103" s="384">
        <f>O1103+Q1101</f>
        <v>0</v>
      </c>
      <c r="R1103" s="383">
        <f>Q1103+R1101</f>
        <v>0</v>
      </c>
      <c r="S1103" s="383">
        <f>R1103+S1101</f>
        <v>0</v>
      </c>
      <c r="T1103" s="383">
        <f>S1103+T1101</f>
        <v>0</v>
      </c>
      <c r="U1103" s="383">
        <f>T1103+U1101</f>
        <v>0</v>
      </c>
      <c r="V1103" s="383">
        <f>U1103+V1101</f>
        <v>0</v>
      </c>
    </row>
    <row r="1104" spans="1:22" ht="15" customHeight="1">
      <c r="A1104" s="337"/>
      <c r="B1104" s="337"/>
      <c r="C1104" s="337"/>
      <c r="D1104" s="337"/>
      <c r="E1104" s="337"/>
      <c r="F1104" s="337"/>
      <c r="G1104" s="337"/>
      <c r="H1104" s="337"/>
      <c r="I1104" s="337"/>
      <c r="J1104" s="337"/>
      <c r="K1104" s="337"/>
      <c r="L1104" s="229"/>
      <c r="N1104" s="359"/>
      <c r="O1104" s="359"/>
      <c r="P1104" s="360"/>
      <c r="Q1104" s="255"/>
      <c r="R1104" s="254"/>
      <c r="S1104" s="254"/>
      <c r="T1104" s="254"/>
      <c r="U1104" s="254"/>
      <c r="V1104" s="254"/>
    </row>
    <row r="1105" spans="1:26" ht="24" customHeight="1">
      <c r="A1105" s="432" t="s">
        <v>747</v>
      </c>
      <c r="B1105" s="337"/>
      <c r="C1105" s="337"/>
      <c r="D1105" s="337"/>
      <c r="E1105" s="337"/>
      <c r="F1105" s="337"/>
      <c r="G1105" s="337"/>
      <c r="H1105" s="337"/>
      <c r="I1105" s="337"/>
      <c r="J1105" s="337"/>
      <c r="K1105" s="337"/>
      <c r="L1105" s="229"/>
      <c r="N1105" s="359"/>
      <c r="O1105" s="359"/>
      <c r="P1105" s="360"/>
      <c r="Q1105" s="255"/>
      <c r="R1105" s="254"/>
      <c r="S1105" s="254"/>
      <c r="T1105" s="254"/>
      <c r="U1105" s="254"/>
      <c r="V1105" s="254"/>
    </row>
    <row r="1106" spans="1:26" ht="15" customHeight="1">
      <c r="A1106" s="337"/>
      <c r="B1106" s="337"/>
      <c r="C1106" s="337"/>
      <c r="D1106" s="337"/>
      <c r="E1106" s="337"/>
      <c r="F1106" s="337"/>
      <c r="G1106" s="337"/>
      <c r="H1106" s="337"/>
      <c r="I1106" s="337"/>
      <c r="J1106" s="337"/>
      <c r="K1106" s="337"/>
      <c r="L1106" s="229"/>
      <c r="N1106" s="359"/>
      <c r="O1106" s="359"/>
      <c r="P1106" s="360"/>
      <c r="Q1106" s="255"/>
      <c r="R1106" s="254"/>
      <c r="S1106" s="254"/>
      <c r="T1106" s="254"/>
      <c r="U1106" s="254"/>
      <c r="V1106" s="254"/>
    </row>
    <row r="1107" spans="1:26" ht="24" customHeight="1">
      <c r="A1107" s="337" t="s">
        <v>744</v>
      </c>
      <c r="B1107" s="337"/>
      <c r="C1107" s="337"/>
      <c r="D1107" s="337" t="s">
        <v>745</v>
      </c>
      <c r="E1107" s="337"/>
      <c r="F1107" s="337"/>
      <c r="G1107" s="337"/>
      <c r="H1107" s="337"/>
      <c r="I1107" s="337"/>
      <c r="J1107" s="337"/>
      <c r="K1107" s="337"/>
      <c r="L1107" s="229">
        <v>8455</v>
      </c>
      <c r="M1107" s="234">
        <v>6250</v>
      </c>
      <c r="N1107" s="348">
        <v>6372</v>
      </c>
      <c r="O1107" s="348">
        <v>4188</v>
      </c>
      <c r="P1107" s="349">
        <v>4500</v>
      </c>
      <c r="Q1107" s="236">
        <v>0</v>
      </c>
      <c r="R1107" s="235">
        <v>0</v>
      </c>
      <c r="S1107" s="235">
        <v>0</v>
      </c>
      <c r="T1107" s="235">
        <v>100000</v>
      </c>
      <c r="U1107" s="235">
        <v>100000</v>
      </c>
      <c r="V1107" s="235">
        <v>100000</v>
      </c>
    </row>
    <row r="1108" spans="1:26" ht="24" customHeight="1">
      <c r="A1108" s="421" t="s">
        <v>746</v>
      </c>
      <c r="B1108" s="422"/>
      <c r="C1108" s="422"/>
      <c r="D1108" s="535" t="s">
        <v>6</v>
      </c>
      <c r="E1108" s="535"/>
      <c r="F1108" s="535"/>
      <c r="G1108" s="535"/>
      <c r="H1108" s="535"/>
      <c r="I1108" s="535"/>
      <c r="J1108" s="535"/>
      <c r="K1108" s="535"/>
      <c r="L1108" s="237">
        <v>37322</v>
      </c>
      <c r="M1108" s="317">
        <v>8223</v>
      </c>
      <c r="N1108" s="369">
        <v>3134</v>
      </c>
      <c r="O1108" s="369">
        <v>2718</v>
      </c>
      <c r="P1108" s="370">
        <v>2000</v>
      </c>
      <c r="Q1108" s="272">
        <v>3100</v>
      </c>
      <c r="R1108" s="271">
        <v>1550</v>
      </c>
      <c r="S1108" s="271">
        <v>0</v>
      </c>
      <c r="T1108" s="271">
        <v>0</v>
      </c>
      <c r="U1108" s="271">
        <v>0</v>
      </c>
      <c r="V1108" s="271">
        <v>0</v>
      </c>
    </row>
    <row r="1109" spans="1:26" ht="15" customHeight="1">
      <c r="A1109" s="337"/>
      <c r="B1109" s="337"/>
      <c r="C1109" s="337"/>
      <c r="D1109" s="337"/>
      <c r="E1109" s="337"/>
      <c r="F1109" s="337"/>
      <c r="G1109" s="337"/>
      <c r="H1109" s="337"/>
      <c r="I1109" s="337"/>
      <c r="J1109" s="337"/>
      <c r="K1109" s="337"/>
      <c r="L1109" s="229"/>
      <c r="N1109" s="359"/>
      <c r="O1109" s="359"/>
      <c r="P1109" s="360"/>
      <c r="Q1109" s="255"/>
      <c r="R1109" s="254"/>
      <c r="S1109" s="254"/>
      <c r="T1109" s="254"/>
      <c r="U1109" s="254"/>
      <c r="V1109" s="254"/>
    </row>
    <row r="1110" spans="1:26" s="337" customFormat="1" ht="24" customHeight="1">
      <c r="K1110" s="425" t="s">
        <v>758</v>
      </c>
      <c r="L1110" s="449"/>
      <c r="M1110" s="450"/>
      <c r="N1110" s="361">
        <f t="shared" ref="N1110:U1110" si="112">SUM(N1107:N1109)</f>
        <v>9506</v>
      </c>
      <c r="O1110" s="361">
        <f t="shared" si="112"/>
        <v>6906</v>
      </c>
      <c r="P1110" s="362">
        <f t="shared" si="112"/>
        <v>6500</v>
      </c>
      <c r="Q1110" s="362">
        <f>SUM(Q1107:Q1109)</f>
        <v>3100</v>
      </c>
      <c r="R1110" s="361">
        <f t="shared" si="112"/>
        <v>1550</v>
      </c>
      <c r="S1110" s="361">
        <f t="shared" si="112"/>
        <v>0</v>
      </c>
      <c r="T1110" s="361">
        <f t="shared" si="112"/>
        <v>100000</v>
      </c>
      <c r="U1110" s="361">
        <f t="shared" si="112"/>
        <v>100000</v>
      </c>
      <c r="V1110" s="361">
        <f>SUM(V1107:V1109)</f>
        <v>100000</v>
      </c>
    </row>
    <row r="1111" spans="1:26" ht="15" customHeight="1">
      <c r="A1111" s="337"/>
      <c r="B1111" s="337"/>
      <c r="C1111" s="337"/>
      <c r="D1111" s="337"/>
      <c r="E1111" s="337"/>
      <c r="F1111" s="337"/>
      <c r="G1111" s="337"/>
      <c r="H1111" s="337"/>
      <c r="I1111" s="337"/>
      <c r="J1111" s="337"/>
      <c r="K1111" s="337"/>
      <c r="L1111" s="229"/>
      <c r="N1111" s="359"/>
      <c r="O1111" s="359"/>
      <c r="P1111" s="360"/>
      <c r="Q1111" s="255"/>
      <c r="R1111" s="254"/>
      <c r="S1111" s="254"/>
      <c r="T1111" s="254"/>
      <c r="U1111" s="254"/>
      <c r="V1111" s="254"/>
    </row>
    <row r="1112" spans="1:26" ht="24" customHeight="1">
      <c r="A1112" s="421" t="s">
        <v>748</v>
      </c>
      <c r="B1112" s="422"/>
      <c r="C1112" s="422"/>
      <c r="D1112" s="421" t="s">
        <v>739</v>
      </c>
      <c r="E1112" s="422"/>
      <c r="F1112" s="422"/>
      <c r="G1112" s="422"/>
      <c r="H1112" s="422"/>
      <c r="I1112" s="422"/>
      <c r="J1112" s="422"/>
      <c r="K1112" s="337"/>
      <c r="L1112" s="229"/>
      <c r="M1112" s="247"/>
      <c r="N1112" s="346">
        <v>1248</v>
      </c>
      <c r="O1112" s="346">
        <v>1067</v>
      </c>
      <c r="P1112" s="347">
        <v>1000</v>
      </c>
      <c r="Q1112" s="232">
        <v>2000</v>
      </c>
      <c r="R1112" s="231">
        <v>2000</v>
      </c>
      <c r="S1112" s="231">
        <v>2000</v>
      </c>
      <c r="T1112" s="231">
        <v>2000</v>
      </c>
      <c r="U1112" s="231">
        <v>2000</v>
      </c>
      <c r="V1112" s="231">
        <v>2000</v>
      </c>
    </row>
    <row r="1113" spans="1:26" ht="24" customHeight="1">
      <c r="A1113" s="421" t="s">
        <v>1329</v>
      </c>
      <c r="B1113" s="422"/>
      <c r="C1113" s="422"/>
      <c r="D1113" s="421" t="s">
        <v>1420</v>
      </c>
      <c r="E1113" s="422"/>
      <c r="F1113" s="422"/>
      <c r="G1113" s="422"/>
      <c r="H1113" s="422"/>
      <c r="I1113" s="422"/>
      <c r="J1113" s="422"/>
      <c r="K1113" s="337"/>
      <c r="L1113" s="229"/>
      <c r="M1113" s="247"/>
      <c r="N1113" s="346">
        <v>0</v>
      </c>
      <c r="O1113" s="346">
        <v>0</v>
      </c>
      <c r="P1113" s="347">
        <v>0</v>
      </c>
      <c r="Q1113" s="232">
        <v>0</v>
      </c>
      <c r="R1113" s="231">
        <v>1800000</v>
      </c>
      <c r="S1113" s="231">
        <v>0</v>
      </c>
      <c r="T1113" s="231">
        <v>0</v>
      </c>
      <c r="U1113" s="231">
        <v>0</v>
      </c>
      <c r="V1113" s="231">
        <v>0</v>
      </c>
    </row>
    <row r="1114" spans="1:26" ht="24" customHeight="1">
      <c r="A1114" s="421" t="s">
        <v>749</v>
      </c>
      <c r="B1114" s="422"/>
      <c r="C1114" s="422"/>
      <c r="D1114" s="421" t="s">
        <v>417</v>
      </c>
      <c r="E1114" s="422"/>
      <c r="F1114" s="422"/>
      <c r="G1114" s="422"/>
      <c r="H1114" s="422"/>
      <c r="I1114" s="422"/>
      <c r="J1114" s="422"/>
      <c r="K1114" s="337"/>
      <c r="L1114" s="229"/>
      <c r="M1114" s="269"/>
      <c r="N1114" s="350">
        <v>375</v>
      </c>
      <c r="O1114" s="350">
        <v>375</v>
      </c>
      <c r="P1114" s="353">
        <v>375</v>
      </c>
      <c r="Q1114" s="243">
        <v>375</v>
      </c>
      <c r="R1114" s="239">
        <v>375</v>
      </c>
      <c r="S1114" s="239">
        <v>375</v>
      </c>
      <c r="T1114" s="239">
        <v>375</v>
      </c>
      <c r="U1114" s="239">
        <v>375</v>
      </c>
      <c r="V1114" s="239">
        <v>375</v>
      </c>
    </row>
    <row r="1115" spans="1:26" ht="24" customHeight="1">
      <c r="A1115" s="425" t="s">
        <v>750</v>
      </c>
      <c r="B1115" s="425"/>
      <c r="C1115" s="425"/>
      <c r="D1115" s="425"/>
      <c r="E1115" s="425"/>
      <c r="F1115" s="425"/>
      <c r="G1115" s="425"/>
      <c r="H1115" s="425"/>
      <c r="I1115" s="425"/>
      <c r="J1115" s="425"/>
      <c r="K1115" s="337"/>
      <c r="L1115" s="229"/>
      <c r="N1115" s="359"/>
      <c r="O1115" s="359"/>
      <c r="P1115" s="360"/>
      <c r="Q1115" s="255"/>
      <c r="R1115" s="254"/>
      <c r="S1115" s="254"/>
      <c r="T1115" s="254"/>
      <c r="U1115" s="254"/>
      <c r="V1115" s="254"/>
      <c r="X1115" s="332"/>
      <c r="Y1115" s="332"/>
      <c r="Z1115" s="332"/>
    </row>
    <row r="1116" spans="1:26" ht="24" customHeight="1">
      <c r="A1116" s="421" t="s">
        <v>751</v>
      </c>
      <c r="B1116" s="422"/>
      <c r="C1116" s="422"/>
      <c r="D1116" s="421" t="s">
        <v>1417</v>
      </c>
      <c r="E1116" s="422"/>
      <c r="F1116" s="422"/>
      <c r="G1116" s="422"/>
      <c r="H1116" s="422"/>
      <c r="I1116" s="422"/>
      <c r="J1116" s="422"/>
      <c r="K1116" s="337"/>
      <c r="L1116" s="229"/>
      <c r="M1116" s="263"/>
      <c r="N1116" s="348">
        <v>170000</v>
      </c>
      <c r="O1116" s="350">
        <v>175000</v>
      </c>
      <c r="P1116" s="353">
        <v>180000</v>
      </c>
      <c r="Q1116" s="243">
        <v>180000</v>
      </c>
      <c r="R1116" s="239">
        <v>185000</v>
      </c>
      <c r="S1116" s="239">
        <v>195000</v>
      </c>
      <c r="T1116" s="239">
        <v>200000</v>
      </c>
      <c r="U1116" s="239">
        <v>210000</v>
      </c>
      <c r="V1116" s="239">
        <v>220000</v>
      </c>
      <c r="X1116" s="311"/>
      <c r="Y1116" s="311"/>
      <c r="Z1116" s="311"/>
    </row>
    <row r="1117" spans="1:26" ht="24" customHeight="1">
      <c r="A1117" s="421" t="s">
        <v>752</v>
      </c>
      <c r="B1117" s="422"/>
      <c r="C1117" s="422"/>
      <c r="D1117" s="421" t="s">
        <v>384</v>
      </c>
      <c r="E1117" s="422"/>
      <c r="F1117" s="422"/>
      <c r="G1117" s="422"/>
      <c r="H1117" s="422"/>
      <c r="I1117" s="422"/>
      <c r="J1117" s="422"/>
      <c r="K1117" s="337"/>
      <c r="L1117" s="229"/>
      <c r="M1117" s="314"/>
      <c r="N1117" s="351">
        <v>137093</v>
      </c>
      <c r="O1117" s="350">
        <v>131143</v>
      </c>
      <c r="P1117" s="353">
        <v>124668</v>
      </c>
      <c r="Q1117" s="243">
        <v>124668</v>
      </c>
      <c r="R1117" s="239">
        <v>117738</v>
      </c>
      <c r="S1117" s="239">
        <v>110523</v>
      </c>
      <c r="T1117" s="239">
        <v>102723</v>
      </c>
      <c r="U1117" s="239">
        <v>94723</v>
      </c>
      <c r="V1117" s="239">
        <v>86323</v>
      </c>
      <c r="X1117" s="311"/>
      <c r="Y1117" s="311"/>
      <c r="Z1117" s="311"/>
    </row>
    <row r="1118" spans="1:26" ht="24" customHeight="1">
      <c r="A1118" s="425" t="s">
        <v>1422</v>
      </c>
      <c r="B1118" s="425"/>
      <c r="C1118" s="425"/>
      <c r="D1118" s="425"/>
      <c r="E1118" s="425"/>
      <c r="F1118" s="425"/>
      <c r="G1118" s="425"/>
      <c r="H1118" s="425"/>
      <c r="I1118" s="425"/>
      <c r="J1118" s="425"/>
      <c r="K1118" s="337"/>
      <c r="L1118" s="229"/>
      <c r="N1118" s="359"/>
      <c r="O1118" s="359"/>
      <c r="P1118" s="360"/>
      <c r="Q1118" s="255"/>
      <c r="R1118" s="254"/>
      <c r="S1118" s="254"/>
      <c r="T1118" s="254"/>
      <c r="U1118" s="254"/>
      <c r="V1118" s="254"/>
      <c r="X1118" s="311"/>
      <c r="Y1118" s="311"/>
      <c r="Z1118" s="311"/>
    </row>
    <row r="1119" spans="1:26" ht="24" customHeight="1">
      <c r="A1119" s="421" t="s">
        <v>1423</v>
      </c>
      <c r="B1119" s="422"/>
      <c r="C1119" s="422"/>
      <c r="D1119" s="421" t="s">
        <v>1417</v>
      </c>
      <c r="E1119" s="422"/>
      <c r="F1119" s="422"/>
      <c r="G1119" s="422"/>
      <c r="H1119" s="422"/>
      <c r="I1119" s="422"/>
      <c r="J1119" s="422"/>
      <c r="K1119" s="337"/>
      <c r="L1119" s="229"/>
      <c r="M1119" s="263"/>
      <c r="N1119" s="348">
        <v>0</v>
      </c>
      <c r="O1119" s="350">
        <v>0</v>
      </c>
      <c r="P1119" s="353">
        <v>0</v>
      </c>
      <c r="Q1119" s="243">
        <v>0</v>
      </c>
      <c r="R1119" s="239">
        <v>0</v>
      </c>
      <c r="S1119" s="239">
        <v>0</v>
      </c>
      <c r="T1119" s="239">
        <v>0</v>
      </c>
      <c r="U1119" s="239">
        <v>0</v>
      </c>
      <c r="V1119" s="239">
        <v>0</v>
      </c>
      <c r="X1119" s="311"/>
      <c r="Y1119" s="311"/>
      <c r="Z1119" s="311"/>
    </row>
    <row r="1120" spans="1:26" ht="24" customHeight="1">
      <c r="A1120" s="421" t="s">
        <v>1424</v>
      </c>
      <c r="B1120" s="422"/>
      <c r="C1120" s="422"/>
      <c r="D1120" s="421" t="s">
        <v>384</v>
      </c>
      <c r="E1120" s="422"/>
      <c r="F1120" s="422"/>
      <c r="G1120" s="422"/>
      <c r="H1120" s="422"/>
      <c r="I1120" s="422"/>
      <c r="J1120" s="422"/>
      <c r="K1120" s="337"/>
      <c r="L1120" s="229"/>
      <c r="M1120" s="314"/>
      <c r="N1120" s="373">
        <v>0</v>
      </c>
      <c r="O1120" s="357">
        <v>0</v>
      </c>
      <c r="P1120" s="358">
        <v>0</v>
      </c>
      <c r="Q1120" s="252">
        <v>0</v>
      </c>
      <c r="R1120" s="251">
        <v>0</v>
      </c>
      <c r="S1120" s="251">
        <v>0</v>
      </c>
      <c r="T1120" s="251">
        <v>0</v>
      </c>
      <c r="U1120" s="251">
        <v>0</v>
      </c>
      <c r="V1120" s="251">
        <v>0</v>
      </c>
      <c r="X1120" s="311"/>
      <c r="Y1120" s="311"/>
      <c r="Z1120" s="311"/>
    </row>
    <row r="1121" spans="1:26" ht="15" customHeight="1">
      <c r="A1121" s="337"/>
      <c r="B1121" s="337"/>
      <c r="C1121" s="337"/>
      <c r="D1121" s="337"/>
      <c r="E1121" s="337"/>
      <c r="F1121" s="337"/>
      <c r="G1121" s="337"/>
      <c r="H1121" s="337"/>
      <c r="I1121" s="337"/>
      <c r="J1121" s="337"/>
      <c r="K1121" s="337"/>
      <c r="L1121" s="229"/>
      <c r="N1121" s="359"/>
      <c r="O1121" s="359"/>
      <c r="P1121" s="360"/>
      <c r="Q1121" s="255"/>
      <c r="R1121" s="254"/>
      <c r="S1121" s="254"/>
      <c r="T1121" s="254"/>
      <c r="U1121" s="254"/>
      <c r="V1121" s="254"/>
      <c r="X1121" s="311"/>
      <c r="Y1121" s="311"/>
      <c r="Z1121" s="311"/>
    </row>
    <row r="1122" spans="1:26" s="337" customFormat="1" ht="24" customHeight="1">
      <c r="K1122" s="425" t="s">
        <v>761</v>
      </c>
      <c r="L1122" s="449"/>
      <c r="M1122" s="469"/>
      <c r="N1122" s="361">
        <f t="shared" ref="N1122:V1122" si="113">SUM(N1112:N1121)</f>
        <v>308716</v>
      </c>
      <c r="O1122" s="361">
        <f t="shared" si="113"/>
        <v>307585</v>
      </c>
      <c r="P1122" s="362">
        <f t="shared" si="113"/>
        <v>306043</v>
      </c>
      <c r="Q1122" s="362">
        <f t="shared" si="113"/>
        <v>307043</v>
      </c>
      <c r="R1122" s="361">
        <f t="shared" si="113"/>
        <v>2105113</v>
      </c>
      <c r="S1122" s="361">
        <f t="shared" si="113"/>
        <v>307898</v>
      </c>
      <c r="T1122" s="361">
        <f t="shared" si="113"/>
        <v>305098</v>
      </c>
      <c r="U1122" s="361">
        <f t="shared" si="113"/>
        <v>307098</v>
      </c>
      <c r="V1122" s="361">
        <f t="shared" si="113"/>
        <v>308698</v>
      </c>
      <c r="X1122" s="475"/>
      <c r="Y1122" s="475"/>
      <c r="Z1122" s="475"/>
    </row>
    <row r="1123" spans="1:26" s="337" customFormat="1" ht="15" customHeight="1">
      <c r="L1123" s="451"/>
      <c r="M1123" s="463"/>
      <c r="N1123" s="359"/>
      <c r="O1123" s="359"/>
      <c r="P1123" s="360"/>
      <c r="Q1123" s="360"/>
      <c r="R1123" s="359"/>
      <c r="S1123" s="359"/>
      <c r="T1123" s="359"/>
      <c r="U1123" s="359"/>
      <c r="V1123" s="359"/>
      <c r="X1123" s="475"/>
      <c r="Y1123" s="475"/>
      <c r="Z1123" s="475"/>
    </row>
    <row r="1124" spans="1:26" s="337" customFormat="1" ht="24" customHeight="1">
      <c r="K1124" s="425" t="s">
        <v>762</v>
      </c>
      <c r="L1124" s="449"/>
      <c r="M1124" s="450"/>
      <c r="N1124" s="361">
        <f t="shared" ref="N1124:V1124" si="114">N1110-N1122</f>
        <v>-299210</v>
      </c>
      <c r="O1124" s="361">
        <f t="shared" si="114"/>
        <v>-300679</v>
      </c>
      <c r="P1124" s="362">
        <f t="shared" si="114"/>
        <v>-299543</v>
      </c>
      <c r="Q1124" s="362">
        <f t="shared" si="114"/>
        <v>-303943</v>
      </c>
      <c r="R1124" s="361">
        <f t="shared" si="114"/>
        <v>-2103563</v>
      </c>
      <c r="S1124" s="361">
        <f t="shared" si="114"/>
        <v>-307898</v>
      </c>
      <c r="T1124" s="361">
        <f t="shared" si="114"/>
        <v>-205098</v>
      </c>
      <c r="U1124" s="361">
        <f t="shared" si="114"/>
        <v>-207098</v>
      </c>
      <c r="V1124" s="361">
        <f t="shared" si="114"/>
        <v>-208698</v>
      </c>
    </row>
    <row r="1125" spans="1:26" s="337" customFormat="1" ht="15" customHeight="1">
      <c r="L1125" s="451"/>
      <c r="M1125" s="463"/>
      <c r="N1125" s="359"/>
      <c r="O1125" s="359"/>
      <c r="P1125" s="360"/>
      <c r="Q1125" s="360"/>
      <c r="R1125" s="359"/>
      <c r="S1125" s="359"/>
      <c r="T1125" s="359"/>
      <c r="U1125" s="359"/>
      <c r="V1125" s="359"/>
    </row>
    <row r="1126" spans="1:26" s="337" customFormat="1" ht="24" customHeight="1">
      <c r="K1126" s="430" t="s">
        <v>764</v>
      </c>
      <c r="L1126" s="449"/>
      <c r="M1126" s="449"/>
      <c r="N1126" s="383">
        <v>2178550</v>
      </c>
      <c r="O1126" s="383">
        <v>1877872</v>
      </c>
      <c r="P1126" s="384">
        <v>1578277</v>
      </c>
      <c r="Q1126" s="384">
        <f>O1126+Q1124</f>
        <v>1573929</v>
      </c>
      <c r="R1126" s="383">
        <f>Q1126+R1124</f>
        <v>-529634</v>
      </c>
      <c r="S1126" s="383">
        <f>R1126+S1124</f>
        <v>-837532</v>
      </c>
      <c r="T1126" s="383">
        <f>S1126+T1124</f>
        <v>-1042630</v>
      </c>
      <c r="U1126" s="383">
        <f>T1126+U1124</f>
        <v>-1249728</v>
      </c>
      <c r="V1126" s="383">
        <f>U1126+V1124</f>
        <v>-1458426</v>
      </c>
    </row>
    <row r="1127" spans="1:26" ht="15" customHeight="1">
      <c r="A1127" s="337"/>
      <c r="B1127" s="337"/>
      <c r="C1127" s="337"/>
      <c r="D1127" s="337"/>
      <c r="E1127" s="337"/>
      <c r="F1127" s="337"/>
      <c r="G1127" s="337"/>
      <c r="H1127" s="337"/>
      <c r="I1127" s="337"/>
      <c r="J1127" s="337"/>
      <c r="K1127" s="337"/>
      <c r="L1127" s="229"/>
      <c r="M1127" s="257"/>
      <c r="N1127" s="383"/>
      <c r="O1127" s="383"/>
      <c r="P1127" s="384"/>
      <c r="Q1127" s="293"/>
      <c r="R1127" s="292"/>
      <c r="S1127" s="292"/>
      <c r="T1127" s="292"/>
      <c r="U1127" s="292"/>
      <c r="V1127" s="292"/>
    </row>
    <row r="1128" spans="1:26" ht="24" customHeight="1">
      <c r="A1128" s="432" t="s">
        <v>755</v>
      </c>
      <c r="B1128" s="337"/>
      <c r="C1128" s="337"/>
      <c r="D1128" s="337"/>
      <c r="E1128" s="337"/>
      <c r="F1128" s="337"/>
      <c r="G1128" s="337"/>
      <c r="H1128" s="337"/>
      <c r="I1128" s="337"/>
      <c r="J1128" s="337"/>
      <c r="K1128" s="337"/>
      <c r="L1128" s="229"/>
      <c r="M1128" s="257"/>
      <c r="N1128" s="383"/>
      <c r="O1128" s="383"/>
      <c r="P1128" s="384"/>
      <c r="Q1128" s="293"/>
      <c r="R1128" s="292"/>
      <c r="S1128" s="292"/>
      <c r="T1128" s="292"/>
      <c r="U1128" s="292"/>
      <c r="V1128" s="292"/>
    </row>
    <row r="1129" spans="1:26" ht="15" customHeight="1">
      <c r="A1129" s="337"/>
      <c r="B1129" s="337"/>
      <c r="C1129" s="337"/>
      <c r="D1129" s="337"/>
      <c r="E1129" s="337"/>
      <c r="F1129" s="337"/>
      <c r="G1129" s="337"/>
      <c r="H1129" s="337"/>
      <c r="I1129" s="337"/>
      <c r="J1129" s="337"/>
      <c r="K1129" s="337"/>
      <c r="L1129" s="229"/>
      <c r="N1129" s="359"/>
      <c r="O1129" s="359"/>
      <c r="P1129" s="360"/>
      <c r="Q1129" s="255"/>
      <c r="R1129" s="254"/>
      <c r="S1129" s="254"/>
      <c r="T1129" s="254"/>
      <c r="U1129" s="254"/>
      <c r="V1129" s="254"/>
    </row>
    <row r="1130" spans="1:26" ht="24" customHeight="1">
      <c r="A1130" s="337" t="s">
        <v>753</v>
      </c>
      <c r="B1130" s="337"/>
      <c r="C1130" s="337"/>
      <c r="D1130" s="337" t="s">
        <v>754</v>
      </c>
      <c r="E1130" s="337"/>
      <c r="F1130" s="337"/>
      <c r="G1130" s="337"/>
      <c r="H1130" s="337"/>
      <c r="I1130" s="337"/>
      <c r="J1130" s="337"/>
      <c r="K1130" s="337"/>
      <c r="L1130" s="229">
        <v>71588</v>
      </c>
      <c r="M1130" s="234">
        <v>88550</v>
      </c>
      <c r="N1130" s="348">
        <v>75362</v>
      </c>
      <c r="O1130" s="348">
        <v>67807</v>
      </c>
      <c r="P1130" s="349">
        <v>70000</v>
      </c>
      <c r="Q1130" s="236">
        <v>39980</v>
      </c>
      <c r="R1130" s="235">
        <v>35000</v>
      </c>
      <c r="S1130" s="235">
        <v>35000</v>
      </c>
      <c r="T1130" s="235">
        <v>35000</v>
      </c>
      <c r="U1130" s="235">
        <v>35000</v>
      </c>
      <c r="V1130" s="235">
        <v>35000</v>
      </c>
    </row>
    <row r="1131" spans="1:26" ht="24" customHeight="1">
      <c r="A1131" s="421" t="s">
        <v>935</v>
      </c>
      <c r="B1131" s="422"/>
      <c r="C1131" s="422"/>
      <c r="D1131" s="337" t="s">
        <v>6</v>
      </c>
      <c r="E1131" s="422"/>
      <c r="F1131" s="422"/>
      <c r="G1131" s="422"/>
      <c r="H1131" s="422"/>
      <c r="I1131" s="422"/>
      <c r="J1131" s="422"/>
      <c r="K1131" s="422"/>
      <c r="L1131" s="237"/>
      <c r="M1131" s="317"/>
      <c r="N1131" s="369">
        <v>0</v>
      </c>
      <c r="O1131" s="369">
        <v>126</v>
      </c>
      <c r="P1131" s="370">
        <v>150</v>
      </c>
      <c r="Q1131" s="272">
        <v>350</v>
      </c>
      <c r="R1131" s="271">
        <v>350</v>
      </c>
      <c r="S1131" s="271">
        <v>350</v>
      </c>
      <c r="T1131" s="271">
        <v>350</v>
      </c>
      <c r="U1131" s="271">
        <v>350</v>
      </c>
      <c r="V1131" s="271">
        <v>350</v>
      </c>
    </row>
    <row r="1132" spans="1:26" ht="15" customHeight="1">
      <c r="A1132" s="337"/>
      <c r="B1132" s="337"/>
      <c r="C1132" s="337"/>
      <c r="D1132" s="337"/>
      <c r="E1132" s="337"/>
      <c r="F1132" s="337"/>
      <c r="G1132" s="337"/>
      <c r="H1132" s="337"/>
      <c r="I1132" s="337"/>
      <c r="J1132" s="337"/>
      <c r="K1132" s="337"/>
      <c r="L1132" s="229"/>
      <c r="N1132" s="359"/>
      <c r="O1132" s="359"/>
      <c r="P1132" s="360"/>
      <c r="Q1132" s="255"/>
      <c r="R1132" s="254"/>
      <c r="S1132" s="254"/>
      <c r="T1132" s="254"/>
      <c r="U1132" s="254"/>
      <c r="V1132" s="254"/>
    </row>
    <row r="1133" spans="1:26" s="337" customFormat="1" ht="24" customHeight="1">
      <c r="K1133" s="425" t="s">
        <v>758</v>
      </c>
      <c r="L1133" s="449"/>
      <c r="M1133" s="450"/>
      <c r="N1133" s="361">
        <f t="shared" ref="N1133:U1133" si="115">SUM(N1130:N1132)</f>
        <v>75362</v>
      </c>
      <c r="O1133" s="361">
        <f t="shared" si="115"/>
        <v>67933</v>
      </c>
      <c r="P1133" s="362">
        <f t="shared" si="115"/>
        <v>70150</v>
      </c>
      <c r="Q1133" s="362">
        <f>SUM(Q1130:Q1132)</f>
        <v>40330</v>
      </c>
      <c r="R1133" s="361">
        <f t="shared" si="115"/>
        <v>35350</v>
      </c>
      <c r="S1133" s="361">
        <f t="shared" si="115"/>
        <v>35350</v>
      </c>
      <c r="T1133" s="361">
        <f t="shared" si="115"/>
        <v>35350</v>
      </c>
      <c r="U1133" s="361">
        <f t="shared" si="115"/>
        <v>35350</v>
      </c>
      <c r="V1133" s="361">
        <f>SUM(V1130:V1132)</f>
        <v>35350</v>
      </c>
    </row>
    <row r="1134" spans="1:26" ht="15" customHeight="1">
      <c r="A1134" s="337"/>
      <c r="B1134" s="337"/>
      <c r="C1134" s="337"/>
      <c r="D1134" s="337"/>
      <c r="E1134" s="337"/>
      <c r="F1134" s="337"/>
      <c r="G1134" s="337"/>
      <c r="H1134" s="337"/>
      <c r="I1134" s="337"/>
      <c r="J1134" s="337"/>
      <c r="K1134" s="337"/>
      <c r="L1134" s="229"/>
      <c r="N1134" s="359"/>
      <c r="O1134" s="359"/>
      <c r="P1134" s="360"/>
      <c r="Q1134" s="255"/>
      <c r="R1134" s="254"/>
      <c r="S1134" s="254"/>
      <c r="T1134" s="254"/>
      <c r="U1134" s="254"/>
      <c r="V1134" s="254"/>
    </row>
    <row r="1135" spans="1:26" ht="24" customHeight="1">
      <c r="A1135" s="421" t="s">
        <v>756</v>
      </c>
      <c r="B1135" s="422"/>
      <c r="C1135" s="422"/>
      <c r="D1135" s="421" t="s">
        <v>739</v>
      </c>
      <c r="E1135" s="422"/>
      <c r="F1135" s="422"/>
      <c r="G1135" s="422"/>
      <c r="H1135" s="422"/>
      <c r="I1135" s="422"/>
      <c r="J1135" s="422"/>
      <c r="K1135" s="422"/>
      <c r="L1135" s="237"/>
      <c r="M1135" s="263"/>
      <c r="N1135" s="348">
        <v>1896</v>
      </c>
      <c r="O1135" s="348">
        <v>366</v>
      </c>
      <c r="P1135" s="349">
        <v>1500</v>
      </c>
      <c r="Q1135" s="236">
        <v>167</v>
      </c>
      <c r="R1135" s="235">
        <v>350</v>
      </c>
      <c r="S1135" s="235">
        <v>355</v>
      </c>
      <c r="T1135" s="235">
        <v>360</v>
      </c>
      <c r="U1135" s="235">
        <v>365</v>
      </c>
      <c r="V1135" s="235">
        <v>375</v>
      </c>
    </row>
    <row r="1136" spans="1:26" ht="24" customHeight="1">
      <c r="A1136" s="421" t="s">
        <v>920</v>
      </c>
      <c r="B1136" s="422"/>
      <c r="C1136" s="422"/>
      <c r="D1136" s="421" t="s">
        <v>173</v>
      </c>
      <c r="E1136" s="422"/>
      <c r="F1136" s="422"/>
      <c r="G1136" s="422"/>
      <c r="H1136" s="422"/>
      <c r="I1136" s="422"/>
      <c r="J1136" s="422"/>
      <c r="K1136" s="422"/>
      <c r="L1136" s="237"/>
      <c r="M1136" s="269"/>
      <c r="N1136" s="350">
        <v>0</v>
      </c>
      <c r="O1136" s="350">
        <v>11786</v>
      </c>
      <c r="P1136" s="353">
        <v>10000</v>
      </c>
      <c r="Q1136" s="243">
        <v>15000</v>
      </c>
      <c r="R1136" s="239">
        <v>15000</v>
      </c>
      <c r="S1136" s="239">
        <v>15000</v>
      </c>
      <c r="T1136" s="239">
        <v>15000</v>
      </c>
      <c r="U1136" s="239">
        <v>15000</v>
      </c>
      <c r="V1136" s="239">
        <v>15000</v>
      </c>
    </row>
    <row r="1137" spans="1:23" ht="24" customHeight="1">
      <c r="A1137" s="421" t="s">
        <v>1421</v>
      </c>
      <c r="B1137" s="422"/>
      <c r="C1137" s="422"/>
      <c r="D1137" s="421" t="s">
        <v>1420</v>
      </c>
      <c r="E1137" s="422"/>
      <c r="F1137" s="422"/>
      <c r="G1137" s="422"/>
      <c r="H1137" s="422"/>
      <c r="I1137" s="422"/>
      <c r="J1137" s="422"/>
      <c r="K1137" s="422"/>
      <c r="L1137" s="237"/>
      <c r="M1137" s="269"/>
      <c r="N1137" s="350">
        <v>0</v>
      </c>
      <c r="O1137" s="350">
        <v>0</v>
      </c>
      <c r="P1137" s="353">
        <v>0</v>
      </c>
      <c r="Q1137" s="243">
        <v>0</v>
      </c>
      <c r="R1137" s="239">
        <v>0</v>
      </c>
      <c r="S1137" s="239">
        <v>0</v>
      </c>
      <c r="T1137" s="239">
        <v>0</v>
      </c>
      <c r="U1137" s="239">
        <v>0</v>
      </c>
      <c r="V1137" s="239">
        <v>0</v>
      </c>
    </row>
    <row r="1138" spans="1:23" ht="24" customHeight="1">
      <c r="A1138" s="421" t="s">
        <v>921</v>
      </c>
      <c r="B1138" s="422"/>
      <c r="C1138" s="422"/>
      <c r="D1138" s="421" t="s">
        <v>922</v>
      </c>
      <c r="E1138" s="422"/>
      <c r="F1138" s="422"/>
      <c r="G1138" s="422"/>
      <c r="H1138" s="422"/>
      <c r="I1138" s="422"/>
      <c r="J1138" s="422"/>
      <c r="K1138" s="422"/>
      <c r="L1138" s="237"/>
      <c r="M1138" s="269"/>
      <c r="N1138" s="350">
        <v>0</v>
      </c>
      <c r="O1138" s="350">
        <v>7589</v>
      </c>
      <c r="P1138" s="353">
        <v>10000</v>
      </c>
      <c r="Q1138" s="243">
        <v>10000</v>
      </c>
      <c r="R1138" s="239">
        <v>10000</v>
      </c>
      <c r="S1138" s="239">
        <v>10000</v>
      </c>
      <c r="T1138" s="239">
        <v>10000</v>
      </c>
      <c r="U1138" s="239">
        <v>10000</v>
      </c>
      <c r="V1138" s="239">
        <v>10000</v>
      </c>
    </row>
    <row r="1139" spans="1:23" ht="24" customHeight="1">
      <c r="A1139" s="421" t="s">
        <v>757</v>
      </c>
      <c r="B1139" s="422"/>
      <c r="C1139" s="422"/>
      <c r="D1139" s="421" t="s">
        <v>374</v>
      </c>
      <c r="E1139" s="422"/>
      <c r="F1139" s="422"/>
      <c r="G1139" s="422"/>
      <c r="H1139" s="422"/>
      <c r="I1139" s="422"/>
      <c r="J1139" s="422"/>
      <c r="K1139" s="422"/>
      <c r="L1139" s="237"/>
      <c r="M1139" s="286"/>
      <c r="N1139" s="357">
        <v>0</v>
      </c>
      <c r="O1139" s="357">
        <v>0</v>
      </c>
      <c r="P1139" s="358">
        <v>20000</v>
      </c>
      <c r="Q1139" s="252">
        <v>11667</v>
      </c>
      <c r="R1139" s="251">
        <v>20000</v>
      </c>
      <c r="S1139" s="251">
        <v>20000</v>
      </c>
      <c r="T1139" s="251">
        <v>20000</v>
      </c>
      <c r="U1139" s="251">
        <v>20000</v>
      </c>
      <c r="V1139" s="251">
        <v>20000</v>
      </c>
      <c r="W1139" s="289"/>
    </row>
    <row r="1140" spans="1:23" ht="15" customHeight="1">
      <c r="A1140" s="337"/>
      <c r="B1140" s="337"/>
      <c r="C1140" s="337"/>
      <c r="D1140" s="337"/>
      <c r="E1140" s="337"/>
      <c r="F1140" s="337"/>
      <c r="G1140" s="337"/>
      <c r="H1140" s="337"/>
      <c r="I1140" s="337"/>
      <c r="J1140" s="337"/>
      <c r="K1140" s="337"/>
      <c r="L1140" s="229"/>
      <c r="N1140" s="359"/>
      <c r="O1140" s="359"/>
      <c r="P1140" s="360"/>
      <c r="Q1140" s="255"/>
      <c r="R1140" s="254"/>
      <c r="S1140" s="254"/>
      <c r="T1140" s="254"/>
      <c r="U1140" s="254"/>
      <c r="V1140" s="254"/>
    </row>
    <row r="1141" spans="1:23" s="337" customFormat="1" ht="24" customHeight="1">
      <c r="K1141" s="425" t="s">
        <v>761</v>
      </c>
      <c r="L1141" s="449"/>
      <c r="M1141" s="469"/>
      <c r="N1141" s="361">
        <f t="shared" ref="N1141:V1141" si="116">SUM(N1135:N1140)</f>
        <v>1896</v>
      </c>
      <c r="O1141" s="361">
        <f t="shared" si="116"/>
        <v>19741</v>
      </c>
      <c r="P1141" s="362">
        <f t="shared" si="116"/>
        <v>41500</v>
      </c>
      <c r="Q1141" s="362">
        <f t="shared" si="116"/>
        <v>36834</v>
      </c>
      <c r="R1141" s="361">
        <f t="shared" si="116"/>
        <v>45350</v>
      </c>
      <c r="S1141" s="361">
        <f t="shared" si="116"/>
        <v>45355</v>
      </c>
      <c r="T1141" s="361">
        <f t="shared" si="116"/>
        <v>45360</v>
      </c>
      <c r="U1141" s="361">
        <f t="shared" si="116"/>
        <v>45365</v>
      </c>
      <c r="V1141" s="361">
        <f t="shared" si="116"/>
        <v>45375</v>
      </c>
    </row>
    <row r="1142" spans="1:23" s="337" customFormat="1" ht="15" customHeight="1">
      <c r="L1142" s="451"/>
      <c r="M1142" s="463"/>
      <c r="N1142" s="359"/>
      <c r="O1142" s="359"/>
      <c r="P1142" s="360"/>
      <c r="Q1142" s="360"/>
      <c r="R1142" s="359"/>
      <c r="S1142" s="359"/>
      <c r="T1142" s="359"/>
      <c r="U1142" s="359"/>
      <c r="V1142" s="359"/>
    </row>
    <row r="1143" spans="1:23" s="337" customFormat="1" ht="24" customHeight="1">
      <c r="K1143" s="425" t="s">
        <v>762</v>
      </c>
      <c r="L1143" s="449"/>
      <c r="M1143" s="449"/>
      <c r="N1143" s="383">
        <f t="shared" ref="N1143:V1143" si="117">N1133-N1141</f>
        <v>73466</v>
      </c>
      <c r="O1143" s="383">
        <f t="shared" si="117"/>
        <v>48192</v>
      </c>
      <c r="P1143" s="384">
        <f t="shared" si="117"/>
        <v>28650</v>
      </c>
      <c r="Q1143" s="384">
        <f t="shared" si="117"/>
        <v>3496</v>
      </c>
      <c r="R1143" s="383">
        <f t="shared" si="117"/>
        <v>-10000</v>
      </c>
      <c r="S1143" s="383">
        <f t="shared" si="117"/>
        <v>-10005</v>
      </c>
      <c r="T1143" s="383">
        <f t="shared" si="117"/>
        <v>-10010</v>
      </c>
      <c r="U1143" s="383">
        <f t="shared" si="117"/>
        <v>-10015</v>
      </c>
      <c r="V1143" s="383">
        <f t="shared" si="117"/>
        <v>-10025</v>
      </c>
    </row>
    <row r="1144" spans="1:23" s="337" customFormat="1" ht="15" customHeight="1">
      <c r="L1144" s="451"/>
      <c r="M1144" s="449"/>
      <c r="N1144" s="383"/>
      <c r="O1144" s="383"/>
      <c r="P1144" s="384"/>
      <c r="Q1144" s="384"/>
      <c r="R1144" s="383"/>
      <c r="S1144" s="383"/>
      <c r="T1144" s="383"/>
      <c r="U1144" s="383"/>
      <c r="V1144" s="383"/>
    </row>
    <row r="1145" spans="1:23" s="337" customFormat="1" ht="24" customHeight="1">
      <c r="K1145" s="430" t="s">
        <v>764</v>
      </c>
      <c r="L1145" s="449"/>
      <c r="M1145" s="449"/>
      <c r="N1145" s="383">
        <v>209760</v>
      </c>
      <c r="O1145" s="383">
        <v>257953</v>
      </c>
      <c r="P1145" s="384">
        <v>264867</v>
      </c>
      <c r="Q1145" s="384">
        <f>O1145+Q1143</f>
        <v>261449</v>
      </c>
      <c r="R1145" s="383">
        <f>Q1145+R1143</f>
        <v>251449</v>
      </c>
      <c r="S1145" s="383">
        <f>R1145+S1143</f>
        <v>241444</v>
      </c>
      <c r="T1145" s="383">
        <f>S1145+T1143</f>
        <v>231434</v>
      </c>
      <c r="U1145" s="383">
        <f>T1145+U1143</f>
        <v>221419</v>
      </c>
      <c r="V1145" s="383">
        <f>U1145+V1143</f>
        <v>211394</v>
      </c>
    </row>
    <row r="1146" spans="1:23" ht="15" customHeight="1">
      <c r="A1146" s="337"/>
      <c r="B1146" s="337"/>
      <c r="C1146" s="337"/>
      <c r="D1146" s="337"/>
      <c r="E1146" s="337"/>
      <c r="F1146" s="337"/>
      <c r="G1146" s="337"/>
      <c r="H1146" s="337"/>
      <c r="I1146" s="337"/>
      <c r="J1146" s="337"/>
      <c r="K1146" s="337"/>
      <c r="L1146" s="229"/>
      <c r="N1146" s="359"/>
      <c r="O1146" s="359"/>
      <c r="P1146" s="360"/>
      <c r="Q1146" s="255"/>
      <c r="R1146" s="254"/>
      <c r="S1146" s="254"/>
      <c r="T1146" s="254"/>
      <c r="U1146" s="254"/>
      <c r="V1146" s="254"/>
    </row>
    <row r="1147" spans="1:23" s="337" customFormat="1" ht="20.100000000000001" customHeight="1">
      <c r="F1147" s="435" t="s">
        <v>940</v>
      </c>
      <c r="L1147" s="451"/>
      <c r="M1147" s="463"/>
      <c r="N1147" s="359"/>
      <c r="O1147" s="359"/>
      <c r="P1147" s="360"/>
      <c r="Q1147" s="360"/>
      <c r="R1147" s="359"/>
      <c r="S1147" s="359"/>
      <c r="T1147" s="359"/>
      <c r="U1147" s="359"/>
      <c r="V1147" s="359"/>
    </row>
    <row r="1148" spans="1:23" s="337" customFormat="1" ht="20.100000000000001" customHeight="1">
      <c r="K1148" s="435" t="s">
        <v>854</v>
      </c>
      <c r="L1148" s="476"/>
      <c r="M1148" s="463"/>
      <c r="N1148" s="359"/>
      <c r="O1148" s="359"/>
      <c r="P1148" s="360"/>
      <c r="Q1148" s="360"/>
      <c r="R1148" s="359"/>
      <c r="S1148" s="359"/>
      <c r="T1148" s="359"/>
      <c r="U1148" s="359"/>
      <c r="V1148" s="359"/>
    </row>
    <row r="1149" spans="1:23" s="337" customFormat="1" ht="20.100000000000001" customHeight="1">
      <c r="J1149" s="545" t="s">
        <v>1405</v>
      </c>
      <c r="K1149" s="337" t="s">
        <v>855</v>
      </c>
      <c r="L1149" s="451">
        <v>-1734080</v>
      </c>
      <c r="M1149" s="451">
        <v>-1711138</v>
      </c>
      <c r="N1149" s="377">
        <f t="shared" ref="N1149:V1149" si="118">N331</f>
        <v>221031</v>
      </c>
      <c r="O1149" s="377">
        <f t="shared" si="118"/>
        <v>1542522</v>
      </c>
      <c r="P1149" s="360">
        <f t="shared" si="118"/>
        <v>931242</v>
      </c>
      <c r="Q1149" s="360">
        <f t="shared" si="118"/>
        <v>2153101</v>
      </c>
      <c r="R1149" s="359">
        <f t="shared" si="118"/>
        <v>-882071</v>
      </c>
      <c r="S1149" s="359">
        <f t="shared" si="118"/>
        <v>501513</v>
      </c>
      <c r="T1149" s="359">
        <f t="shared" si="118"/>
        <v>293060</v>
      </c>
      <c r="U1149" s="359">
        <f t="shared" si="118"/>
        <v>-984594</v>
      </c>
      <c r="V1149" s="359">
        <f t="shared" si="118"/>
        <v>-261695</v>
      </c>
    </row>
    <row r="1150" spans="1:23" s="337" customFormat="1" ht="20.100000000000001" customHeight="1">
      <c r="J1150" s="545"/>
      <c r="K1150" s="337" t="s">
        <v>856</v>
      </c>
      <c r="L1150" s="451">
        <v>-13660</v>
      </c>
      <c r="M1150" s="451">
        <v>15886</v>
      </c>
      <c r="N1150" s="377">
        <f t="shared" ref="N1150:V1150" si="119">N348</f>
        <v>15716</v>
      </c>
      <c r="O1150" s="377">
        <f t="shared" si="119"/>
        <v>-871</v>
      </c>
      <c r="P1150" s="360">
        <f t="shared" si="119"/>
        <v>-714</v>
      </c>
      <c r="Q1150" s="360">
        <f t="shared" si="119"/>
        <v>-1680</v>
      </c>
      <c r="R1150" s="359">
        <f t="shared" si="119"/>
        <v>-3714</v>
      </c>
      <c r="S1150" s="359">
        <f t="shared" si="119"/>
        <v>-11067</v>
      </c>
      <c r="T1150" s="359">
        <f t="shared" si="119"/>
        <v>-11067</v>
      </c>
      <c r="U1150" s="359">
        <f t="shared" si="119"/>
        <v>3933</v>
      </c>
      <c r="V1150" s="359">
        <f t="shared" si="119"/>
        <v>3933</v>
      </c>
    </row>
    <row r="1151" spans="1:23" s="337" customFormat="1" ht="20.100000000000001" customHeight="1">
      <c r="J1151" s="545"/>
      <c r="K1151" s="337" t="s">
        <v>857</v>
      </c>
      <c r="L1151" s="451">
        <v>1099</v>
      </c>
      <c r="M1151" s="451">
        <v>5089</v>
      </c>
      <c r="N1151" s="377">
        <f t="shared" ref="N1151:V1151" si="120">N365</f>
        <v>5735</v>
      </c>
      <c r="O1151" s="377">
        <f t="shared" si="120"/>
        <v>265</v>
      </c>
      <c r="P1151" s="360">
        <f t="shared" si="120"/>
        <v>-2455</v>
      </c>
      <c r="Q1151" s="360">
        <f t="shared" si="120"/>
        <v>-4174</v>
      </c>
      <c r="R1151" s="359">
        <f t="shared" si="120"/>
        <v>-7454</v>
      </c>
      <c r="S1151" s="359">
        <f t="shared" si="120"/>
        <v>-18569</v>
      </c>
      <c r="T1151" s="359">
        <f t="shared" si="120"/>
        <v>-18569</v>
      </c>
      <c r="U1151" s="359">
        <f t="shared" si="120"/>
        <v>6431</v>
      </c>
      <c r="V1151" s="359">
        <f t="shared" si="120"/>
        <v>6431</v>
      </c>
    </row>
    <row r="1152" spans="1:23" s="337" customFormat="1" ht="20.100000000000001" customHeight="1">
      <c r="J1152" s="545"/>
      <c r="K1152" s="337" t="s">
        <v>1019</v>
      </c>
      <c r="L1152" s="451">
        <v>-35552</v>
      </c>
      <c r="M1152" s="451">
        <v>104685</v>
      </c>
      <c r="N1152" s="377">
        <f t="shared" ref="N1152:V1152" si="121">N404</f>
        <v>234779</v>
      </c>
      <c r="O1152" s="377">
        <f t="shared" si="121"/>
        <v>284457</v>
      </c>
      <c r="P1152" s="360">
        <f t="shared" si="121"/>
        <v>-119313</v>
      </c>
      <c r="Q1152" s="360">
        <f t="shared" si="121"/>
        <v>130731</v>
      </c>
      <c r="R1152" s="359">
        <f t="shared" si="121"/>
        <v>-450456</v>
      </c>
      <c r="S1152" s="359">
        <f t="shared" si="121"/>
        <v>-152112</v>
      </c>
      <c r="T1152" s="359">
        <f t="shared" si="121"/>
        <v>-197367</v>
      </c>
      <c r="U1152" s="359">
        <f t="shared" si="121"/>
        <v>-222769</v>
      </c>
      <c r="V1152" s="359">
        <f t="shared" si="121"/>
        <v>-32884</v>
      </c>
    </row>
    <row r="1153" spans="10:23" s="337" customFormat="1" ht="20.100000000000001" customHeight="1">
      <c r="J1153" s="545"/>
      <c r="K1153" s="337" t="s">
        <v>1020</v>
      </c>
      <c r="L1153" s="451">
        <v>-45750</v>
      </c>
      <c r="M1153" s="451">
        <v>-47450</v>
      </c>
      <c r="N1153" s="377">
        <f t="shared" ref="N1153:V1153" si="122">N420</f>
        <v>20700</v>
      </c>
      <c r="O1153" s="377">
        <f t="shared" si="122"/>
        <v>7650</v>
      </c>
      <c r="P1153" s="360">
        <f t="shared" si="122"/>
        <v>5250</v>
      </c>
      <c r="Q1153" s="360">
        <f t="shared" si="122"/>
        <v>6000</v>
      </c>
      <c r="R1153" s="359">
        <f t="shared" si="122"/>
        <v>573374</v>
      </c>
      <c r="S1153" s="359">
        <f t="shared" si="122"/>
        <v>0</v>
      </c>
      <c r="T1153" s="359">
        <f t="shared" si="122"/>
        <v>0</v>
      </c>
      <c r="U1153" s="359">
        <f t="shared" si="122"/>
        <v>0</v>
      </c>
      <c r="V1153" s="359">
        <f t="shared" si="122"/>
        <v>0</v>
      </c>
    </row>
    <row r="1154" spans="10:23" s="337" customFormat="1" ht="20.100000000000001" customHeight="1">
      <c r="J1154" s="545"/>
      <c r="K1154" s="337" t="s">
        <v>1308</v>
      </c>
      <c r="L1154" s="451">
        <f>-21414+-311201</f>
        <v>-332615</v>
      </c>
      <c r="M1154" s="451">
        <f>34434+-38287</f>
        <v>-3853</v>
      </c>
      <c r="N1154" s="377">
        <f t="shared" ref="N1154:V1154" si="123">(N489+N491+N492+N493+N490+N495+N496+N497+N498+N501+N502+N507+N506+N509+N499+N500+N505-N519-N531)</f>
        <v>-64400</v>
      </c>
      <c r="O1154" s="377">
        <f t="shared" si="123"/>
        <v>-11568</v>
      </c>
      <c r="P1154" s="378">
        <f t="shared" si="123"/>
        <v>-147095</v>
      </c>
      <c r="Q1154" s="378">
        <f t="shared" si="123"/>
        <v>-253550</v>
      </c>
      <c r="R1154" s="377">
        <f t="shared" si="123"/>
        <v>-15937</v>
      </c>
      <c r="S1154" s="377">
        <f t="shared" si="123"/>
        <v>-22635</v>
      </c>
      <c r="T1154" s="377">
        <f t="shared" si="123"/>
        <v>0</v>
      </c>
      <c r="U1154" s="377">
        <f t="shared" si="123"/>
        <v>0</v>
      </c>
      <c r="V1154" s="377">
        <f t="shared" si="123"/>
        <v>0</v>
      </c>
    </row>
    <row r="1155" spans="10:23" s="337" customFormat="1" ht="20.100000000000001" customHeight="1">
      <c r="J1155" s="545"/>
      <c r="K1155" s="337" t="s">
        <v>1022</v>
      </c>
      <c r="L1155" s="451">
        <v>-93178</v>
      </c>
      <c r="M1155" s="451">
        <v>74800</v>
      </c>
      <c r="N1155" s="377">
        <f t="shared" ref="N1155:V1155" si="124">N479</f>
        <v>19030</v>
      </c>
      <c r="O1155" s="377">
        <f t="shared" si="124"/>
        <v>80544</v>
      </c>
      <c r="P1155" s="360">
        <f t="shared" si="124"/>
        <v>263232</v>
      </c>
      <c r="Q1155" s="360">
        <f t="shared" si="124"/>
        <v>292241</v>
      </c>
      <c r="R1155" s="359">
        <f t="shared" si="124"/>
        <v>317616</v>
      </c>
      <c r="S1155" s="359">
        <f t="shared" si="124"/>
        <v>4192826</v>
      </c>
      <c r="T1155" s="359">
        <f t="shared" si="124"/>
        <v>-4180339</v>
      </c>
      <c r="U1155" s="359">
        <f t="shared" si="124"/>
        <v>-703540</v>
      </c>
      <c r="V1155" s="359">
        <f t="shared" si="124"/>
        <v>0</v>
      </c>
    </row>
    <row r="1156" spans="10:23" s="337" customFormat="1" ht="20.100000000000001" customHeight="1">
      <c r="J1156" s="545"/>
      <c r="K1156" s="337" t="s">
        <v>967</v>
      </c>
      <c r="L1156" s="451">
        <v>237257</v>
      </c>
      <c r="M1156" s="477">
        <v>7628</v>
      </c>
      <c r="N1156" s="359">
        <f t="shared" ref="N1156:V1156" si="125">N579</f>
        <v>1025</v>
      </c>
      <c r="O1156" s="359">
        <f t="shared" si="125"/>
        <v>78857</v>
      </c>
      <c r="P1156" s="360">
        <f t="shared" si="125"/>
        <v>-78226</v>
      </c>
      <c r="Q1156" s="360">
        <f t="shared" si="125"/>
        <v>-76824</v>
      </c>
      <c r="R1156" s="359">
        <f t="shared" si="125"/>
        <v>925</v>
      </c>
      <c r="S1156" s="359">
        <f t="shared" si="125"/>
        <v>925</v>
      </c>
      <c r="T1156" s="359">
        <f t="shared" si="125"/>
        <v>-12536</v>
      </c>
      <c r="U1156" s="359">
        <f t="shared" si="125"/>
        <v>0</v>
      </c>
      <c r="V1156" s="359">
        <f t="shared" si="125"/>
        <v>0</v>
      </c>
    </row>
    <row r="1157" spans="10:23" s="337" customFormat="1" ht="20.100000000000001" customHeight="1">
      <c r="J1157" s="545"/>
      <c r="K1157" s="337" t="s">
        <v>858</v>
      </c>
      <c r="L1157" s="451">
        <v>-368543</v>
      </c>
      <c r="M1157" s="451">
        <v>-114516</v>
      </c>
      <c r="N1157" s="377">
        <f t="shared" ref="N1157:V1157" si="126">N671</f>
        <v>356361</v>
      </c>
      <c r="O1157" s="377">
        <f t="shared" si="126"/>
        <v>475577</v>
      </c>
      <c r="P1157" s="360">
        <f t="shared" si="126"/>
        <v>-284604</v>
      </c>
      <c r="Q1157" s="360">
        <f t="shared" si="126"/>
        <v>78435</v>
      </c>
      <c r="R1157" s="359">
        <f t="shared" si="126"/>
        <v>-218504</v>
      </c>
      <c r="S1157" s="359">
        <f t="shared" si="126"/>
        <v>-864446</v>
      </c>
      <c r="T1157" s="359">
        <f t="shared" si="126"/>
        <v>-1009853</v>
      </c>
      <c r="U1157" s="359">
        <f t="shared" si="126"/>
        <v>-704326</v>
      </c>
      <c r="V1157" s="359">
        <f t="shared" si="126"/>
        <v>-131538</v>
      </c>
    </row>
    <row r="1158" spans="10:23" s="337" customFormat="1" ht="20.100000000000001" customHeight="1">
      <c r="J1158" s="545"/>
      <c r="K1158" s="337" t="s">
        <v>859</v>
      </c>
      <c r="L1158" s="451">
        <v>-1084575</v>
      </c>
      <c r="M1158" s="451">
        <v>177948</v>
      </c>
      <c r="N1158" s="377">
        <f t="shared" ref="N1158:V1158" si="127">N764</f>
        <v>-357382</v>
      </c>
      <c r="O1158" s="377">
        <f t="shared" si="127"/>
        <v>625704</v>
      </c>
      <c r="P1158" s="360">
        <f t="shared" si="127"/>
        <v>-255393</v>
      </c>
      <c r="Q1158" s="360">
        <f t="shared" si="127"/>
        <v>-107560</v>
      </c>
      <c r="R1158" s="359">
        <f t="shared" si="127"/>
        <v>-214900</v>
      </c>
      <c r="S1158" s="359">
        <f t="shared" si="127"/>
        <v>-806657</v>
      </c>
      <c r="T1158" s="359">
        <f t="shared" si="127"/>
        <v>-444498</v>
      </c>
      <c r="U1158" s="359">
        <f t="shared" si="127"/>
        <v>-615667</v>
      </c>
      <c r="V1158" s="359">
        <f t="shared" si="127"/>
        <v>-289975</v>
      </c>
    </row>
    <row r="1159" spans="10:23" s="337" customFormat="1" ht="20.100000000000001" customHeight="1">
      <c r="J1159" s="545"/>
      <c r="K1159" s="337" t="s">
        <v>860</v>
      </c>
      <c r="L1159" s="451">
        <v>-23024</v>
      </c>
      <c r="M1159" s="451">
        <v>-37910</v>
      </c>
      <c r="N1159" s="377">
        <f t="shared" ref="N1159:V1159" si="128">N802</f>
        <v>214800</v>
      </c>
      <c r="O1159" s="377">
        <f t="shared" si="128"/>
        <v>93847</v>
      </c>
      <c r="P1159" s="360">
        <f t="shared" si="128"/>
        <v>96675</v>
      </c>
      <c r="Q1159" s="360">
        <f t="shared" si="128"/>
        <v>379859</v>
      </c>
      <c r="R1159" s="359">
        <f t="shared" si="128"/>
        <v>77500</v>
      </c>
      <c r="S1159" s="359">
        <f t="shared" si="128"/>
        <v>-333850</v>
      </c>
      <c r="T1159" s="359">
        <f t="shared" si="128"/>
        <v>-240000</v>
      </c>
      <c r="U1159" s="359">
        <f t="shared" si="128"/>
        <v>410000</v>
      </c>
      <c r="V1159" s="359">
        <f t="shared" si="128"/>
        <v>-40000</v>
      </c>
    </row>
    <row r="1160" spans="10:23" s="337" customFormat="1" ht="20.100000000000001" customHeight="1">
      <c r="J1160" s="444"/>
      <c r="K1160" s="337" t="s">
        <v>984</v>
      </c>
      <c r="L1160" s="451">
        <v>102415</v>
      </c>
      <c r="M1160" s="477">
        <v>137709</v>
      </c>
      <c r="N1160" s="359">
        <f t="shared" ref="N1160:U1160" si="129">N1101</f>
        <v>146437</v>
      </c>
      <c r="O1160" s="377">
        <f>O1101</f>
        <v>-569790</v>
      </c>
      <c r="P1160" s="360">
        <f t="shared" si="129"/>
        <v>0</v>
      </c>
      <c r="Q1160" s="360">
        <f>Q1101</f>
        <v>0</v>
      </c>
      <c r="R1160" s="359">
        <f t="shared" si="129"/>
        <v>0</v>
      </c>
      <c r="S1160" s="359">
        <f t="shared" si="129"/>
        <v>0</v>
      </c>
      <c r="T1160" s="359">
        <f t="shared" si="129"/>
        <v>0</v>
      </c>
      <c r="U1160" s="359">
        <f t="shared" si="129"/>
        <v>0</v>
      </c>
      <c r="V1160" s="359">
        <f>V1101</f>
        <v>0</v>
      </c>
    </row>
    <row r="1161" spans="10:23" s="337" customFormat="1" ht="20.100000000000001" customHeight="1">
      <c r="J1161" s="444"/>
      <c r="K1161" s="337" t="s">
        <v>747</v>
      </c>
      <c r="L1161" s="451">
        <v>-110456</v>
      </c>
      <c r="M1161" s="477">
        <v>-294394</v>
      </c>
      <c r="N1161" s="359">
        <f t="shared" ref="N1161:U1161" si="130">N1124</f>
        <v>-299210</v>
      </c>
      <c r="O1161" s="377">
        <f>O1124</f>
        <v>-300679</v>
      </c>
      <c r="P1161" s="360">
        <f t="shared" si="130"/>
        <v>-299543</v>
      </c>
      <c r="Q1161" s="360">
        <f>Q1124</f>
        <v>-303943</v>
      </c>
      <c r="R1161" s="359">
        <f t="shared" si="130"/>
        <v>-2103563</v>
      </c>
      <c r="S1161" s="359">
        <f t="shared" si="130"/>
        <v>-307898</v>
      </c>
      <c r="T1161" s="359">
        <f t="shared" si="130"/>
        <v>-205098</v>
      </c>
      <c r="U1161" s="359">
        <f t="shared" si="130"/>
        <v>-207098</v>
      </c>
      <c r="V1161" s="359">
        <f>V1124</f>
        <v>-208698</v>
      </c>
    </row>
    <row r="1162" spans="10:23" s="337" customFormat="1" ht="20.100000000000001" customHeight="1">
      <c r="J1162" s="444"/>
      <c r="K1162" s="337" t="s">
        <v>755</v>
      </c>
      <c r="L1162" s="478">
        <v>21203</v>
      </c>
      <c r="M1162" s="478">
        <v>86718</v>
      </c>
      <c r="N1162" s="402">
        <f t="shared" ref="N1162:U1162" si="131">N1143</f>
        <v>73466</v>
      </c>
      <c r="O1162" s="402">
        <f>O1143</f>
        <v>48192</v>
      </c>
      <c r="P1162" s="405">
        <f t="shared" si="131"/>
        <v>28650</v>
      </c>
      <c r="Q1162" s="405">
        <f>Q1143</f>
        <v>3496</v>
      </c>
      <c r="R1162" s="406">
        <f t="shared" si="131"/>
        <v>-10000</v>
      </c>
      <c r="S1162" s="406">
        <f t="shared" si="131"/>
        <v>-10005</v>
      </c>
      <c r="T1162" s="406">
        <f t="shared" si="131"/>
        <v>-10010</v>
      </c>
      <c r="U1162" s="406">
        <f t="shared" si="131"/>
        <v>-10015</v>
      </c>
      <c r="V1162" s="406">
        <f>V1143</f>
        <v>-10025</v>
      </c>
    </row>
    <row r="1163" spans="10:23" s="337" customFormat="1" ht="7.5" customHeight="1">
      <c r="L1163" s="451"/>
      <c r="M1163" s="451"/>
      <c r="N1163" s="377"/>
      <c r="O1163" s="377"/>
      <c r="P1163" s="360"/>
      <c r="Q1163" s="360"/>
      <c r="R1163" s="359"/>
      <c r="S1163" s="359"/>
      <c r="T1163" s="359"/>
      <c r="U1163" s="359"/>
      <c r="V1163" s="359"/>
    </row>
    <row r="1164" spans="10:23" s="425" customFormat="1" ht="20.100000000000001" customHeight="1">
      <c r="L1164" s="449">
        <f>SUM(L1149:L1163)</f>
        <v>-3479459</v>
      </c>
      <c r="M1164" s="449">
        <f>SUM(M1149:M1163)</f>
        <v>-1598798</v>
      </c>
      <c r="N1164" s="383">
        <f>SUM(N1149:N1163)</f>
        <v>588088</v>
      </c>
      <c r="O1164" s="383">
        <f>SUM(O1149:O1163)</f>
        <v>2354707</v>
      </c>
      <c r="P1164" s="362">
        <f t="shared" ref="P1164:U1164" si="132">SUM(P1149:P1163)</f>
        <v>137706</v>
      </c>
      <c r="Q1164" s="362">
        <f>SUM(Q1149:Q1163)</f>
        <v>2296132</v>
      </c>
      <c r="R1164" s="361">
        <f>SUM(R1149:R1163)</f>
        <v>-2937184</v>
      </c>
      <c r="S1164" s="361">
        <f t="shared" si="132"/>
        <v>2168025</v>
      </c>
      <c r="T1164" s="361">
        <f t="shared" si="132"/>
        <v>-6036277</v>
      </c>
      <c r="U1164" s="361">
        <f t="shared" si="132"/>
        <v>-3027645</v>
      </c>
      <c r="V1164" s="361">
        <f>SUM(V1149:V1163)</f>
        <v>-964451</v>
      </c>
      <c r="W1164" s="337"/>
    </row>
    <row r="1165" spans="10:23" s="337" customFormat="1" ht="15" customHeight="1">
      <c r="L1165" s="451"/>
      <c r="M1165" s="463"/>
      <c r="N1165" s="359"/>
      <c r="O1165" s="359"/>
      <c r="P1165" s="360"/>
      <c r="Q1165" s="360"/>
      <c r="R1165" s="359"/>
      <c r="S1165" s="359"/>
      <c r="T1165" s="359"/>
      <c r="U1165" s="359"/>
      <c r="V1165" s="359"/>
    </row>
    <row r="1166" spans="10:23" s="337" customFormat="1" ht="20.100000000000001" customHeight="1">
      <c r="K1166" s="435" t="s">
        <v>1187</v>
      </c>
      <c r="L1166" s="476"/>
      <c r="M1166" s="463"/>
      <c r="N1166" s="359"/>
      <c r="O1166" s="359"/>
      <c r="P1166" s="360"/>
      <c r="Q1166" s="360"/>
      <c r="R1166" s="359"/>
      <c r="S1166" s="359"/>
      <c r="T1166" s="359"/>
      <c r="U1166" s="359"/>
      <c r="V1166" s="359"/>
    </row>
    <row r="1167" spans="10:23" s="337" customFormat="1" ht="20.100000000000001" customHeight="1">
      <c r="J1167" s="545" t="s">
        <v>1405</v>
      </c>
      <c r="K1167" s="337" t="s">
        <v>855</v>
      </c>
      <c r="L1167" s="451">
        <v>1218257</v>
      </c>
      <c r="M1167" s="451">
        <v>-492939</v>
      </c>
      <c r="N1167" s="377">
        <f t="shared" ref="N1167:V1167" si="133">N333</f>
        <v>-271900</v>
      </c>
      <c r="O1167" s="377">
        <f t="shared" si="133"/>
        <v>1270623</v>
      </c>
      <c r="P1167" s="360">
        <f t="shared" si="133"/>
        <v>1596094</v>
      </c>
      <c r="Q1167" s="360">
        <f t="shared" si="133"/>
        <v>3423724</v>
      </c>
      <c r="R1167" s="359">
        <f t="shared" si="133"/>
        <v>2541653</v>
      </c>
      <c r="S1167" s="359">
        <f t="shared" si="133"/>
        <v>3043166</v>
      </c>
      <c r="T1167" s="359">
        <f t="shared" si="133"/>
        <v>3336226</v>
      </c>
      <c r="U1167" s="359">
        <f t="shared" si="133"/>
        <v>2351632</v>
      </c>
      <c r="V1167" s="359">
        <f t="shared" si="133"/>
        <v>2089937</v>
      </c>
    </row>
    <row r="1168" spans="10:23" s="337" customFormat="1" ht="20.100000000000001" customHeight="1">
      <c r="J1168" s="545"/>
      <c r="K1168" s="337" t="s">
        <v>856</v>
      </c>
      <c r="L1168" s="451">
        <v>-13660</v>
      </c>
      <c r="M1168" s="451">
        <v>2226</v>
      </c>
      <c r="N1168" s="377">
        <f t="shared" ref="N1168:V1168" si="134">N350</f>
        <v>17942</v>
      </c>
      <c r="O1168" s="377">
        <f t="shared" si="134"/>
        <v>17071</v>
      </c>
      <c r="P1168" s="360">
        <f t="shared" si="134"/>
        <v>16719</v>
      </c>
      <c r="Q1168" s="360">
        <f t="shared" si="134"/>
        <v>15391</v>
      </c>
      <c r="R1168" s="359">
        <f t="shared" si="134"/>
        <v>11677</v>
      </c>
      <c r="S1168" s="359">
        <f t="shared" si="134"/>
        <v>610</v>
      </c>
      <c r="T1168" s="359">
        <f t="shared" si="134"/>
        <v>-10457</v>
      </c>
      <c r="U1168" s="359">
        <f t="shared" si="134"/>
        <v>-6524</v>
      </c>
      <c r="V1168" s="359">
        <f t="shared" si="134"/>
        <v>-2591</v>
      </c>
    </row>
    <row r="1169" spans="1:23" s="337" customFormat="1" ht="20.100000000000001" customHeight="1">
      <c r="J1169" s="545"/>
      <c r="K1169" s="337" t="s">
        <v>857</v>
      </c>
      <c r="L1169" s="451">
        <v>1099</v>
      </c>
      <c r="M1169" s="451">
        <v>6188</v>
      </c>
      <c r="N1169" s="377">
        <f t="shared" ref="N1169:V1169" si="135">N367</f>
        <v>11922</v>
      </c>
      <c r="O1169" s="377">
        <f t="shared" si="135"/>
        <v>12188</v>
      </c>
      <c r="P1169" s="360">
        <f t="shared" si="135"/>
        <v>10007</v>
      </c>
      <c r="Q1169" s="360">
        <f t="shared" si="135"/>
        <v>8014</v>
      </c>
      <c r="R1169" s="359">
        <f t="shared" si="135"/>
        <v>560</v>
      </c>
      <c r="S1169" s="359">
        <f t="shared" si="135"/>
        <v>-18009</v>
      </c>
      <c r="T1169" s="359">
        <f t="shared" si="135"/>
        <v>-36578</v>
      </c>
      <c r="U1169" s="359">
        <f t="shared" si="135"/>
        <v>-30147</v>
      </c>
      <c r="V1169" s="359">
        <f t="shared" si="135"/>
        <v>-23716</v>
      </c>
    </row>
    <row r="1170" spans="1:23" s="337" customFormat="1" ht="20.100000000000001" customHeight="1">
      <c r="J1170" s="545"/>
      <c r="K1170" s="337" t="s">
        <v>1019</v>
      </c>
      <c r="L1170" s="451">
        <v>300934</v>
      </c>
      <c r="M1170" s="451">
        <v>405618</v>
      </c>
      <c r="N1170" s="377">
        <f t="shared" ref="N1170:V1170" si="136">N406</f>
        <v>640399</v>
      </c>
      <c r="O1170" s="377">
        <f t="shared" si="136"/>
        <v>924857</v>
      </c>
      <c r="P1170" s="360">
        <f t="shared" si="136"/>
        <v>465255</v>
      </c>
      <c r="Q1170" s="360">
        <f t="shared" si="136"/>
        <v>1055588</v>
      </c>
      <c r="R1170" s="359">
        <f t="shared" si="136"/>
        <v>605132</v>
      </c>
      <c r="S1170" s="359">
        <f t="shared" si="136"/>
        <v>453020</v>
      </c>
      <c r="T1170" s="359">
        <f t="shared" si="136"/>
        <v>255653</v>
      </c>
      <c r="U1170" s="359">
        <f t="shared" si="136"/>
        <v>32884</v>
      </c>
      <c r="V1170" s="359">
        <f t="shared" si="136"/>
        <v>0</v>
      </c>
    </row>
    <row r="1171" spans="1:23" s="337" customFormat="1" ht="20.100000000000001" customHeight="1">
      <c r="J1171" s="545"/>
      <c r="K1171" s="337" t="s">
        <v>1020</v>
      </c>
      <c r="L1171" s="451">
        <v>-560274</v>
      </c>
      <c r="M1171" s="451">
        <v>-607724</v>
      </c>
      <c r="N1171" s="377">
        <f t="shared" ref="N1171:V1171" si="137">N422</f>
        <v>-587024</v>
      </c>
      <c r="O1171" s="377">
        <f t="shared" si="137"/>
        <v>-579374</v>
      </c>
      <c r="P1171" s="360">
        <f t="shared" si="137"/>
        <v>-575774</v>
      </c>
      <c r="Q1171" s="360">
        <f t="shared" si="137"/>
        <v>-573374</v>
      </c>
      <c r="R1171" s="359">
        <f t="shared" si="137"/>
        <v>0</v>
      </c>
      <c r="S1171" s="359">
        <f t="shared" si="137"/>
        <v>0</v>
      </c>
      <c r="T1171" s="359">
        <f t="shared" si="137"/>
        <v>0</v>
      </c>
      <c r="U1171" s="359">
        <f t="shared" si="137"/>
        <v>0</v>
      </c>
      <c r="V1171" s="359">
        <f t="shared" si="137"/>
        <v>0</v>
      </c>
    </row>
    <row r="1172" spans="1:23" s="337" customFormat="1" ht="20.100000000000001" customHeight="1">
      <c r="J1172" s="545"/>
      <c r="K1172" s="337" t="s">
        <v>1308</v>
      </c>
      <c r="L1172" s="451">
        <f>175851+196095</f>
        <v>371946</v>
      </c>
      <c r="M1172" s="451">
        <f>210284+157807</f>
        <v>368091</v>
      </c>
      <c r="N1172" s="377">
        <f t="shared" ref="N1172:V1172" si="138">N548+N550</f>
        <v>303690</v>
      </c>
      <c r="O1172" s="377">
        <f t="shared" si="138"/>
        <v>292122</v>
      </c>
      <c r="P1172" s="378">
        <f t="shared" si="138"/>
        <v>39578</v>
      </c>
      <c r="Q1172" s="378">
        <f t="shared" si="138"/>
        <v>38572</v>
      </c>
      <c r="R1172" s="377">
        <f t="shared" si="138"/>
        <v>22635</v>
      </c>
      <c r="S1172" s="377">
        <f t="shared" si="138"/>
        <v>0</v>
      </c>
      <c r="T1172" s="377">
        <f t="shared" si="138"/>
        <v>0</v>
      </c>
      <c r="U1172" s="377">
        <f t="shared" si="138"/>
        <v>0</v>
      </c>
      <c r="V1172" s="377">
        <f t="shared" si="138"/>
        <v>0</v>
      </c>
    </row>
    <row r="1173" spans="1:23" s="337" customFormat="1" ht="20.100000000000001" customHeight="1">
      <c r="J1173" s="545"/>
      <c r="K1173" s="337" t="s">
        <v>1022</v>
      </c>
      <c r="L1173" s="451">
        <v>-93178</v>
      </c>
      <c r="M1173" s="451">
        <v>-18378</v>
      </c>
      <c r="N1173" s="377">
        <f t="shared" ref="N1173:V1173" si="139">N485</f>
        <v>652</v>
      </c>
      <c r="O1173" s="377">
        <f t="shared" si="139"/>
        <v>81196</v>
      </c>
      <c r="P1173" s="360">
        <f t="shared" si="139"/>
        <v>332500</v>
      </c>
      <c r="Q1173" s="360">
        <f t="shared" si="139"/>
        <v>373437</v>
      </c>
      <c r="R1173" s="359">
        <f t="shared" si="139"/>
        <v>691053</v>
      </c>
      <c r="S1173" s="359">
        <f t="shared" si="139"/>
        <v>4883879</v>
      </c>
      <c r="T1173" s="359">
        <f t="shared" si="139"/>
        <v>703540</v>
      </c>
      <c r="U1173" s="359">
        <f t="shared" si="139"/>
        <v>0</v>
      </c>
      <c r="V1173" s="359">
        <f t="shared" si="139"/>
        <v>0</v>
      </c>
    </row>
    <row r="1174" spans="1:23" s="337" customFormat="1" ht="20.100000000000001" customHeight="1">
      <c r="J1174" s="545"/>
      <c r="K1174" s="337" t="s">
        <v>967</v>
      </c>
      <c r="L1174" s="451">
        <v>0</v>
      </c>
      <c r="M1174" s="477">
        <v>7628</v>
      </c>
      <c r="N1174" s="359">
        <f t="shared" ref="N1174:V1174" si="140">N581</f>
        <v>8653</v>
      </c>
      <c r="O1174" s="359">
        <f t="shared" si="140"/>
        <v>87510</v>
      </c>
      <c r="P1174" s="360">
        <f t="shared" si="140"/>
        <v>8925</v>
      </c>
      <c r="Q1174" s="360">
        <f t="shared" si="140"/>
        <v>10686</v>
      </c>
      <c r="R1174" s="359">
        <f t="shared" si="140"/>
        <v>11611</v>
      </c>
      <c r="S1174" s="359">
        <f t="shared" si="140"/>
        <v>12536</v>
      </c>
      <c r="T1174" s="359">
        <f t="shared" si="140"/>
        <v>0</v>
      </c>
      <c r="U1174" s="359">
        <f t="shared" si="140"/>
        <v>0</v>
      </c>
      <c r="V1174" s="359">
        <f t="shared" si="140"/>
        <v>0</v>
      </c>
    </row>
    <row r="1175" spans="1:23" s="337" customFormat="1" ht="20.100000000000001" customHeight="1">
      <c r="J1175" s="545"/>
      <c r="K1175" s="337" t="s">
        <v>858</v>
      </c>
      <c r="L1175" s="451">
        <v>453875</v>
      </c>
      <c r="M1175" s="451">
        <v>339359</v>
      </c>
      <c r="N1175" s="377">
        <f t="shared" ref="N1175:V1175" si="141">N673</f>
        <v>825261</v>
      </c>
      <c r="O1175" s="377">
        <f t="shared" si="141"/>
        <v>1300837</v>
      </c>
      <c r="P1175" s="360">
        <f t="shared" si="141"/>
        <v>642452</v>
      </c>
      <c r="Q1175" s="360">
        <f t="shared" si="141"/>
        <v>1379272</v>
      </c>
      <c r="R1175" s="359">
        <f t="shared" si="141"/>
        <v>1160768</v>
      </c>
      <c r="S1175" s="359">
        <f t="shared" si="141"/>
        <v>296322</v>
      </c>
      <c r="T1175" s="359">
        <f t="shared" si="141"/>
        <v>-713531</v>
      </c>
      <c r="U1175" s="359">
        <f t="shared" si="141"/>
        <v>-1417857</v>
      </c>
      <c r="V1175" s="359">
        <f t="shared" si="141"/>
        <v>-1549395</v>
      </c>
    </row>
    <row r="1176" spans="1:23" s="337" customFormat="1" ht="20.100000000000001" customHeight="1">
      <c r="J1176" s="545"/>
      <c r="K1176" s="337" t="s">
        <v>859</v>
      </c>
      <c r="L1176" s="451">
        <v>2557262</v>
      </c>
      <c r="M1176" s="451">
        <v>2735213</v>
      </c>
      <c r="N1176" s="377">
        <f t="shared" ref="N1176:V1176" si="142">N766</f>
        <v>2377831</v>
      </c>
      <c r="O1176" s="377">
        <f t="shared" si="142"/>
        <v>3003537</v>
      </c>
      <c r="P1176" s="360">
        <f t="shared" si="142"/>
        <v>2625761</v>
      </c>
      <c r="Q1176" s="360">
        <f t="shared" si="142"/>
        <v>2895977</v>
      </c>
      <c r="R1176" s="359">
        <f t="shared" si="142"/>
        <v>2681077</v>
      </c>
      <c r="S1176" s="359">
        <f t="shared" si="142"/>
        <v>1874420</v>
      </c>
      <c r="T1176" s="359">
        <f t="shared" si="142"/>
        <v>1429922</v>
      </c>
      <c r="U1176" s="359">
        <f t="shared" si="142"/>
        <v>814255</v>
      </c>
      <c r="V1176" s="359">
        <f t="shared" si="142"/>
        <v>524280</v>
      </c>
    </row>
    <row r="1177" spans="1:23" s="337" customFormat="1" ht="20.100000000000001" customHeight="1">
      <c r="J1177" s="545"/>
      <c r="K1177" s="337" t="s">
        <v>860</v>
      </c>
      <c r="L1177" s="451">
        <v>-565517</v>
      </c>
      <c r="M1177" s="451">
        <v>-603425</v>
      </c>
      <c r="N1177" s="377">
        <f t="shared" ref="N1177:V1177" si="143">N804</f>
        <v>-388625</v>
      </c>
      <c r="O1177" s="377">
        <f t="shared" si="143"/>
        <v>-294778</v>
      </c>
      <c r="P1177" s="360">
        <f t="shared" si="143"/>
        <v>-172534</v>
      </c>
      <c r="Q1177" s="360">
        <f t="shared" si="143"/>
        <v>85081</v>
      </c>
      <c r="R1177" s="359">
        <f t="shared" si="143"/>
        <v>162581</v>
      </c>
      <c r="S1177" s="359">
        <f t="shared" si="143"/>
        <v>-171269</v>
      </c>
      <c r="T1177" s="359">
        <f t="shared" si="143"/>
        <v>-411269</v>
      </c>
      <c r="U1177" s="359">
        <f t="shared" si="143"/>
        <v>-1269</v>
      </c>
      <c r="V1177" s="359">
        <f t="shared" si="143"/>
        <v>-41269</v>
      </c>
    </row>
    <row r="1178" spans="1:23" s="337" customFormat="1" ht="20.100000000000001" customHeight="1">
      <c r="J1178" s="444"/>
      <c r="K1178" s="337" t="s">
        <v>984</v>
      </c>
      <c r="L1178" s="451">
        <v>285643</v>
      </c>
      <c r="M1178" s="477">
        <v>423351</v>
      </c>
      <c r="N1178" s="359">
        <f t="shared" ref="N1178:U1178" si="144">N1103</f>
        <v>569790</v>
      </c>
      <c r="O1178" s="359">
        <f>O1103</f>
        <v>0</v>
      </c>
      <c r="P1178" s="360">
        <f t="shared" si="144"/>
        <v>0</v>
      </c>
      <c r="Q1178" s="360">
        <f>Q1103</f>
        <v>0</v>
      </c>
      <c r="R1178" s="359">
        <f t="shared" si="144"/>
        <v>0</v>
      </c>
      <c r="S1178" s="359">
        <f t="shared" si="144"/>
        <v>0</v>
      </c>
      <c r="T1178" s="359">
        <f t="shared" si="144"/>
        <v>0</v>
      </c>
      <c r="U1178" s="377">
        <f t="shared" si="144"/>
        <v>0</v>
      </c>
      <c r="V1178" s="377">
        <f>V1103</f>
        <v>0</v>
      </c>
    </row>
    <row r="1179" spans="1:23" s="337" customFormat="1" ht="20.100000000000001" customHeight="1">
      <c r="J1179" s="444"/>
      <c r="K1179" s="337" t="s">
        <v>747</v>
      </c>
      <c r="L1179" s="451">
        <v>2772153</v>
      </c>
      <c r="M1179" s="477">
        <v>2477758</v>
      </c>
      <c r="N1179" s="359">
        <f t="shared" ref="N1179:U1179" si="145">N1126</f>
        <v>2178550</v>
      </c>
      <c r="O1179" s="377">
        <f>O1126</f>
        <v>1877872</v>
      </c>
      <c r="P1179" s="360">
        <f t="shared" si="145"/>
        <v>1578277</v>
      </c>
      <c r="Q1179" s="360">
        <f>Q1126</f>
        <v>1573929</v>
      </c>
      <c r="R1179" s="359">
        <f t="shared" si="145"/>
        <v>-529634</v>
      </c>
      <c r="S1179" s="359">
        <f t="shared" si="145"/>
        <v>-837532</v>
      </c>
      <c r="T1179" s="359">
        <f t="shared" si="145"/>
        <v>-1042630</v>
      </c>
      <c r="U1179" s="359">
        <f t="shared" si="145"/>
        <v>-1249728</v>
      </c>
      <c r="V1179" s="359">
        <f>V1126</f>
        <v>-1458426</v>
      </c>
    </row>
    <row r="1180" spans="1:23" s="337" customFormat="1" ht="20.100000000000001" customHeight="1">
      <c r="J1180" s="444"/>
      <c r="K1180" s="337" t="s">
        <v>755</v>
      </c>
      <c r="L1180" s="478">
        <v>49575</v>
      </c>
      <c r="M1180" s="478">
        <v>136294</v>
      </c>
      <c r="N1180" s="402">
        <f t="shared" ref="N1180:U1180" si="146">N1145</f>
        <v>209760</v>
      </c>
      <c r="O1180" s="402">
        <f>O1145</f>
        <v>257953</v>
      </c>
      <c r="P1180" s="405">
        <f t="shared" si="146"/>
        <v>264867</v>
      </c>
      <c r="Q1180" s="405">
        <f>Q1145</f>
        <v>261449</v>
      </c>
      <c r="R1180" s="406">
        <f t="shared" si="146"/>
        <v>251449</v>
      </c>
      <c r="S1180" s="406">
        <f t="shared" si="146"/>
        <v>241444</v>
      </c>
      <c r="T1180" s="406">
        <f t="shared" si="146"/>
        <v>231434</v>
      </c>
      <c r="U1180" s="406">
        <f t="shared" si="146"/>
        <v>221419</v>
      </c>
      <c r="V1180" s="406">
        <f>V1145</f>
        <v>211394</v>
      </c>
    </row>
    <row r="1181" spans="1:23" s="337" customFormat="1" ht="7.5" customHeight="1">
      <c r="L1181" s="451"/>
      <c r="M1181" s="451"/>
      <c r="N1181" s="377"/>
      <c r="O1181" s="377"/>
      <c r="P1181" s="360"/>
      <c r="Q1181" s="360"/>
      <c r="R1181" s="359"/>
      <c r="S1181" s="359"/>
      <c r="T1181" s="359"/>
      <c r="U1181" s="359"/>
      <c r="V1181" s="359"/>
    </row>
    <row r="1182" spans="1:23" s="337" customFormat="1" ht="20.100000000000001" customHeight="1">
      <c r="L1182" s="449">
        <f t="shared" ref="L1182:V1182" si="147">SUM(L1167:L1181)</f>
        <v>6778115</v>
      </c>
      <c r="M1182" s="449">
        <f t="shared" si="147"/>
        <v>5179260</v>
      </c>
      <c r="N1182" s="383">
        <f t="shared" si="147"/>
        <v>5896901</v>
      </c>
      <c r="O1182" s="383">
        <f t="shared" si="147"/>
        <v>8251614</v>
      </c>
      <c r="P1182" s="362">
        <f t="shared" si="147"/>
        <v>6832127</v>
      </c>
      <c r="Q1182" s="362">
        <f t="shared" si="147"/>
        <v>10547746</v>
      </c>
      <c r="R1182" s="361">
        <f t="shared" si="147"/>
        <v>7610562</v>
      </c>
      <c r="S1182" s="361">
        <f t="shared" si="147"/>
        <v>9778587</v>
      </c>
      <c r="T1182" s="361">
        <f t="shared" si="147"/>
        <v>3742310</v>
      </c>
      <c r="U1182" s="361">
        <f t="shared" si="147"/>
        <v>714665</v>
      </c>
      <c r="V1182" s="361">
        <f t="shared" si="147"/>
        <v>-249786</v>
      </c>
    </row>
    <row r="1183" spans="1:23" s="337" customFormat="1" ht="15" customHeight="1">
      <c r="L1183" s="451"/>
      <c r="M1183" s="477"/>
      <c r="N1183" s="359"/>
      <c r="O1183" s="359"/>
      <c r="P1183" s="360"/>
      <c r="Q1183" s="360"/>
      <c r="R1183" s="359"/>
      <c r="S1183" s="359"/>
      <c r="T1183" s="359"/>
      <c r="U1183" s="359"/>
      <c r="V1183" s="359"/>
    </row>
    <row r="1184" spans="1:23" s="233" customFormat="1" ht="15" customHeight="1">
      <c r="A1184" s="443"/>
      <c r="B1184" s="443"/>
      <c r="C1184" s="443"/>
      <c r="D1184" s="443"/>
      <c r="E1184" s="443"/>
      <c r="F1184" s="445"/>
      <c r="G1184" s="445"/>
      <c r="H1184" s="445"/>
      <c r="I1184" s="445"/>
      <c r="J1184" s="445"/>
      <c r="K1184" s="445"/>
      <c r="L1184" s="325"/>
      <c r="M1184" s="325"/>
      <c r="N1184" s="410"/>
      <c r="O1184" s="410"/>
      <c r="P1184" s="409"/>
      <c r="Q1184" s="326"/>
      <c r="R1184" s="327"/>
      <c r="S1184" s="327"/>
      <c r="T1184" s="327"/>
      <c r="U1184" s="327"/>
      <c r="V1184" s="327"/>
      <c r="W1184" s="328"/>
    </row>
    <row r="1185" spans="6:22" s="337" customFormat="1" ht="24" customHeight="1">
      <c r="F1185" s="435" t="s">
        <v>941</v>
      </c>
      <c r="L1185" s="451"/>
      <c r="M1185" s="463"/>
      <c r="N1185" s="359"/>
      <c r="O1185" s="359"/>
      <c r="P1185" s="360"/>
      <c r="Q1185" s="360"/>
      <c r="R1185" s="359"/>
      <c r="S1185" s="359"/>
      <c r="T1185" s="359"/>
      <c r="U1185" s="359"/>
      <c r="V1185" s="359"/>
    </row>
    <row r="1186" spans="6:22" s="337" customFormat="1" ht="15" customHeight="1">
      <c r="L1186" s="451"/>
      <c r="M1186" s="463"/>
      <c r="N1186" s="359"/>
      <c r="O1186" s="359"/>
      <c r="P1186" s="360"/>
      <c r="Q1186" s="360"/>
      <c r="R1186" s="359"/>
      <c r="S1186" s="359"/>
      <c r="T1186" s="359"/>
      <c r="U1186" s="359"/>
      <c r="V1186" s="359"/>
    </row>
    <row r="1187" spans="6:22" s="337" customFormat="1" ht="24" customHeight="1">
      <c r="K1187" s="435" t="s">
        <v>854</v>
      </c>
      <c r="L1187" s="476"/>
      <c r="M1187" s="463"/>
      <c r="N1187" s="359"/>
      <c r="O1187" s="359"/>
      <c r="P1187" s="360"/>
      <c r="Q1187" s="360"/>
      <c r="R1187" s="359"/>
      <c r="S1187" s="359"/>
      <c r="T1187" s="359"/>
      <c r="U1187" s="359"/>
      <c r="V1187" s="359"/>
    </row>
    <row r="1188" spans="6:22" s="337" customFormat="1" ht="24" customHeight="1">
      <c r="K1188" s="337" t="s">
        <v>1308</v>
      </c>
      <c r="L1188" s="451">
        <v>-17623</v>
      </c>
      <c r="M1188" s="479">
        <v>41100</v>
      </c>
      <c r="N1188" s="359">
        <f t="shared" ref="N1188:V1188" si="148">N494+N503+N504+N508-N542</f>
        <v>-15409</v>
      </c>
      <c r="O1188" s="359">
        <f t="shared" si="148"/>
        <v>11030</v>
      </c>
      <c r="P1188" s="360">
        <f t="shared" si="148"/>
        <v>-9000</v>
      </c>
      <c r="Q1188" s="360">
        <f t="shared" si="148"/>
        <v>28225</v>
      </c>
      <c r="R1188" s="359">
        <f t="shared" si="148"/>
        <v>-16775</v>
      </c>
      <c r="S1188" s="359">
        <f t="shared" si="148"/>
        <v>-15775</v>
      </c>
      <c r="T1188" s="359">
        <f t="shared" si="148"/>
        <v>225</v>
      </c>
      <c r="U1188" s="359">
        <f t="shared" si="148"/>
        <v>225</v>
      </c>
      <c r="V1188" s="359">
        <f t="shared" si="148"/>
        <v>225</v>
      </c>
    </row>
    <row r="1189" spans="6:22" s="337" customFormat="1" ht="24" customHeight="1">
      <c r="K1189" s="337" t="s">
        <v>942</v>
      </c>
      <c r="L1189" s="451">
        <v>-25086</v>
      </c>
      <c r="M1189" s="479">
        <v>81260</v>
      </c>
      <c r="N1189" s="359">
        <f t="shared" ref="N1189:V1189" si="149">N893</f>
        <v>206408</v>
      </c>
      <c r="O1189" s="377">
        <f t="shared" si="149"/>
        <v>48510</v>
      </c>
      <c r="P1189" s="378">
        <f t="shared" si="149"/>
        <v>-55320</v>
      </c>
      <c r="Q1189" s="378">
        <f t="shared" si="149"/>
        <v>12978</v>
      </c>
      <c r="R1189" s="359">
        <f t="shared" si="149"/>
        <v>29656</v>
      </c>
      <c r="S1189" s="359">
        <f t="shared" si="149"/>
        <v>-89046</v>
      </c>
      <c r="T1189" s="359">
        <f t="shared" si="149"/>
        <v>-8302</v>
      </c>
      <c r="U1189" s="359">
        <f t="shared" si="149"/>
        <v>-8073</v>
      </c>
      <c r="V1189" s="359">
        <f t="shared" si="149"/>
        <v>-11532</v>
      </c>
    </row>
    <row r="1190" spans="6:22" s="337" customFormat="1" ht="24" customHeight="1">
      <c r="K1190" s="337" t="s">
        <v>943</v>
      </c>
      <c r="L1190" s="480">
        <v>-77625</v>
      </c>
      <c r="M1190" s="481">
        <v>-50240</v>
      </c>
      <c r="N1190" s="406">
        <f t="shared" ref="N1190:V1190" si="150">N949</f>
        <v>-67272</v>
      </c>
      <c r="O1190" s="402">
        <f t="shared" si="150"/>
        <v>-24913</v>
      </c>
      <c r="P1190" s="403">
        <f t="shared" si="150"/>
        <v>-81133</v>
      </c>
      <c r="Q1190" s="403">
        <f t="shared" si="150"/>
        <v>-247467</v>
      </c>
      <c r="R1190" s="406">
        <f t="shared" si="150"/>
        <v>467468</v>
      </c>
      <c r="S1190" s="406">
        <f t="shared" si="150"/>
        <v>0</v>
      </c>
      <c r="T1190" s="406">
        <f t="shared" si="150"/>
        <v>0</v>
      </c>
      <c r="U1190" s="406">
        <f t="shared" si="150"/>
        <v>0</v>
      </c>
      <c r="V1190" s="406">
        <f t="shared" si="150"/>
        <v>0</v>
      </c>
    </row>
    <row r="1191" spans="6:22" s="337" customFormat="1" ht="15" customHeight="1">
      <c r="L1191" s="451"/>
      <c r="M1191" s="451"/>
      <c r="N1191" s="377"/>
      <c r="O1191" s="377"/>
      <c r="P1191" s="360"/>
      <c r="Q1191" s="360"/>
      <c r="R1191" s="359"/>
      <c r="S1191" s="359"/>
      <c r="T1191" s="359"/>
      <c r="U1191" s="359"/>
      <c r="V1191" s="359"/>
    </row>
    <row r="1192" spans="6:22" s="337" customFormat="1" ht="24" customHeight="1">
      <c r="K1192" s="425"/>
      <c r="L1192" s="449">
        <f>SUM(L1188:L1191)</f>
        <v>-120334</v>
      </c>
      <c r="M1192" s="449">
        <f>SUM(M1188:M1191)</f>
        <v>72120</v>
      </c>
      <c r="N1192" s="383">
        <f t="shared" ref="N1192:U1192" si="151">SUM(N1188:N1191)</f>
        <v>123727</v>
      </c>
      <c r="O1192" s="383">
        <f>SUM(O1188:O1191)</f>
        <v>34627</v>
      </c>
      <c r="P1192" s="362">
        <f t="shared" si="151"/>
        <v>-145453</v>
      </c>
      <c r="Q1192" s="362">
        <f>SUM(Q1188:Q1191)</f>
        <v>-206264</v>
      </c>
      <c r="R1192" s="361">
        <f>SUM(R1188:R1191)</f>
        <v>480349</v>
      </c>
      <c r="S1192" s="361">
        <f>SUM(S1188:S1191)</f>
        <v>-104821</v>
      </c>
      <c r="T1192" s="361">
        <f t="shared" si="151"/>
        <v>-8077</v>
      </c>
      <c r="U1192" s="361">
        <f t="shared" si="151"/>
        <v>-7848</v>
      </c>
      <c r="V1192" s="361">
        <f>SUM(V1188:V1191)</f>
        <v>-11307</v>
      </c>
    </row>
    <row r="1193" spans="6:22" s="337" customFormat="1" ht="15" customHeight="1">
      <c r="L1193" s="451"/>
      <c r="M1193" s="463"/>
      <c r="N1193" s="359"/>
      <c r="O1193" s="359"/>
      <c r="P1193" s="360"/>
      <c r="Q1193" s="360"/>
      <c r="R1193" s="359"/>
      <c r="S1193" s="359"/>
      <c r="T1193" s="359"/>
      <c r="U1193" s="359"/>
      <c r="V1193" s="359"/>
    </row>
    <row r="1194" spans="6:22" s="337" customFormat="1" ht="24" customHeight="1">
      <c r="K1194" s="435" t="s">
        <v>1187</v>
      </c>
      <c r="L1194" s="476"/>
      <c r="M1194" s="463"/>
      <c r="N1194" s="359"/>
      <c r="O1194" s="359"/>
      <c r="P1194" s="360"/>
      <c r="Q1194" s="360"/>
      <c r="R1194" s="359"/>
      <c r="S1194" s="359"/>
      <c r="T1194" s="359"/>
      <c r="U1194" s="359"/>
      <c r="V1194" s="359"/>
    </row>
    <row r="1195" spans="6:22" s="337" customFormat="1" ht="24" customHeight="1">
      <c r="K1195" s="337" t="s">
        <v>1308</v>
      </c>
      <c r="L1195" s="451">
        <v>25752</v>
      </c>
      <c r="M1195" s="477">
        <v>66852</v>
      </c>
      <c r="N1195" s="359">
        <f t="shared" ref="N1195:V1195" si="152">N552</f>
        <v>51443</v>
      </c>
      <c r="O1195" s="359">
        <f t="shared" si="152"/>
        <v>62473</v>
      </c>
      <c r="P1195" s="360">
        <f t="shared" si="152"/>
        <v>22545</v>
      </c>
      <c r="Q1195" s="360">
        <f t="shared" si="152"/>
        <v>90698</v>
      </c>
      <c r="R1195" s="359">
        <f t="shared" si="152"/>
        <v>73923</v>
      </c>
      <c r="S1195" s="359">
        <f t="shared" si="152"/>
        <v>58148</v>
      </c>
      <c r="T1195" s="359">
        <f t="shared" si="152"/>
        <v>58373</v>
      </c>
      <c r="U1195" s="359">
        <f t="shared" si="152"/>
        <v>58598</v>
      </c>
      <c r="V1195" s="359">
        <f t="shared" si="152"/>
        <v>58823</v>
      </c>
    </row>
    <row r="1196" spans="6:22" s="337" customFormat="1" ht="24" customHeight="1">
      <c r="K1196" s="337" t="s">
        <v>942</v>
      </c>
      <c r="L1196" s="451">
        <v>-56112</v>
      </c>
      <c r="M1196" s="477">
        <v>25151</v>
      </c>
      <c r="N1196" s="359">
        <f t="shared" ref="N1196:V1196" si="153">N895</f>
        <v>231558</v>
      </c>
      <c r="O1196" s="377">
        <f t="shared" si="153"/>
        <v>280065</v>
      </c>
      <c r="P1196" s="378">
        <f t="shared" si="153"/>
        <v>185635</v>
      </c>
      <c r="Q1196" s="378">
        <f t="shared" si="153"/>
        <v>293043</v>
      </c>
      <c r="R1196" s="359">
        <f t="shared" si="153"/>
        <v>322699</v>
      </c>
      <c r="S1196" s="359">
        <f t="shared" si="153"/>
        <v>233653</v>
      </c>
      <c r="T1196" s="359">
        <f t="shared" si="153"/>
        <v>225351</v>
      </c>
      <c r="U1196" s="359">
        <f t="shared" si="153"/>
        <v>217278</v>
      </c>
      <c r="V1196" s="359">
        <f t="shared" si="153"/>
        <v>205746</v>
      </c>
    </row>
    <row r="1197" spans="6:22" s="337" customFormat="1" ht="24" customHeight="1">
      <c r="K1197" s="337" t="s">
        <v>943</v>
      </c>
      <c r="L1197" s="478">
        <v>-77579</v>
      </c>
      <c r="M1197" s="481">
        <v>-127819</v>
      </c>
      <c r="N1197" s="406">
        <f t="shared" ref="N1197:V1197" si="154">N951</f>
        <v>-195087</v>
      </c>
      <c r="O1197" s="402">
        <f t="shared" si="154"/>
        <v>-220001</v>
      </c>
      <c r="P1197" s="403">
        <f t="shared" si="154"/>
        <v>-367521</v>
      </c>
      <c r="Q1197" s="403">
        <f t="shared" si="154"/>
        <v>-467468</v>
      </c>
      <c r="R1197" s="406">
        <f t="shared" si="154"/>
        <v>0</v>
      </c>
      <c r="S1197" s="406">
        <f t="shared" si="154"/>
        <v>0</v>
      </c>
      <c r="T1197" s="406">
        <f t="shared" si="154"/>
        <v>0</v>
      </c>
      <c r="U1197" s="406">
        <f t="shared" si="154"/>
        <v>0</v>
      </c>
      <c r="V1197" s="406">
        <f t="shared" si="154"/>
        <v>0</v>
      </c>
    </row>
    <row r="1198" spans="6:22" s="337" customFormat="1" ht="15" customHeight="1">
      <c r="L1198" s="451"/>
      <c r="M1198" s="451"/>
      <c r="N1198" s="377"/>
      <c r="O1198" s="377"/>
      <c r="P1198" s="360"/>
      <c r="Q1198" s="360"/>
      <c r="R1198" s="359"/>
      <c r="S1198" s="359"/>
      <c r="T1198" s="359"/>
      <c r="U1198" s="359"/>
      <c r="V1198" s="359"/>
    </row>
    <row r="1199" spans="6:22" s="337" customFormat="1" ht="24" customHeight="1">
      <c r="L1199" s="449">
        <f>SUM(L1195:L1198)</f>
        <v>-107939</v>
      </c>
      <c r="M1199" s="449">
        <f>SUM(M1195:M1198)</f>
        <v>-35816</v>
      </c>
      <c r="N1199" s="383">
        <f t="shared" ref="N1199:U1199" si="155">SUM(N1195:N1198)</f>
        <v>87914</v>
      </c>
      <c r="O1199" s="383">
        <f>SUM(O1195:O1198)</f>
        <v>122537</v>
      </c>
      <c r="P1199" s="362">
        <f t="shared" si="155"/>
        <v>-159341</v>
      </c>
      <c r="Q1199" s="362">
        <f>SUM(Q1195:Q1198)</f>
        <v>-83727</v>
      </c>
      <c r="R1199" s="361">
        <f t="shared" si="155"/>
        <v>396622</v>
      </c>
      <c r="S1199" s="361">
        <f>SUM(S1195:S1198)</f>
        <v>291801</v>
      </c>
      <c r="T1199" s="361">
        <f t="shared" si="155"/>
        <v>283724</v>
      </c>
      <c r="U1199" s="361">
        <f t="shared" si="155"/>
        <v>275876</v>
      </c>
      <c r="V1199" s="361">
        <f>SUM(V1195:V1198)</f>
        <v>264569</v>
      </c>
    </row>
    <row r="1200" spans="6:22" s="337" customFormat="1" ht="15" customHeight="1">
      <c r="L1200" s="451"/>
      <c r="M1200" s="463"/>
      <c r="N1200" s="359"/>
      <c r="O1200" s="359"/>
      <c r="P1200" s="360"/>
      <c r="Q1200" s="360"/>
      <c r="R1200" s="359"/>
      <c r="S1200" s="359"/>
      <c r="T1200" s="359"/>
      <c r="U1200" s="359"/>
      <c r="V1200" s="359"/>
    </row>
    <row r="1201" spans="6:22" s="337" customFormat="1" ht="24" customHeight="1">
      <c r="F1201" s="435" t="s">
        <v>944</v>
      </c>
      <c r="L1201" s="451"/>
      <c r="M1201" s="463"/>
      <c r="N1201" s="359"/>
      <c r="O1201" s="359"/>
      <c r="P1201" s="360"/>
      <c r="Q1201" s="360"/>
      <c r="R1201" s="359"/>
      <c r="S1201" s="359"/>
      <c r="T1201" s="359"/>
      <c r="U1201" s="359"/>
      <c r="V1201" s="359"/>
    </row>
    <row r="1202" spans="6:22" s="337" customFormat="1" ht="15" customHeight="1">
      <c r="L1202" s="451"/>
      <c r="M1202" s="463"/>
      <c r="N1202" s="359"/>
      <c r="O1202" s="359"/>
      <c r="P1202" s="360"/>
      <c r="Q1202" s="360"/>
      <c r="R1202" s="359"/>
      <c r="S1202" s="359"/>
      <c r="T1202" s="359"/>
      <c r="U1202" s="359"/>
      <c r="V1202" s="359"/>
    </row>
    <row r="1203" spans="6:22" s="337" customFormat="1" ht="24" customHeight="1">
      <c r="K1203" s="435" t="s">
        <v>854</v>
      </c>
      <c r="L1203" s="476"/>
      <c r="M1203" s="463"/>
      <c r="N1203" s="359"/>
      <c r="O1203" s="359"/>
      <c r="P1203" s="360"/>
      <c r="Q1203" s="360"/>
      <c r="R1203" s="359"/>
      <c r="S1203" s="359"/>
      <c r="T1203" s="359"/>
      <c r="U1203" s="359"/>
      <c r="V1203" s="359"/>
    </row>
    <row r="1204" spans="6:22" s="337" customFormat="1" ht="24" customHeight="1">
      <c r="K1204" s="337" t="s">
        <v>945</v>
      </c>
      <c r="L1204" s="451">
        <v>-85647</v>
      </c>
      <c r="M1204" s="479">
        <v>-228058</v>
      </c>
      <c r="N1204" s="359">
        <f t="shared" ref="N1204:V1204" si="156">N1031</f>
        <v>-253670</v>
      </c>
      <c r="O1204" s="377">
        <f t="shared" si="156"/>
        <v>71495</v>
      </c>
      <c r="P1204" s="378">
        <f t="shared" si="156"/>
        <v>23221</v>
      </c>
      <c r="Q1204" s="378">
        <f t="shared" si="156"/>
        <v>11323</v>
      </c>
      <c r="R1204" s="359">
        <f t="shared" si="156"/>
        <v>7276</v>
      </c>
      <c r="S1204" s="359">
        <f t="shared" si="156"/>
        <v>4666</v>
      </c>
      <c r="T1204" s="359">
        <f t="shared" si="156"/>
        <v>-6876</v>
      </c>
      <c r="U1204" s="359">
        <f t="shared" si="156"/>
        <v>-14887</v>
      </c>
      <c r="V1204" s="359">
        <f t="shared" si="156"/>
        <v>1630</v>
      </c>
    </row>
    <row r="1205" spans="6:22" s="337" customFormat="1" ht="24" customHeight="1">
      <c r="K1205" s="337" t="s">
        <v>734</v>
      </c>
      <c r="L1205" s="451">
        <v>0</v>
      </c>
      <c r="M1205" s="479">
        <v>0</v>
      </c>
      <c r="N1205" s="359">
        <f t="shared" ref="N1205:V1205" si="157">N1056</f>
        <v>0</v>
      </c>
      <c r="O1205" s="377">
        <f t="shared" si="157"/>
        <v>-1821</v>
      </c>
      <c r="P1205" s="378">
        <f t="shared" si="157"/>
        <v>1811</v>
      </c>
      <c r="Q1205" s="378">
        <f t="shared" si="157"/>
        <v>1821</v>
      </c>
      <c r="R1205" s="359">
        <f t="shared" si="157"/>
        <v>2325</v>
      </c>
      <c r="S1205" s="359">
        <f t="shared" si="157"/>
        <v>200</v>
      </c>
      <c r="T1205" s="359">
        <f t="shared" si="157"/>
        <v>200</v>
      </c>
      <c r="U1205" s="359">
        <f t="shared" si="157"/>
        <v>200</v>
      </c>
      <c r="V1205" s="359">
        <f t="shared" si="157"/>
        <v>200</v>
      </c>
    </row>
    <row r="1206" spans="6:22" s="337" customFormat="1" ht="24" customHeight="1">
      <c r="K1206" s="337" t="s">
        <v>1128</v>
      </c>
      <c r="L1206" s="478">
        <v>0</v>
      </c>
      <c r="M1206" s="481">
        <v>0</v>
      </c>
      <c r="N1206" s="406">
        <f t="shared" ref="N1206:U1206" si="158">N1079</f>
        <v>0</v>
      </c>
      <c r="O1206" s="402">
        <f>O1079</f>
        <v>6794</v>
      </c>
      <c r="P1206" s="403">
        <f t="shared" si="158"/>
        <v>2876</v>
      </c>
      <c r="Q1206" s="403">
        <f>Q1079</f>
        <v>12036</v>
      </c>
      <c r="R1206" s="406">
        <f t="shared" si="158"/>
        <v>-18830</v>
      </c>
      <c r="S1206" s="406">
        <f t="shared" si="158"/>
        <v>0</v>
      </c>
      <c r="T1206" s="406">
        <f t="shared" si="158"/>
        <v>0</v>
      </c>
      <c r="U1206" s="406">
        <f t="shared" si="158"/>
        <v>0</v>
      </c>
      <c r="V1206" s="406">
        <f>V1079</f>
        <v>0</v>
      </c>
    </row>
    <row r="1207" spans="6:22" s="337" customFormat="1" ht="15" customHeight="1">
      <c r="L1207" s="451"/>
      <c r="M1207" s="451"/>
      <c r="N1207" s="377"/>
      <c r="O1207" s="377"/>
      <c r="P1207" s="360"/>
      <c r="Q1207" s="360"/>
      <c r="R1207" s="359"/>
      <c r="S1207" s="359"/>
      <c r="T1207" s="359"/>
      <c r="U1207" s="359"/>
      <c r="V1207" s="359"/>
    </row>
    <row r="1208" spans="6:22" s="337" customFormat="1" ht="24" customHeight="1">
      <c r="K1208" s="425"/>
      <c r="L1208" s="449">
        <f>SUM(L1204:L1207)</f>
        <v>-85647</v>
      </c>
      <c r="M1208" s="449">
        <f>SUM(M1204:M1207)</f>
        <v>-228058</v>
      </c>
      <c r="N1208" s="383">
        <f t="shared" ref="N1208:U1208" si="159">SUM(N1204:N1207)</f>
        <v>-253670</v>
      </c>
      <c r="O1208" s="383">
        <f>SUM(O1204:O1207)</f>
        <v>76468</v>
      </c>
      <c r="P1208" s="362">
        <f t="shared" si="159"/>
        <v>27908</v>
      </c>
      <c r="Q1208" s="362">
        <f>SUM(Q1204:Q1207)</f>
        <v>25180</v>
      </c>
      <c r="R1208" s="361">
        <f t="shared" si="159"/>
        <v>-9229</v>
      </c>
      <c r="S1208" s="361">
        <f t="shared" si="159"/>
        <v>4866</v>
      </c>
      <c r="T1208" s="361">
        <f t="shared" si="159"/>
        <v>-6676</v>
      </c>
      <c r="U1208" s="361">
        <f t="shared" si="159"/>
        <v>-14687</v>
      </c>
      <c r="V1208" s="361">
        <f>SUM(V1204:V1207)</f>
        <v>1830</v>
      </c>
    </row>
    <row r="1209" spans="6:22" s="337" customFormat="1" ht="15" customHeight="1">
      <c r="L1209" s="451"/>
      <c r="M1209" s="463"/>
      <c r="N1209" s="359"/>
      <c r="O1209" s="359"/>
      <c r="P1209" s="360"/>
      <c r="Q1209" s="360"/>
      <c r="R1209" s="359"/>
      <c r="S1209" s="359"/>
      <c r="T1209" s="359"/>
      <c r="U1209" s="359"/>
      <c r="V1209" s="359"/>
    </row>
    <row r="1210" spans="6:22" s="337" customFormat="1" ht="24" customHeight="1">
      <c r="K1210" s="435" t="s">
        <v>1187</v>
      </c>
      <c r="L1210" s="476"/>
      <c r="M1210" s="463"/>
      <c r="N1210" s="359"/>
      <c r="O1210" s="359"/>
      <c r="P1210" s="360"/>
      <c r="Q1210" s="360"/>
      <c r="R1210" s="359"/>
      <c r="S1210" s="359"/>
      <c r="T1210" s="359"/>
      <c r="U1210" s="359"/>
      <c r="V1210" s="359"/>
    </row>
    <row r="1211" spans="6:22" s="337" customFormat="1" ht="24" customHeight="1">
      <c r="K1211" s="337" t="s">
        <v>945</v>
      </c>
      <c r="L1211" s="451">
        <v>799062</v>
      </c>
      <c r="M1211" s="477">
        <v>571002</v>
      </c>
      <c r="N1211" s="359">
        <f t="shared" ref="N1211:V1211" si="160">N1033</f>
        <v>317336</v>
      </c>
      <c r="O1211" s="377">
        <f t="shared" si="160"/>
        <v>388831</v>
      </c>
      <c r="P1211" s="378">
        <f t="shared" si="160"/>
        <v>370330</v>
      </c>
      <c r="Q1211" s="378">
        <f t="shared" si="160"/>
        <v>400154</v>
      </c>
      <c r="R1211" s="359">
        <f t="shared" si="160"/>
        <v>407430</v>
      </c>
      <c r="S1211" s="359">
        <f t="shared" si="160"/>
        <v>412096</v>
      </c>
      <c r="T1211" s="359">
        <f t="shared" si="160"/>
        <v>405220</v>
      </c>
      <c r="U1211" s="359">
        <f t="shared" si="160"/>
        <v>390333</v>
      </c>
      <c r="V1211" s="359">
        <f t="shared" si="160"/>
        <v>391963</v>
      </c>
    </row>
    <row r="1212" spans="6:22" s="337" customFormat="1" ht="24" customHeight="1">
      <c r="K1212" s="337" t="s">
        <v>734</v>
      </c>
      <c r="L1212" s="451">
        <v>0</v>
      </c>
      <c r="M1212" s="477">
        <v>0</v>
      </c>
      <c r="N1212" s="359">
        <f t="shared" ref="N1212:V1212" si="161">N1058</f>
        <v>0</v>
      </c>
      <c r="O1212" s="377">
        <f t="shared" si="161"/>
        <v>-1821</v>
      </c>
      <c r="P1212" s="378">
        <f t="shared" si="161"/>
        <v>0</v>
      </c>
      <c r="Q1212" s="378">
        <f t="shared" si="161"/>
        <v>0</v>
      </c>
      <c r="R1212" s="359">
        <f t="shared" si="161"/>
        <v>2325</v>
      </c>
      <c r="S1212" s="359">
        <f t="shared" si="161"/>
        <v>2525</v>
      </c>
      <c r="T1212" s="359">
        <f t="shared" si="161"/>
        <v>2725</v>
      </c>
      <c r="U1212" s="359">
        <f t="shared" si="161"/>
        <v>2925</v>
      </c>
      <c r="V1212" s="359">
        <f t="shared" si="161"/>
        <v>3125</v>
      </c>
    </row>
    <row r="1213" spans="6:22" s="337" customFormat="1" ht="24" customHeight="1">
      <c r="K1213" s="337" t="s">
        <v>1128</v>
      </c>
      <c r="L1213" s="478">
        <v>0</v>
      </c>
      <c r="M1213" s="481">
        <v>0</v>
      </c>
      <c r="N1213" s="406">
        <f t="shared" ref="N1213:U1213" si="162">N1081</f>
        <v>0</v>
      </c>
      <c r="O1213" s="402">
        <f>O1081</f>
        <v>6794</v>
      </c>
      <c r="P1213" s="403">
        <f t="shared" si="162"/>
        <v>0</v>
      </c>
      <c r="Q1213" s="403">
        <f>Q1081</f>
        <v>18830</v>
      </c>
      <c r="R1213" s="406">
        <f t="shared" si="162"/>
        <v>0</v>
      </c>
      <c r="S1213" s="406">
        <f t="shared" si="162"/>
        <v>0</v>
      </c>
      <c r="T1213" s="406">
        <f t="shared" si="162"/>
        <v>0</v>
      </c>
      <c r="U1213" s="406">
        <f t="shared" si="162"/>
        <v>0</v>
      </c>
      <c r="V1213" s="406">
        <f>V1081</f>
        <v>0</v>
      </c>
    </row>
    <row r="1214" spans="6:22" s="337" customFormat="1" ht="15" customHeight="1">
      <c r="L1214" s="451"/>
      <c r="M1214" s="451"/>
      <c r="N1214" s="377"/>
      <c r="O1214" s="377"/>
      <c r="P1214" s="360"/>
      <c r="Q1214" s="360"/>
      <c r="R1214" s="359"/>
      <c r="S1214" s="359"/>
      <c r="T1214" s="359"/>
      <c r="U1214" s="359"/>
      <c r="V1214" s="359"/>
    </row>
    <row r="1215" spans="6:22" s="337" customFormat="1" ht="24" customHeight="1">
      <c r="L1215" s="449">
        <f>SUM(L1211:L1214)</f>
        <v>799062</v>
      </c>
      <c r="M1215" s="449">
        <f>SUM(M1211:M1214)</f>
        <v>571002</v>
      </c>
      <c r="N1215" s="383">
        <f t="shared" ref="N1215:U1215" si="163">SUM(N1211:N1214)</f>
        <v>317336</v>
      </c>
      <c r="O1215" s="383">
        <f>SUM(O1211:O1214)</f>
        <v>393804</v>
      </c>
      <c r="P1215" s="362">
        <f t="shared" si="163"/>
        <v>370330</v>
      </c>
      <c r="Q1215" s="362">
        <f>SUM(Q1211:Q1214)</f>
        <v>418984</v>
      </c>
      <c r="R1215" s="361">
        <f t="shared" si="163"/>
        <v>409755</v>
      </c>
      <c r="S1215" s="361">
        <f t="shared" si="163"/>
        <v>414621</v>
      </c>
      <c r="T1215" s="361">
        <f t="shared" si="163"/>
        <v>407945</v>
      </c>
      <c r="U1215" s="361">
        <f t="shared" si="163"/>
        <v>393258</v>
      </c>
      <c r="V1215" s="361">
        <f>SUM(V1211:V1214)</f>
        <v>395088</v>
      </c>
    </row>
    <row r="1216" spans="6:22" s="337" customFormat="1" ht="15" customHeight="1">
      <c r="L1216" s="451"/>
      <c r="M1216" s="477"/>
      <c r="N1216" s="359"/>
      <c r="O1216" s="359"/>
      <c r="P1216" s="360"/>
      <c r="Q1216" s="360"/>
      <c r="R1216" s="359"/>
      <c r="S1216" s="359"/>
      <c r="T1216" s="359"/>
      <c r="U1216" s="359"/>
      <c r="V1216" s="359"/>
    </row>
    <row r="1217" spans="1:22" s="337" customFormat="1" ht="15" customHeight="1">
      <c r="L1217" s="451"/>
      <c r="M1217" s="477"/>
      <c r="N1217" s="359"/>
      <c r="O1217" s="359"/>
      <c r="P1217" s="360"/>
      <c r="Q1217" s="360"/>
      <c r="R1217" s="359"/>
      <c r="S1217" s="359"/>
      <c r="T1217" s="359"/>
      <c r="U1217" s="359"/>
      <c r="V1217" s="359"/>
    </row>
    <row r="1218" spans="1:22" s="337" customFormat="1" ht="24" customHeight="1">
      <c r="A1218" s="543" t="s">
        <v>1041</v>
      </c>
      <c r="B1218" s="543"/>
      <c r="C1218" s="543"/>
      <c r="D1218" s="543"/>
      <c r="E1218" s="543"/>
      <c r="F1218" s="543"/>
      <c r="K1218" s="337" t="s">
        <v>961</v>
      </c>
      <c r="L1218" s="451"/>
      <c r="M1218" s="477"/>
      <c r="N1218" s="359">
        <f t="shared" ref="N1218:V1218" si="164">N294+N615+N707+N989</f>
        <v>325906</v>
      </c>
      <c r="O1218" s="377">
        <f t="shared" si="164"/>
        <v>308490</v>
      </c>
      <c r="P1218" s="378">
        <f t="shared" si="164"/>
        <v>424000</v>
      </c>
      <c r="Q1218" s="378">
        <f t="shared" si="164"/>
        <v>317250</v>
      </c>
      <c r="R1218" s="359">
        <f t="shared" si="164"/>
        <v>330000</v>
      </c>
      <c r="S1218" s="359">
        <f t="shared" si="164"/>
        <v>349800</v>
      </c>
      <c r="T1218" s="359">
        <f t="shared" si="164"/>
        <v>370788</v>
      </c>
      <c r="U1218" s="359">
        <f t="shared" si="164"/>
        <v>393036</v>
      </c>
      <c r="V1218" s="359">
        <f t="shared" si="164"/>
        <v>416618</v>
      </c>
    </row>
    <row r="1219" spans="1:22" s="337" customFormat="1" ht="15" customHeight="1">
      <c r="L1219" s="451"/>
      <c r="M1219" s="463"/>
      <c r="N1219" s="359"/>
      <c r="O1219" s="359"/>
      <c r="P1219" s="360"/>
      <c r="Q1219" s="360"/>
      <c r="R1219" s="359"/>
      <c r="S1219" s="359"/>
      <c r="T1219" s="359"/>
      <c r="U1219" s="359"/>
      <c r="V1219" s="359"/>
    </row>
    <row r="1220" spans="1:22" s="337" customFormat="1" ht="24" customHeight="1">
      <c r="K1220" s="337" t="s">
        <v>962</v>
      </c>
      <c r="L1220" s="451"/>
      <c r="M1220" s="477"/>
      <c r="N1220" s="359">
        <f t="shared" ref="N1220:V1220" si="165">N293+N614+N706+N988</f>
        <v>77786</v>
      </c>
      <c r="O1220" s="377">
        <f t="shared" si="165"/>
        <v>91200</v>
      </c>
      <c r="P1220" s="378">
        <f t="shared" si="165"/>
        <v>60000</v>
      </c>
      <c r="Q1220" s="378">
        <f t="shared" si="165"/>
        <v>45600</v>
      </c>
      <c r="R1220" s="359">
        <f t="shared" si="165"/>
        <v>54000</v>
      </c>
      <c r="S1220" s="359">
        <f t="shared" si="165"/>
        <v>54000</v>
      </c>
      <c r="T1220" s="359">
        <f t="shared" si="165"/>
        <v>54000</v>
      </c>
      <c r="U1220" s="359">
        <f t="shared" si="165"/>
        <v>54000</v>
      </c>
      <c r="V1220" s="359">
        <f t="shared" si="165"/>
        <v>54000</v>
      </c>
    </row>
    <row r="1221" spans="1:22" s="337" customFormat="1" ht="15" customHeight="1">
      <c r="L1221" s="451"/>
      <c r="M1221" s="477"/>
      <c r="N1221" s="359"/>
      <c r="O1221" s="377"/>
      <c r="P1221" s="378"/>
      <c r="Q1221" s="378"/>
      <c r="R1221" s="359"/>
      <c r="S1221" s="359"/>
      <c r="T1221" s="359"/>
      <c r="U1221" s="359"/>
      <c r="V1221" s="359"/>
    </row>
    <row r="1222" spans="1:22" s="337" customFormat="1" ht="24" customHeight="1">
      <c r="E1222" s="345"/>
      <c r="F1222" s="345"/>
      <c r="G1222" s="345"/>
      <c r="H1222" s="345"/>
      <c r="I1222" s="537" t="s">
        <v>1023</v>
      </c>
      <c r="J1222" s="537"/>
      <c r="K1222" s="345" t="s">
        <v>963</v>
      </c>
      <c r="L1222" s="449"/>
      <c r="M1222" s="469"/>
      <c r="N1222" s="359">
        <f t="shared" ref="N1222:V1222" si="166">N82+N86+N115+N183+N221+N251+N288+N610+N702+N831+N860+N920+N295+N298+N151</f>
        <v>1185928</v>
      </c>
      <c r="O1222" s="359">
        <f t="shared" si="166"/>
        <v>1207844</v>
      </c>
      <c r="P1222" s="360">
        <f t="shared" si="166"/>
        <v>1346185</v>
      </c>
      <c r="Q1222" s="360">
        <f t="shared" si="166"/>
        <v>1234033</v>
      </c>
      <c r="R1222" s="359">
        <f t="shared" si="166"/>
        <v>1273076</v>
      </c>
      <c r="S1222" s="359">
        <f t="shared" si="166"/>
        <v>1400383</v>
      </c>
      <c r="T1222" s="359">
        <f t="shared" si="166"/>
        <v>1540423</v>
      </c>
      <c r="U1222" s="359">
        <f t="shared" si="166"/>
        <v>1612849</v>
      </c>
      <c r="V1222" s="359">
        <f t="shared" si="166"/>
        <v>1709619</v>
      </c>
    </row>
    <row r="1223" spans="1:22" s="337" customFormat="1" ht="24" customHeight="1">
      <c r="K1223" s="337" t="s">
        <v>1026</v>
      </c>
      <c r="L1223" s="449"/>
      <c r="M1223" s="477"/>
      <c r="N1223" s="359">
        <f t="shared" ref="N1223:V1223" si="167">N53</f>
        <v>21675</v>
      </c>
      <c r="O1223" s="377">
        <f t="shared" si="167"/>
        <v>23220</v>
      </c>
      <c r="P1223" s="360">
        <f t="shared" si="167"/>
        <v>12500</v>
      </c>
      <c r="Q1223" s="360">
        <f t="shared" si="167"/>
        <v>817</v>
      </c>
      <c r="R1223" s="359">
        <f t="shared" si="167"/>
        <v>0</v>
      </c>
      <c r="S1223" s="359">
        <f t="shared" si="167"/>
        <v>0</v>
      </c>
      <c r="T1223" s="359">
        <f t="shared" si="167"/>
        <v>0</v>
      </c>
      <c r="U1223" s="359">
        <f t="shared" si="167"/>
        <v>0</v>
      </c>
      <c r="V1223" s="359">
        <f t="shared" si="167"/>
        <v>0</v>
      </c>
    </row>
    <row r="1224" spans="1:22" s="337" customFormat="1" ht="24" customHeight="1">
      <c r="K1224" s="337" t="s">
        <v>1027</v>
      </c>
      <c r="L1224" s="449"/>
      <c r="M1224" s="477"/>
      <c r="N1224" s="359">
        <f t="shared" ref="N1224:V1224" si="168">N54</f>
        <v>39671</v>
      </c>
      <c r="O1224" s="377">
        <f t="shared" si="168"/>
        <v>48447</v>
      </c>
      <c r="P1224" s="360">
        <f t="shared" si="168"/>
        <v>60398</v>
      </c>
      <c r="Q1224" s="360">
        <f t="shared" si="168"/>
        <v>50994</v>
      </c>
      <c r="R1224" s="359">
        <f t="shared" si="168"/>
        <v>0</v>
      </c>
      <c r="S1224" s="359">
        <f t="shared" si="168"/>
        <v>0</v>
      </c>
      <c r="T1224" s="359">
        <f t="shared" si="168"/>
        <v>0</v>
      </c>
      <c r="U1224" s="359">
        <f t="shared" si="168"/>
        <v>0</v>
      </c>
      <c r="V1224" s="359">
        <f t="shared" si="168"/>
        <v>0</v>
      </c>
    </row>
    <row r="1225" spans="1:22" s="337" customFormat="1" ht="24" customHeight="1">
      <c r="K1225" s="337" t="s">
        <v>1024</v>
      </c>
      <c r="L1225" s="449"/>
      <c r="M1225" s="481"/>
      <c r="N1225" s="406">
        <f t="shared" ref="N1225:V1225" si="169">N55+N595+N691+N814</f>
        <v>193147</v>
      </c>
      <c r="O1225" s="402">
        <f t="shared" si="169"/>
        <v>91536</v>
      </c>
      <c r="P1225" s="405">
        <f t="shared" si="169"/>
        <v>84768</v>
      </c>
      <c r="Q1225" s="405">
        <f t="shared" si="169"/>
        <v>91345</v>
      </c>
      <c r="R1225" s="406">
        <f t="shared" si="169"/>
        <v>0</v>
      </c>
      <c r="S1225" s="406">
        <f t="shared" si="169"/>
        <v>0</v>
      </c>
      <c r="T1225" s="406">
        <f t="shared" si="169"/>
        <v>0</v>
      </c>
      <c r="U1225" s="406">
        <f t="shared" si="169"/>
        <v>0</v>
      </c>
      <c r="V1225" s="406">
        <f t="shared" si="169"/>
        <v>0</v>
      </c>
    </row>
    <row r="1226" spans="1:22" s="337" customFormat="1" ht="24" customHeight="1">
      <c r="E1226" s="345"/>
      <c r="F1226" s="345"/>
      <c r="G1226" s="345"/>
      <c r="H1226" s="345"/>
      <c r="I1226" s="537" t="s">
        <v>1023</v>
      </c>
      <c r="J1226" s="537"/>
      <c r="K1226" s="425" t="s">
        <v>1025</v>
      </c>
      <c r="L1226" s="449"/>
      <c r="M1226" s="469"/>
      <c r="N1226" s="361">
        <f t="shared" ref="N1226:U1226" si="170">N1222-N1225-N1223-N1224</f>
        <v>931435</v>
      </c>
      <c r="O1226" s="383">
        <f>O1222-O1225-O1223-O1224</f>
        <v>1044641</v>
      </c>
      <c r="P1226" s="362">
        <f t="shared" si="170"/>
        <v>1188519</v>
      </c>
      <c r="Q1226" s="362">
        <f>Q1222-Q1225-Q1223-Q1224</f>
        <v>1090877</v>
      </c>
      <c r="R1226" s="361">
        <f>R1222-R1225-R1223-R1224</f>
        <v>1273076</v>
      </c>
      <c r="S1226" s="361">
        <f t="shared" si="170"/>
        <v>1400383</v>
      </c>
      <c r="T1226" s="361">
        <f t="shared" si="170"/>
        <v>1540423</v>
      </c>
      <c r="U1226" s="361">
        <f t="shared" si="170"/>
        <v>1612849</v>
      </c>
      <c r="V1226" s="361">
        <f>V1222-V1225-V1223-V1224</f>
        <v>1709619</v>
      </c>
    </row>
    <row r="1227" spans="1:22" s="337" customFormat="1" ht="15" customHeight="1">
      <c r="J1227" s="446"/>
      <c r="L1227" s="451"/>
      <c r="M1227" s="477"/>
      <c r="N1227" s="359"/>
      <c r="O1227" s="377"/>
      <c r="P1227" s="360"/>
      <c r="Q1227" s="360"/>
      <c r="R1227" s="359"/>
      <c r="S1227" s="359"/>
      <c r="T1227" s="359"/>
      <c r="U1227" s="359"/>
      <c r="V1227" s="359"/>
    </row>
    <row r="1228" spans="1:22" s="337" customFormat="1" ht="24" customHeight="1">
      <c r="E1228" s="345"/>
      <c r="F1228" s="345"/>
      <c r="G1228" s="345"/>
      <c r="H1228" s="345"/>
      <c r="I1228" s="537" t="s">
        <v>1023</v>
      </c>
      <c r="J1228" s="537"/>
      <c r="K1228" s="425" t="s">
        <v>964</v>
      </c>
      <c r="L1228" s="449"/>
      <c r="M1228" s="450"/>
      <c r="N1228" s="361">
        <f t="shared" ref="N1228:V1228" si="171">N84+N117+N185+N223+N253+N612+N704+N833+N862+N922+N290+N88+N296+N299+N153</f>
        <v>86818</v>
      </c>
      <c r="O1228" s="361">
        <f t="shared" si="171"/>
        <v>87225</v>
      </c>
      <c r="P1228" s="362">
        <f t="shared" si="171"/>
        <v>96667</v>
      </c>
      <c r="Q1228" s="362">
        <f t="shared" si="171"/>
        <v>92564</v>
      </c>
      <c r="R1228" s="361">
        <f t="shared" si="171"/>
        <v>89925</v>
      </c>
      <c r="S1228" s="361">
        <f t="shared" si="171"/>
        <v>98918</v>
      </c>
      <c r="T1228" s="361">
        <f t="shared" si="171"/>
        <v>108810</v>
      </c>
      <c r="U1228" s="361">
        <f t="shared" si="171"/>
        <v>114628</v>
      </c>
      <c r="V1228" s="361">
        <f t="shared" si="171"/>
        <v>121446</v>
      </c>
    </row>
    <row r="1229" spans="1:22" s="337" customFormat="1" ht="15" customHeight="1">
      <c r="J1229" s="446"/>
      <c r="L1229" s="451"/>
      <c r="M1229" s="463"/>
      <c r="N1229" s="359"/>
      <c r="O1229" s="377"/>
      <c r="P1229" s="360"/>
      <c r="Q1229" s="360"/>
      <c r="R1229" s="359"/>
      <c r="S1229" s="359"/>
      <c r="T1229" s="359"/>
      <c r="U1229" s="359"/>
      <c r="V1229" s="359"/>
    </row>
    <row r="1230" spans="1:22" s="337" customFormat="1" ht="24" customHeight="1">
      <c r="E1230" s="345"/>
      <c r="F1230" s="345"/>
      <c r="G1230" s="345"/>
      <c r="H1230" s="345"/>
      <c r="I1230" s="537" t="s">
        <v>1023</v>
      </c>
      <c r="J1230" s="537"/>
      <c r="K1230" s="425" t="s">
        <v>965</v>
      </c>
      <c r="L1230" s="449"/>
      <c r="M1230" s="450"/>
      <c r="N1230" s="361">
        <f t="shared" ref="N1230:V1230" si="172">N85+N118+N186+N224+N254+N291+N613+N705+N834+N863+N923+N89+N154</f>
        <v>12532</v>
      </c>
      <c r="O1230" s="361">
        <f t="shared" si="172"/>
        <v>10188</v>
      </c>
      <c r="P1230" s="362">
        <f t="shared" si="172"/>
        <v>10377</v>
      </c>
      <c r="Q1230" s="362">
        <f t="shared" si="172"/>
        <v>9914</v>
      </c>
      <c r="R1230" s="361">
        <f t="shared" si="172"/>
        <v>9276</v>
      </c>
      <c r="S1230" s="361">
        <f t="shared" si="172"/>
        <v>10204</v>
      </c>
      <c r="T1230" s="361">
        <f t="shared" si="172"/>
        <v>11224</v>
      </c>
      <c r="U1230" s="361">
        <f t="shared" si="172"/>
        <v>11899</v>
      </c>
      <c r="V1230" s="361">
        <f t="shared" si="172"/>
        <v>12611</v>
      </c>
    </row>
    <row r="1231" spans="1:22" s="337" customFormat="1" ht="15" customHeight="1">
      <c r="I1231" s="446"/>
      <c r="J1231" s="446"/>
      <c r="L1231" s="451"/>
      <c r="M1231" s="477"/>
      <c r="N1231" s="359"/>
      <c r="O1231" s="401"/>
      <c r="P1231" s="400"/>
      <c r="Q1231" s="400"/>
      <c r="R1231" s="401"/>
      <c r="S1231" s="401"/>
      <c r="T1231" s="401"/>
      <c r="U1231" s="401"/>
      <c r="V1231" s="401"/>
    </row>
    <row r="1232" spans="1:22" s="337" customFormat="1" ht="15" customHeight="1">
      <c r="I1232" s="447"/>
      <c r="J1232" s="447"/>
      <c r="K1232" s="447"/>
      <c r="L1232" s="451"/>
      <c r="M1232" s="477"/>
      <c r="N1232" s="359"/>
      <c r="O1232" s="377"/>
      <c r="P1232" s="378"/>
      <c r="Q1232" s="378"/>
      <c r="R1232" s="359"/>
      <c r="S1232" s="359"/>
      <c r="T1232" s="359"/>
      <c r="U1232" s="359"/>
      <c r="V1232" s="359"/>
    </row>
    <row r="1233" spans="2:23" s="337" customFormat="1" ht="24" customHeight="1">
      <c r="I1233" s="542" t="s">
        <v>944</v>
      </c>
      <c r="J1233" s="542"/>
      <c r="K1233" s="345" t="s">
        <v>963</v>
      </c>
      <c r="L1233" s="449"/>
      <c r="M1233" s="469"/>
      <c r="N1233" s="359">
        <f t="shared" ref="N1233:V1233" si="173">N984</f>
        <v>76487</v>
      </c>
      <c r="O1233" s="377">
        <f t="shared" si="173"/>
        <v>86334</v>
      </c>
      <c r="P1233" s="360">
        <f t="shared" si="173"/>
        <v>102877</v>
      </c>
      <c r="Q1233" s="360">
        <f t="shared" si="173"/>
        <v>102877</v>
      </c>
      <c r="R1233" s="359">
        <f t="shared" si="173"/>
        <v>94116</v>
      </c>
      <c r="S1233" s="359">
        <f t="shared" si="173"/>
        <v>103528</v>
      </c>
      <c r="T1233" s="359">
        <f t="shared" si="173"/>
        <v>113880</v>
      </c>
      <c r="U1233" s="359">
        <f t="shared" si="173"/>
        <v>120713</v>
      </c>
      <c r="V1233" s="359">
        <f t="shared" si="173"/>
        <v>127956</v>
      </c>
    </row>
    <row r="1234" spans="2:23" s="337" customFormat="1" ht="24" customHeight="1">
      <c r="I1234" s="536" t="s">
        <v>1028</v>
      </c>
      <c r="J1234" s="536"/>
      <c r="K1234" s="337" t="s">
        <v>1024</v>
      </c>
      <c r="L1234" s="451"/>
      <c r="M1234" s="481"/>
      <c r="N1234" s="406">
        <f t="shared" ref="N1234:V1234" si="174">N968</f>
        <v>0</v>
      </c>
      <c r="O1234" s="406">
        <f t="shared" si="174"/>
        <v>0</v>
      </c>
      <c r="P1234" s="405">
        <f t="shared" si="174"/>
        <v>6670</v>
      </c>
      <c r="Q1234" s="405">
        <f t="shared" si="174"/>
        <v>8685</v>
      </c>
      <c r="R1234" s="406">
        <f t="shared" si="174"/>
        <v>0</v>
      </c>
      <c r="S1234" s="406">
        <f t="shared" si="174"/>
        <v>0</v>
      </c>
      <c r="T1234" s="406">
        <f t="shared" si="174"/>
        <v>0</v>
      </c>
      <c r="U1234" s="406">
        <f t="shared" si="174"/>
        <v>0</v>
      </c>
      <c r="V1234" s="406">
        <f t="shared" si="174"/>
        <v>0</v>
      </c>
    </row>
    <row r="1235" spans="2:23" s="425" customFormat="1" ht="24" customHeight="1">
      <c r="I1235" s="539" t="s">
        <v>1028</v>
      </c>
      <c r="J1235" s="539"/>
      <c r="K1235" s="425" t="s">
        <v>1025</v>
      </c>
      <c r="L1235" s="449"/>
      <c r="M1235" s="469"/>
      <c r="N1235" s="361">
        <f t="shared" ref="N1235:U1235" si="175">N1233-N1234</f>
        <v>76487</v>
      </c>
      <c r="O1235" s="361">
        <f>O1233-O1234</f>
        <v>86334</v>
      </c>
      <c r="P1235" s="362">
        <f t="shared" si="175"/>
        <v>96207</v>
      </c>
      <c r="Q1235" s="362">
        <f>Q1233-Q1234</f>
        <v>94192</v>
      </c>
      <c r="R1235" s="361">
        <f t="shared" si="175"/>
        <v>94116</v>
      </c>
      <c r="S1235" s="361">
        <f t="shared" si="175"/>
        <v>103528</v>
      </c>
      <c r="T1235" s="361">
        <f t="shared" si="175"/>
        <v>113880</v>
      </c>
      <c r="U1235" s="361">
        <f t="shared" si="175"/>
        <v>120713</v>
      </c>
      <c r="V1235" s="361">
        <f>V1233-V1234</f>
        <v>127956</v>
      </c>
    </row>
    <row r="1236" spans="2:23" s="337" customFormat="1" ht="15" customHeight="1">
      <c r="I1236" s="446"/>
      <c r="J1236" s="446"/>
      <c r="L1236" s="451"/>
      <c r="M1236" s="477"/>
      <c r="N1236" s="359"/>
      <c r="O1236" s="377"/>
      <c r="P1236" s="360"/>
      <c r="Q1236" s="360"/>
      <c r="R1236" s="359"/>
      <c r="S1236" s="359"/>
      <c r="T1236" s="359"/>
      <c r="U1236" s="359"/>
      <c r="V1236" s="359"/>
    </row>
    <row r="1237" spans="2:23" s="337" customFormat="1" ht="15" customHeight="1">
      <c r="I1237" s="446"/>
      <c r="J1237" s="446"/>
      <c r="L1237" s="451"/>
      <c r="M1237" s="477"/>
      <c r="N1237" s="359"/>
      <c r="O1237" s="377"/>
      <c r="P1237" s="360"/>
      <c r="Q1237" s="360"/>
      <c r="R1237" s="359"/>
      <c r="S1237" s="359"/>
      <c r="T1237" s="359"/>
      <c r="U1237" s="359"/>
      <c r="V1237" s="359"/>
    </row>
    <row r="1238" spans="2:23" s="337" customFormat="1" ht="24" customHeight="1">
      <c r="B1238" s="435"/>
      <c r="C1238" s="435"/>
      <c r="D1238" s="435"/>
      <c r="E1238" s="435"/>
      <c r="F1238" s="435"/>
      <c r="I1238" s="435" t="s">
        <v>1476</v>
      </c>
      <c r="J1238" s="446"/>
      <c r="L1238" s="451"/>
      <c r="M1238" s="477"/>
      <c r="N1238" s="359"/>
      <c r="O1238" s="377"/>
      <c r="P1238" s="360"/>
      <c r="Q1238" s="360"/>
      <c r="R1238" s="359"/>
      <c r="S1238" s="359"/>
      <c r="T1238" s="359"/>
      <c r="U1238" s="359"/>
      <c r="V1238" s="359"/>
    </row>
    <row r="1239" spans="2:23" s="337" customFormat="1" ht="24" customHeight="1">
      <c r="I1239" s="446"/>
      <c r="J1239" s="446"/>
      <c r="K1239" s="337" t="s">
        <v>1477</v>
      </c>
      <c r="L1239" s="451">
        <f t="shared" ref="L1239:V1239" si="176">L9</f>
        <v>1804657</v>
      </c>
      <c r="M1239" s="451">
        <f t="shared" si="176"/>
        <v>2084192</v>
      </c>
      <c r="N1239" s="377">
        <f t="shared" si="176"/>
        <v>2185495</v>
      </c>
      <c r="O1239" s="377">
        <f t="shared" si="176"/>
        <v>2282246</v>
      </c>
      <c r="P1239" s="378">
        <f t="shared" si="176"/>
        <v>2288133</v>
      </c>
      <c r="Q1239" s="378">
        <f t="shared" si="176"/>
        <v>2276807</v>
      </c>
      <c r="R1239" s="377">
        <f t="shared" si="176"/>
        <v>2288154</v>
      </c>
      <c r="S1239" s="377">
        <f t="shared" si="176"/>
        <v>2311036</v>
      </c>
      <c r="T1239" s="377">
        <f t="shared" si="176"/>
        <v>2334146</v>
      </c>
      <c r="U1239" s="377">
        <f t="shared" si="176"/>
        <v>2357487</v>
      </c>
      <c r="V1239" s="377">
        <f t="shared" si="176"/>
        <v>2381062</v>
      </c>
    </row>
    <row r="1240" spans="2:23" s="337" customFormat="1" ht="24" customHeight="1">
      <c r="I1240" s="446"/>
      <c r="J1240" s="446"/>
      <c r="K1240" s="337" t="s">
        <v>1478</v>
      </c>
      <c r="L1240" s="478">
        <f t="shared" ref="L1240:V1240" si="177">L10</f>
        <v>297327</v>
      </c>
      <c r="M1240" s="478">
        <f t="shared" si="177"/>
        <v>323291</v>
      </c>
      <c r="N1240" s="402">
        <f t="shared" si="177"/>
        <v>336075</v>
      </c>
      <c r="O1240" s="402">
        <f t="shared" si="177"/>
        <v>360356</v>
      </c>
      <c r="P1240" s="403">
        <f t="shared" si="177"/>
        <v>413354</v>
      </c>
      <c r="Q1240" s="403">
        <f t="shared" si="177"/>
        <v>438711</v>
      </c>
      <c r="R1240" s="402">
        <f t="shared" si="177"/>
        <v>562000</v>
      </c>
      <c r="S1240" s="402">
        <f t="shared" si="177"/>
        <v>587000</v>
      </c>
      <c r="T1240" s="402">
        <f t="shared" si="177"/>
        <v>612000</v>
      </c>
      <c r="U1240" s="402">
        <f t="shared" si="177"/>
        <v>637000</v>
      </c>
      <c r="V1240" s="402">
        <f t="shared" si="177"/>
        <v>662000</v>
      </c>
      <c r="W1240" s="465"/>
    </row>
    <row r="1241" spans="2:23" s="337" customFormat="1" ht="15" customHeight="1">
      <c r="I1241" s="446"/>
      <c r="J1241" s="446"/>
      <c r="L1241" s="451"/>
      <c r="M1241" s="451"/>
      <c r="N1241" s="377"/>
      <c r="O1241" s="377"/>
      <c r="P1241" s="378"/>
      <c r="Q1241" s="378"/>
      <c r="R1241" s="377"/>
      <c r="S1241" s="377"/>
      <c r="T1241" s="377"/>
      <c r="U1241" s="377"/>
      <c r="V1241" s="377"/>
      <c r="W1241" s="465"/>
    </row>
    <row r="1242" spans="2:23" s="443" customFormat="1" ht="24" customHeight="1">
      <c r="I1242" s="445"/>
      <c r="J1242" s="445"/>
      <c r="K1242" s="443" t="s">
        <v>1480</v>
      </c>
      <c r="L1242" s="475">
        <f>SUM(L1239:L1241)</f>
        <v>2101984</v>
      </c>
      <c r="M1242" s="475">
        <f t="shared" ref="M1242:V1242" si="178">SUM(M1239:M1241)</f>
        <v>2407483</v>
      </c>
      <c r="N1242" s="411">
        <f t="shared" si="178"/>
        <v>2521570</v>
      </c>
      <c r="O1242" s="411">
        <f t="shared" si="178"/>
        <v>2642602</v>
      </c>
      <c r="P1242" s="412">
        <f t="shared" si="178"/>
        <v>2701487</v>
      </c>
      <c r="Q1242" s="412">
        <f t="shared" si="178"/>
        <v>2715518</v>
      </c>
      <c r="R1242" s="411">
        <f t="shared" si="178"/>
        <v>2850154</v>
      </c>
      <c r="S1242" s="411">
        <f t="shared" si="178"/>
        <v>2898036</v>
      </c>
      <c r="T1242" s="411">
        <f t="shared" si="178"/>
        <v>2946146</v>
      </c>
      <c r="U1242" s="411">
        <f t="shared" si="178"/>
        <v>2994487</v>
      </c>
      <c r="V1242" s="411">
        <f t="shared" si="178"/>
        <v>3043062</v>
      </c>
      <c r="W1242" s="475"/>
    </row>
    <row r="1243" spans="2:23" s="337" customFormat="1" ht="15" customHeight="1">
      <c r="I1243" s="446"/>
      <c r="J1243" s="446"/>
      <c r="L1243" s="451"/>
      <c r="M1243" s="451"/>
      <c r="N1243" s="377"/>
      <c r="O1243" s="377"/>
      <c r="P1243" s="378"/>
      <c r="Q1243" s="378"/>
      <c r="R1243" s="377"/>
      <c r="S1243" s="377"/>
      <c r="T1243" s="377"/>
      <c r="U1243" s="377"/>
      <c r="V1243" s="377"/>
      <c r="W1243" s="465"/>
    </row>
    <row r="1244" spans="2:23" s="337" customFormat="1" ht="24" customHeight="1">
      <c r="F1244" s="544" t="s">
        <v>983</v>
      </c>
      <c r="G1244" s="544"/>
      <c r="H1244" s="544"/>
      <c r="I1244" s="544"/>
      <c r="J1244" s="544"/>
      <c r="K1244" s="544"/>
      <c r="L1244" s="482">
        <v>0</v>
      </c>
      <c r="M1244" s="483">
        <v>0</v>
      </c>
      <c r="N1244" s="406">
        <f t="shared" ref="N1244:V1244" si="179">N558+N585+N678+N679+N680</f>
        <v>0</v>
      </c>
      <c r="O1244" s="406">
        <f t="shared" si="179"/>
        <v>2207080</v>
      </c>
      <c r="P1244" s="405">
        <f t="shared" si="179"/>
        <v>723683</v>
      </c>
      <c r="Q1244" s="405">
        <f t="shared" si="179"/>
        <v>720098</v>
      </c>
      <c r="R1244" s="406">
        <f t="shared" si="179"/>
        <v>486146</v>
      </c>
      <c r="S1244" s="406">
        <f t="shared" si="179"/>
        <v>371538</v>
      </c>
      <c r="T1244" s="406">
        <f t="shared" si="179"/>
        <v>290732</v>
      </c>
      <c r="U1244" s="406">
        <f t="shared" si="179"/>
        <v>210022</v>
      </c>
      <c r="V1244" s="406">
        <f t="shared" si="179"/>
        <v>129402</v>
      </c>
    </row>
    <row r="1245" spans="2:23" s="337" customFormat="1" ht="15" customHeight="1">
      <c r="F1245" s="426"/>
      <c r="G1245" s="426"/>
      <c r="H1245" s="426"/>
      <c r="I1245" s="426"/>
      <c r="J1245" s="426"/>
      <c r="K1245" s="426"/>
      <c r="L1245" s="459"/>
      <c r="M1245" s="450"/>
      <c r="N1245" s="361"/>
      <c r="O1245" s="361"/>
      <c r="P1245" s="362"/>
      <c r="Q1245" s="362"/>
      <c r="R1245" s="361"/>
      <c r="S1245" s="361"/>
      <c r="T1245" s="361"/>
      <c r="U1245" s="361"/>
      <c r="V1245" s="361"/>
    </row>
    <row r="1246" spans="2:23" s="337" customFormat="1" ht="24" customHeight="1">
      <c r="F1246" s="426"/>
      <c r="G1246" s="426"/>
      <c r="H1246" s="426"/>
      <c r="I1246" s="426"/>
      <c r="J1246" s="426"/>
      <c r="K1246" s="426" t="s">
        <v>1479</v>
      </c>
      <c r="L1246" s="459">
        <f>L1242+L1244</f>
        <v>2101984</v>
      </c>
      <c r="M1246" s="459">
        <f t="shared" ref="M1246:V1246" si="180">M1242+M1244</f>
        <v>2407483</v>
      </c>
      <c r="N1246" s="407">
        <f t="shared" si="180"/>
        <v>2521570</v>
      </c>
      <c r="O1246" s="407">
        <f t="shared" si="180"/>
        <v>4849682</v>
      </c>
      <c r="P1246" s="408">
        <f t="shared" si="180"/>
        <v>3425170</v>
      </c>
      <c r="Q1246" s="408">
        <f t="shared" si="180"/>
        <v>3435616</v>
      </c>
      <c r="R1246" s="407">
        <f t="shared" si="180"/>
        <v>3336300</v>
      </c>
      <c r="S1246" s="407">
        <f t="shared" si="180"/>
        <v>3269574</v>
      </c>
      <c r="T1246" s="407">
        <f t="shared" si="180"/>
        <v>3236878</v>
      </c>
      <c r="U1246" s="407">
        <f t="shared" si="180"/>
        <v>3204509</v>
      </c>
      <c r="V1246" s="407">
        <f t="shared" si="180"/>
        <v>3172464</v>
      </c>
    </row>
    <row r="1247" spans="2:23" s="337" customFormat="1" ht="24" customHeight="1">
      <c r="F1247" s="426"/>
      <c r="G1247" s="426"/>
      <c r="H1247" s="426"/>
      <c r="I1247" s="426"/>
      <c r="J1247" s="426"/>
      <c r="K1247" s="426"/>
      <c r="L1247" s="484"/>
      <c r="M1247" s="485"/>
      <c r="N1247" s="401"/>
      <c r="O1247" s="401"/>
      <c r="P1247" s="400"/>
      <c r="Q1247" s="400">
        <f>(Q1246-O1246)/O1246</f>
        <v>-0.29157911797103397</v>
      </c>
      <c r="R1247" s="401">
        <f>(R1246-Q1246)/Q1246</f>
        <v>-2.8907770833527378E-2</v>
      </c>
      <c r="S1247" s="401">
        <f>(S1246-R1246)/R1246</f>
        <v>-0.02</v>
      </c>
      <c r="T1247" s="401">
        <f>(T1246-S1246)/S1246</f>
        <v>-1.0000079521062988E-2</v>
      </c>
      <c r="U1247" s="401">
        <f>(U1246-T1246)/T1246</f>
        <v>-1.0000067966725963E-2</v>
      </c>
      <c r="V1247" s="401">
        <f>(V1246-U1246)/U1246</f>
        <v>-9.9999719145741212E-3</v>
      </c>
      <c r="W1247" s="486"/>
    </row>
    <row r="1248" spans="2:23" s="337" customFormat="1" ht="15" customHeight="1">
      <c r="L1248" s="451"/>
      <c r="M1248" s="463"/>
      <c r="N1248" s="359"/>
      <c r="O1248" s="359"/>
      <c r="P1248" s="360"/>
      <c r="Q1248" s="360"/>
      <c r="R1248" s="359"/>
      <c r="S1248" s="359"/>
      <c r="T1248" s="359"/>
      <c r="U1248" s="359"/>
      <c r="V1248" s="359"/>
    </row>
    <row r="1249" spans="1:23" s="337" customFormat="1" ht="24" customHeight="1">
      <c r="G1249" s="425" t="s">
        <v>1481</v>
      </c>
      <c r="H1249" s="448"/>
      <c r="I1249" s="448"/>
      <c r="J1249" s="448"/>
      <c r="L1249" s="449">
        <v>0</v>
      </c>
      <c r="M1249" s="450">
        <v>0</v>
      </c>
      <c r="N1249" s="361">
        <f t="shared" ref="N1249:V1249" si="181">N35+N431</f>
        <v>126829</v>
      </c>
      <c r="O1249" s="361">
        <f t="shared" si="181"/>
        <v>153393</v>
      </c>
      <c r="P1249" s="362">
        <f t="shared" si="181"/>
        <v>140000</v>
      </c>
      <c r="Q1249" s="362">
        <f t="shared" si="181"/>
        <v>140000</v>
      </c>
      <c r="R1249" s="361">
        <f t="shared" si="181"/>
        <v>150000</v>
      </c>
      <c r="S1249" s="361">
        <f t="shared" si="181"/>
        <v>150000</v>
      </c>
      <c r="T1249" s="361">
        <f t="shared" si="181"/>
        <v>175000</v>
      </c>
      <c r="U1249" s="361">
        <f t="shared" si="181"/>
        <v>175000</v>
      </c>
      <c r="V1249" s="361">
        <f t="shared" si="181"/>
        <v>200000</v>
      </c>
      <c r="W1249" s="359"/>
    </row>
    <row r="1250" spans="1:23" s="337" customFormat="1" ht="15" customHeight="1">
      <c r="L1250" s="451"/>
      <c r="M1250" s="463"/>
      <c r="N1250" s="359"/>
      <c r="O1250" s="413"/>
      <c r="P1250" s="360"/>
      <c r="Q1250" s="360"/>
      <c r="R1250" s="359"/>
      <c r="S1250" s="359"/>
      <c r="T1250" s="359"/>
      <c r="U1250" s="359"/>
      <c r="V1250" s="359"/>
    </row>
    <row r="1251" spans="1:23" s="337" customFormat="1" ht="24" customHeight="1">
      <c r="A1251" s="543" t="s">
        <v>1504</v>
      </c>
      <c r="B1251" s="543"/>
      <c r="C1251" s="543"/>
      <c r="D1251" s="543"/>
      <c r="E1251" s="543"/>
      <c r="F1251" s="543"/>
      <c r="I1251" s="539" t="s">
        <v>1023</v>
      </c>
      <c r="J1251" s="539"/>
      <c r="K1251" s="425" t="s">
        <v>1057</v>
      </c>
      <c r="L1251" s="449"/>
      <c r="M1251" s="463"/>
      <c r="N1251" s="359"/>
      <c r="O1251" s="359"/>
      <c r="P1251" s="360"/>
      <c r="Q1251" s="360"/>
      <c r="R1251" s="359"/>
      <c r="S1251" s="359"/>
      <c r="T1251" s="359"/>
      <c r="U1251" s="359"/>
      <c r="V1251" s="359"/>
    </row>
    <row r="1252" spans="1:23" s="337" customFormat="1" ht="24" customHeight="1">
      <c r="K1252" s="337" t="s">
        <v>1176</v>
      </c>
      <c r="L1252" s="451"/>
      <c r="M1252" s="479"/>
      <c r="N1252" s="359">
        <f t="shared" ref="N1252:V1252" si="182">N77+N112+N135+N147+N171+N172+N173+N174+N175+N217+N247+N606+N698+N826+N852+N914</f>
        <v>4500413</v>
      </c>
      <c r="O1252" s="359">
        <f t="shared" si="182"/>
        <v>3917584</v>
      </c>
      <c r="P1252" s="360">
        <f t="shared" si="182"/>
        <v>4261000</v>
      </c>
      <c r="Q1252" s="360">
        <f t="shared" si="182"/>
        <v>4184250</v>
      </c>
      <c r="R1252" s="359">
        <f t="shared" si="182"/>
        <v>4397232</v>
      </c>
      <c r="S1252" s="359">
        <f t="shared" si="182"/>
        <v>4397232</v>
      </c>
      <c r="T1252" s="359">
        <f t="shared" si="182"/>
        <v>4397232</v>
      </c>
      <c r="U1252" s="359">
        <f t="shared" si="182"/>
        <v>4397232</v>
      </c>
      <c r="V1252" s="359">
        <f t="shared" si="182"/>
        <v>4397232</v>
      </c>
    </row>
    <row r="1253" spans="1:23" s="337" customFormat="1" ht="24" customHeight="1">
      <c r="K1253" s="337" t="s">
        <v>1177</v>
      </c>
      <c r="L1253" s="451"/>
      <c r="M1253" s="479"/>
      <c r="N1253" s="359">
        <f t="shared" ref="N1253:V1253" si="183">N79+N148+N179+N248+N607+N699+N828+N854</f>
        <v>98513</v>
      </c>
      <c r="O1253" s="359">
        <f t="shared" si="183"/>
        <v>105775</v>
      </c>
      <c r="P1253" s="360">
        <f t="shared" si="183"/>
        <v>122875</v>
      </c>
      <c r="Q1253" s="360">
        <f t="shared" si="183"/>
        <v>143800</v>
      </c>
      <c r="R1253" s="359">
        <f t="shared" si="183"/>
        <v>143800</v>
      </c>
      <c r="S1253" s="359">
        <f t="shared" si="183"/>
        <v>143800</v>
      </c>
      <c r="T1253" s="359">
        <f t="shared" si="183"/>
        <v>143800</v>
      </c>
      <c r="U1253" s="359">
        <f t="shared" si="183"/>
        <v>143800</v>
      </c>
      <c r="V1253" s="359">
        <f t="shared" si="183"/>
        <v>143800</v>
      </c>
    </row>
    <row r="1254" spans="1:23" s="337" customFormat="1" ht="24" customHeight="1">
      <c r="K1254" s="337" t="s">
        <v>1178</v>
      </c>
      <c r="L1254" s="451"/>
      <c r="M1254" s="483"/>
      <c r="N1254" s="406">
        <f t="shared" ref="N1254:V1254" si="184">N72+N73+N74+N75+N76+N176+N177+N178+N218+N827+N855+N856+N857+N915+N916+N917+N78</f>
        <v>401940</v>
      </c>
      <c r="O1254" s="406">
        <f t="shared" si="184"/>
        <v>373333</v>
      </c>
      <c r="P1254" s="405">
        <f t="shared" si="184"/>
        <v>477820</v>
      </c>
      <c r="Q1254" s="405">
        <f t="shared" si="184"/>
        <v>380320</v>
      </c>
      <c r="R1254" s="406">
        <f t="shared" si="184"/>
        <v>310500</v>
      </c>
      <c r="S1254" s="406">
        <f t="shared" si="184"/>
        <v>292000</v>
      </c>
      <c r="T1254" s="406">
        <f t="shared" si="184"/>
        <v>293575</v>
      </c>
      <c r="U1254" s="406">
        <f t="shared" si="184"/>
        <v>295229</v>
      </c>
      <c r="V1254" s="406">
        <f t="shared" si="184"/>
        <v>296965</v>
      </c>
    </row>
    <row r="1255" spans="1:23" s="425" customFormat="1" ht="24" customHeight="1">
      <c r="K1255" s="425" t="s">
        <v>1152</v>
      </c>
      <c r="L1255" s="449"/>
      <c r="M1255" s="450"/>
      <c r="N1255" s="361">
        <f t="shared" ref="N1255:U1255" si="185">SUM(N1252:N1254)</f>
        <v>5000866</v>
      </c>
      <c r="O1255" s="361">
        <f>SUM(O1252:O1254)</f>
        <v>4396692</v>
      </c>
      <c r="P1255" s="362">
        <f t="shared" si="185"/>
        <v>4861695</v>
      </c>
      <c r="Q1255" s="362">
        <f>SUM(Q1252:Q1254)</f>
        <v>4708370</v>
      </c>
      <c r="R1255" s="361">
        <f t="shared" si="185"/>
        <v>4851532</v>
      </c>
      <c r="S1255" s="361">
        <f t="shared" si="185"/>
        <v>4833032</v>
      </c>
      <c r="T1255" s="361">
        <f t="shared" si="185"/>
        <v>4834607</v>
      </c>
      <c r="U1255" s="361">
        <f t="shared" si="185"/>
        <v>4836261</v>
      </c>
      <c r="V1255" s="361">
        <f>SUM(V1252:V1254)</f>
        <v>4837997</v>
      </c>
    </row>
    <row r="1256" spans="1:23" s="337" customFormat="1" ht="15" customHeight="1">
      <c r="L1256" s="451"/>
      <c r="M1256" s="463"/>
      <c r="N1256" s="359"/>
      <c r="O1256" s="359"/>
      <c r="P1256" s="360"/>
      <c r="Q1256" s="360"/>
      <c r="R1256" s="359"/>
      <c r="S1256" s="359"/>
      <c r="T1256" s="359"/>
      <c r="U1256" s="359"/>
      <c r="V1256" s="359"/>
    </row>
    <row r="1257" spans="1:23" s="337" customFormat="1" ht="24" customHeight="1">
      <c r="I1257" s="539" t="s">
        <v>1028</v>
      </c>
      <c r="J1257" s="539"/>
      <c r="K1257" s="425" t="s">
        <v>1057</v>
      </c>
      <c r="L1257" s="449"/>
      <c r="M1257" s="463"/>
      <c r="N1257" s="359"/>
      <c r="O1257" s="359"/>
      <c r="P1257" s="360"/>
      <c r="Q1257" s="360"/>
      <c r="R1257" s="359"/>
      <c r="S1257" s="359"/>
      <c r="T1257" s="359"/>
      <c r="U1257" s="359"/>
      <c r="V1257" s="359"/>
    </row>
    <row r="1258" spans="1:23" s="337" customFormat="1" ht="24" customHeight="1">
      <c r="K1258" s="337" t="s">
        <v>1176</v>
      </c>
      <c r="L1258" s="451"/>
      <c r="M1258" s="477"/>
      <c r="N1258" s="359">
        <f t="shared" ref="N1258:V1258" si="186">N980</f>
        <v>501353</v>
      </c>
      <c r="O1258" s="359">
        <f t="shared" si="186"/>
        <v>244695</v>
      </c>
      <c r="P1258" s="360">
        <f t="shared" si="186"/>
        <v>245000</v>
      </c>
      <c r="Q1258" s="360">
        <f t="shared" si="186"/>
        <v>245000</v>
      </c>
      <c r="R1258" s="359">
        <f t="shared" si="186"/>
        <v>252540</v>
      </c>
      <c r="S1258" s="359">
        <f t="shared" si="186"/>
        <v>252540</v>
      </c>
      <c r="T1258" s="359">
        <f t="shared" si="186"/>
        <v>252540</v>
      </c>
      <c r="U1258" s="359">
        <f t="shared" si="186"/>
        <v>252540</v>
      </c>
      <c r="V1258" s="359">
        <f t="shared" si="186"/>
        <v>252540</v>
      </c>
    </row>
    <row r="1259" spans="1:23" s="337" customFormat="1" ht="24" customHeight="1">
      <c r="K1259" s="337" t="s">
        <v>1178</v>
      </c>
      <c r="L1259" s="451"/>
      <c r="M1259" s="487"/>
      <c r="N1259" s="414">
        <f t="shared" ref="N1259:V1259" si="187">N981</f>
        <v>0</v>
      </c>
      <c r="O1259" s="406">
        <f t="shared" si="187"/>
        <v>187313</v>
      </c>
      <c r="P1259" s="415">
        <f t="shared" si="187"/>
        <v>195000</v>
      </c>
      <c r="Q1259" s="415">
        <f t="shared" si="187"/>
        <v>195000</v>
      </c>
      <c r="R1259" s="414">
        <f t="shared" si="187"/>
        <v>195000</v>
      </c>
      <c r="S1259" s="414">
        <f t="shared" si="187"/>
        <v>195000</v>
      </c>
      <c r="T1259" s="414">
        <f t="shared" si="187"/>
        <v>195000</v>
      </c>
      <c r="U1259" s="414">
        <f t="shared" si="187"/>
        <v>195000</v>
      </c>
      <c r="V1259" s="414">
        <f t="shared" si="187"/>
        <v>195000</v>
      </c>
    </row>
    <row r="1260" spans="1:23" s="425" customFormat="1" ht="24" customHeight="1">
      <c r="K1260" s="425" t="s">
        <v>1152</v>
      </c>
      <c r="L1260" s="449"/>
      <c r="M1260" s="469"/>
      <c r="N1260" s="361">
        <f t="shared" ref="N1260:U1260" si="188">SUM(N1258:N1259)</f>
        <v>501353</v>
      </c>
      <c r="O1260" s="361">
        <f>SUM(O1258:O1259)</f>
        <v>432008</v>
      </c>
      <c r="P1260" s="362">
        <f t="shared" si="188"/>
        <v>440000</v>
      </c>
      <c r="Q1260" s="362">
        <f>SUM(Q1258:Q1259)</f>
        <v>440000</v>
      </c>
      <c r="R1260" s="361">
        <f t="shared" si="188"/>
        <v>447540</v>
      </c>
      <c r="S1260" s="361">
        <f t="shared" si="188"/>
        <v>447540</v>
      </c>
      <c r="T1260" s="361">
        <f t="shared" si="188"/>
        <v>447540</v>
      </c>
      <c r="U1260" s="361">
        <f t="shared" si="188"/>
        <v>447540</v>
      </c>
      <c r="V1260" s="361">
        <f>SUM(V1258:V1259)</f>
        <v>447540</v>
      </c>
    </row>
    <row r="1261" spans="1:23" s="337" customFormat="1" ht="15" customHeight="1">
      <c r="L1261" s="451"/>
      <c r="M1261" s="463"/>
      <c r="N1261" s="359"/>
      <c r="O1261" s="359"/>
      <c r="P1261" s="360"/>
      <c r="Q1261" s="360"/>
      <c r="R1261" s="359"/>
      <c r="S1261" s="359"/>
      <c r="T1261" s="359"/>
      <c r="U1261" s="359"/>
      <c r="V1261" s="359"/>
    </row>
    <row r="1262" spans="1:23" s="337" customFormat="1" ht="24" customHeight="1">
      <c r="I1262" s="539" t="s">
        <v>1152</v>
      </c>
      <c r="J1262" s="539"/>
      <c r="K1262" s="425" t="s">
        <v>1057</v>
      </c>
      <c r="L1262" s="449"/>
      <c r="M1262" s="463"/>
      <c r="N1262" s="359"/>
      <c r="O1262" s="359"/>
      <c r="P1262" s="360"/>
      <c r="Q1262" s="360"/>
      <c r="R1262" s="359"/>
      <c r="S1262" s="359"/>
      <c r="T1262" s="359"/>
      <c r="U1262" s="359"/>
      <c r="V1262" s="359"/>
    </row>
    <row r="1263" spans="1:23" s="337" customFormat="1" ht="24" customHeight="1">
      <c r="K1263" s="337" t="s">
        <v>1176</v>
      </c>
      <c r="L1263" s="451"/>
      <c r="M1263" s="479"/>
      <c r="N1263" s="359">
        <f t="shared" ref="N1263:U1263" si="189">N1252+N1258</f>
        <v>5001766</v>
      </c>
      <c r="O1263" s="359">
        <f>O1252+O1258</f>
        <v>4162279</v>
      </c>
      <c r="P1263" s="360">
        <f t="shared" si="189"/>
        <v>4506000</v>
      </c>
      <c r="Q1263" s="360">
        <f>Q1252+Q1258</f>
        <v>4429250</v>
      </c>
      <c r="R1263" s="359">
        <f t="shared" si="189"/>
        <v>4649772</v>
      </c>
      <c r="S1263" s="359">
        <f t="shared" si="189"/>
        <v>4649772</v>
      </c>
      <c r="T1263" s="359">
        <f t="shared" si="189"/>
        <v>4649772</v>
      </c>
      <c r="U1263" s="359">
        <f t="shared" si="189"/>
        <v>4649772</v>
      </c>
      <c r="V1263" s="359">
        <f>V1252+V1258</f>
        <v>4649772</v>
      </c>
    </row>
    <row r="1264" spans="1:23" s="337" customFormat="1" ht="24" customHeight="1">
      <c r="K1264" s="337" t="s">
        <v>1177</v>
      </c>
      <c r="L1264" s="451"/>
      <c r="M1264" s="479"/>
      <c r="N1264" s="359">
        <f t="shared" ref="N1264:U1264" si="190">N1253</f>
        <v>98513</v>
      </c>
      <c r="O1264" s="359">
        <f>O1253</f>
        <v>105775</v>
      </c>
      <c r="P1264" s="360">
        <f t="shared" si="190"/>
        <v>122875</v>
      </c>
      <c r="Q1264" s="360">
        <f>Q1253</f>
        <v>143800</v>
      </c>
      <c r="R1264" s="359">
        <f t="shared" si="190"/>
        <v>143800</v>
      </c>
      <c r="S1264" s="359">
        <f t="shared" si="190"/>
        <v>143800</v>
      </c>
      <c r="T1264" s="359">
        <f t="shared" si="190"/>
        <v>143800</v>
      </c>
      <c r="U1264" s="359">
        <f t="shared" si="190"/>
        <v>143800</v>
      </c>
      <c r="V1264" s="359">
        <f>V1253</f>
        <v>143800</v>
      </c>
    </row>
    <row r="1265" spans="6:23" s="337" customFormat="1" ht="24" customHeight="1">
      <c r="K1265" s="337" t="s">
        <v>1178</v>
      </c>
      <c r="L1265" s="451"/>
      <c r="M1265" s="483"/>
      <c r="N1265" s="406">
        <f t="shared" ref="N1265:U1265" si="191">N1254+N1259</f>
        <v>401940</v>
      </c>
      <c r="O1265" s="406">
        <f>O1254+O1259</f>
        <v>560646</v>
      </c>
      <c r="P1265" s="405">
        <f t="shared" si="191"/>
        <v>672820</v>
      </c>
      <c r="Q1265" s="405">
        <f>Q1254+Q1259</f>
        <v>575320</v>
      </c>
      <c r="R1265" s="406">
        <f t="shared" si="191"/>
        <v>505500</v>
      </c>
      <c r="S1265" s="406">
        <f t="shared" si="191"/>
        <v>487000</v>
      </c>
      <c r="T1265" s="406">
        <f t="shared" si="191"/>
        <v>488575</v>
      </c>
      <c r="U1265" s="406">
        <f t="shared" si="191"/>
        <v>490229</v>
      </c>
      <c r="V1265" s="406">
        <f>V1254+V1259</f>
        <v>491965</v>
      </c>
    </row>
    <row r="1266" spans="6:23" s="425" customFormat="1" ht="24" customHeight="1">
      <c r="K1266" s="425" t="s">
        <v>1152</v>
      </c>
      <c r="L1266" s="449"/>
      <c r="M1266" s="450"/>
      <c r="N1266" s="361">
        <f t="shared" ref="N1266:U1266" si="192">SUM(N1263:N1265)</f>
        <v>5502219</v>
      </c>
      <c r="O1266" s="361">
        <f>SUM(O1263:O1265)</f>
        <v>4828700</v>
      </c>
      <c r="P1266" s="362">
        <f t="shared" si="192"/>
        <v>5301695</v>
      </c>
      <c r="Q1266" s="362">
        <f>SUM(Q1263:Q1265)</f>
        <v>5148370</v>
      </c>
      <c r="R1266" s="361">
        <f t="shared" si="192"/>
        <v>5299072</v>
      </c>
      <c r="S1266" s="361">
        <f t="shared" si="192"/>
        <v>5280572</v>
      </c>
      <c r="T1266" s="361">
        <f t="shared" si="192"/>
        <v>5282147</v>
      </c>
      <c r="U1266" s="361">
        <f t="shared" si="192"/>
        <v>5283801</v>
      </c>
      <c r="V1266" s="361">
        <f>SUM(V1263:V1265)</f>
        <v>5285537</v>
      </c>
    </row>
    <row r="1267" spans="6:23" s="337" customFormat="1" ht="15" customHeight="1">
      <c r="L1267" s="451"/>
      <c r="M1267" s="463"/>
      <c r="N1267" s="359"/>
      <c r="O1267" s="359"/>
      <c r="P1267" s="360"/>
      <c r="Q1267" s="360"/>
      <c r="R1267" s="359"/>
      <c r="S1267" s="359"/>
      <c r="T1267" s="359"/>
      <c r="U1267" s="359"/>
      <c r="V1267" s="359"/>
    </row>
    <row r="1268" spans="6:23" s="337" customFormat="1" ht="15" customHeight="1">
      <c r="L1268" s="451"/>
      <c r="M1268" s="463"/>
      <c r="N1268" s="359"/>
      <c r="O1268" s="359"/>
      <c r="P1268" s="360"/>
      <c r="Q1268" s="360"/>
      <c r="R1268" s="359"/>
      <c r="S1268" s="359"/>
      <c r="T1268" s="359"/>
      <c r="U1268" s="359"/>
      <c r="V1268" s="359"/>
    </row>
    <row r="1269" spans="6:23" s="337" customFormat="1" ht="24" customHeight="1">
      <c r="F1269" s="543" t="s">
        <v>1205</v>
      </c>
      <c r="G1269" s="543"/>
      <c r="H1269" s="543"/>
      <c r="I1269" s="543"/>
      <c r="J1269" s="543"/>
      <c r="K1269" s="543"/>
      <c r="L1269" s="488"/>
      <c r="M1269" s="463"/>
      <c r="N1269" s="359"/>
      <c r="O1269" s="359"/>
      <c r="P1269" s="360"/>
      <c r="Q1269" s="360"/>
      <c r="R1269" s="359"/>
      <c r="S1269" s="359"/>
      <c r="T1269" s="359"/>
      <c r="U1269" s="359"/>
      <c r="V1269" s="359"/>
    </row>
    <row r="1270" spans="6:23" s="425" customFormat="1" ht="24" customHeight="1">
      <c r="G1270" s="538" t="s">
        <v>1204</v>
      </c>
      <c r="H1270" s="538"/>
      <c r="I1270" s="538"/>
      <c r="J1270" s="538"/>
      <c r="K1270" s="538"/>
      <c r="L1270" s="489"/>
      <c r="M1270" s="490"/>
      <c r="N1270" s="416">
        <f t="shared" ref="N1270:U1270" si="193">SUM(N1271:N1274)</f>
        <v>0</v>
      </c>
      <c r="O1270" s="416">
        <f>SUM(O1271:O1274)</f>
        <v>50108</v>
      </c>
      <c r="P1270" s="417">
        <f t="shared" si="193"/>
        <v>317900</v>
      </c>
      <c r="Q1270" s="417">
        <f>SUM(Q1271:Q1274)</f>
        <v>202575</v>
      </c>
      <c r="R1270" s="416">
        <f>SUM(R1271:R1274)</f>
        <v>337767</v>
      </c>
      <c r="S1270" s="416">
        <f t="shared" si="193"/>
        <v>337767</v>
      </c>
      <c r="T1270" s="416">
        <f t="shared" si="193"/>
        <v>337767</v>
      </c>
      <c r="U1270" s="416">
        <f t="shared" si="193"/>
        <v>337767</v>
      </c>
      <c r="V1270" s="416">
        <f>SUM(V1271:V1274)</f>
        <v>337767</v>
      </c>
      <c r="W1270" s="337"/>
    </row>
    <row r="1271" spans="6:23" s="337" customFormat="1" ht="24" customHeight="1">
      <c r="K1271" s="337" t="s">
        <v>1222</v>
      </c>
      <c r="L1271" s="451"/>
      <c r="M1271" s="451"/>
      <c r="N1271" s="377">
        <f t="shared" ref="N1271:V1271" si="194">N398</f>
        <v>0</v>
      </c>
      <c r="O1271" s="377">
        <f t="shared" si="194"/>
        <v>0</v>
      </c>
      <c r="P1271" s="378">
        <f t="shared" si="194"/>
        <v>121900</v>
      </c>
      <c r="Q1271" s="378">
        <f t="shared" si="194"/>
        <v>76652</v>
      </c>
      <c r="R1271" s="377">
        <f t="shared" si="194"/>
        <v>121900</v>
      </c>
      <c r="S1271" s="377">
        <f t="shared" si="194"/>
        <v>121900</v>
      </c>
      <c r="T1271" s="377">
        <f t="shared" si="194"/>
        <v>121900</v>
      </c>
      <c r="U1271" s="377">
        <f t="shared" si="194"/>
        <v>121900</v>
      </c>
      <c r="V1271" s="377">
        <f t="shared" si="194"/>
        <v>121900</v>
      </c>
    </row>
    <row r="1272" spans="6:23" s="337" customFormat="1" ht="24" customHeight="1">
      <c r="K1272" s="337" t="s">
        <v>858</v>
      </c>
      <c r="L1272" s="451"/>
      <c r="M1272" s="451"/>
      <c r="N1272" s="377">
        <f t="shared" ref="N1272:V1272" si="195">N648</f>
        <v>0</v>
      </c>
      <c r="O1272" s="377">
        <f t="shared" si="195"/>
        <v>25054</v>
      </c>
      <c r="P1272" s="378">
        <f t="shared" si="195"/>
        <v>116000</v>
      </c>
      <c r="Q1272" s="378">
        <f t="shared" si="195"/>
        <v>75305</v>
      </c>
      <c r="R1272" s="377">
        <f t="shared" si="195"/>
        <v>129094</v>
      </c>
      <c r="S1272" s="377">
        <f t="shared" si="195"/>
        <v>129094</v>
      </c>
      <c r="T1272" s="377">
        <f t="shared" si="195"/>
        <v>129094</v>
      </c>
      <c r="U1272" s="377">
        <f t="shared" si="195"/>
        <v>129094</v>
      </c>
      <c r="V1272" s="377">
        <f t="shared" si="195"/>
        <v>129094</v>
      </c>
    </row>
    <row r="1273" spans="6:23" s="337" customFormat="1" ht="24" customHeight="1">
      <c r="K1273" s="337" t="s">
        <v>859</v>
      </c>
      <c r="L1273" s="451"/>
      <c r="M1273" s="451"/>
      <c r="N1273" s="377">
        <f t="shared" ref="N1273:V1273" si="196">N732</f>
        <v>0</v>
      </c>
      <c r="O1273" s="377">
        <f t="shared" si="196"/>
        <v>25054</v>
      </c>
      <c r="P1273" s="378">
        <f t="shared" si="196"/>
        <v>60000</v>
      </c>
      <c r="Q1273" s="378">
        <f t="shared" si="196"/>
        <v>38951</v>
      </c>
      <c r="R1273" s="377">
        <f t="shared" si="196"/>
        <v>66773</v>
      </c>
      <c r="S1273" s="377">
        <f t="shared" si="196"/>
        <v>66773</v>
      </c>
      <c r="T1273" s="377">
        <f t="shared" si="196"/>
        <v>66773</v>
      </c>
      <c r="U1273" s="377">
        <f t="shared" si="196"/>
        <v>66773</v>
      </c>
      <c r="V1273" s="377">
        <f t="shared" si="196"/>
        <v>66773</v>
      </c>
    </row>
    <row r="1274" spans="6:23" s="337" customFormat="1" ht="24" customHeight="1">
      <c r="K1274" s="337" t="s">
        <v>755</v>
      </c>
      <c r="L1274" s="451"/>
      <c r="M1274" s="451"/>
      <c r="N1274" s="377">
        <f t="shared" ref="N1274:V1274" si="197">N1139</f>
        <v>0</v>
      </c>
      <c r="O1274" s="377">
        <f t="shared" si="197"/>
        <v>0</v>
      </c>
      <c r="P1274" s="378">
        <f t="shared" si="197"/>
        <v>20000</v>
      </c>
      <c r="Q1274" s="378">
        <f t="shared" si="197"/>
        <v>11667</v>
      </c>
      <c r="R1274" s="377">
        <f t="shared" si="197"/>
        <v>20000</v>
      </c>
      <c r="S1274" s="377">
        <f t="shared" si="197"/>
        <v>20000</v>
      </c>
      <c r="T1274" s="377">
        <f t="shared" si="197"/>
        <v>20000</v>
      </c>
      <c r="U1274" s="377">
        <f t="shared" si="197"/>
        <v>20000</v>
      </c>
      <c r="V1274" s="377">
        <f t="shared" si="197"/>
        <v>20000</v>
      </c>
    </row>
    <row r="1275" spans="6:23" s="337" customFormat="1" ht="15" customHeight="1">
      <c r="L1275" s="451"/>
      <c r="M1275" s="451"/>
      <c r="N1275" s="377"/>
      <c r="O1275" s="377"/>
      <c r="P1275" s="378"/>
      <c r="Q1275" s="378"/>
      <c r="R1275" s="377"/>
      <c r="S1275" s="377"/>
      <c r="T1275" s="377"/>
      <c r="U1275" s="377"/>
      <c r="V1275" s="377"/>
    </row>
    <row r="1276" spans="6:23" s="337" customFormat="1" ht="24" customHeight="1">
      <c r="G1276" s="543" t="s">
        <v>1500</v>
      </c>
      <c r="H1276" s="543"/>
      <c r="I1276" s="543"/>
      <c r="J1276" s="543"/>
      <c r="K1276" s="543"/>
      <c r="L1276" s="465"/>
      <c r="M1276" s="465"/>
      <c r="N1276" s="416">
        <f>N1279+N1278+N1277</f>
        <v>0</v>
      </c>
      <c r="O1276" s="416">
        <f t="shared" ref="O1276:V1276" si="198">O1279+O1278+O1277</f>
        <v>0</v>
      </c>
      <c r="P1276" s="417">
        <f t="shared" si="198"/>
        <v>100000</v>
      </c>
      <c r="Q1276" s="417">
        <f t="shared" si="198"/>
        <v>0</v>
      </c>
      <c r="R1276" s="416">
        <f t="shared" si="198"/>
        <v>1042203</v>
      </c>
      <c r="S1276" s="416">
        <f t="shared" si="198"/>
        <v>2040151</v>
      </c>
      <c r="T1276" s="416">
        <f t="shared" si="198"/>
        <v>2014402</v>
      </c>
      <c r="U1276" s="416">
        <f t="shared" si="198"/>
        <v>1788305</v>
      </c>
      <c r="V1276" s="416">
        <f t="shared" si="198"/>
        <v>748573</v>
      </c>
    </row>
    <row r="1277" spans="6:23" s="337" customFormat="1" ht="24" customHeight="1">
      <c r="G1277" s="538" t="s">
        <v>1508</v>
      </c>
      <c r="H1277" s="538"/>
      <c r="I1277" s="538"/>
      <c r="J1277" s="538"/>
      <c r="K1277" s="538"/>
      <c r="L1277" s="465"/>
      <c r="M1277" s="465"/>
      <c r="N1277" s="377">
        <f t="shared" ref="N1277:V1277" si="199">N393+N459</f>
        <v>0</v>
      </c>
      <c r="O1277" s="377">
        <f t="shared" si="199"/>
        <v>0</v>
      </c>
      <c r="P1277" s="378">
        <f t="shared" si="199"/>
        <v>100000</v>
      </c>
      <c r="Q1277" s="378">
        <f t="shared" si="199"/>
        <v>0</v>
      </c>
      <c r="R1277" s="377">
        <f t="shared" si="199"/>
        <v>835863</v>
      </c>
      <c r="S1277" s="377">
        <f t="shared" si="199"/>
        <v>850821</v>
      </c>
      <c r="T1277" s="377">
        <f t="shared" si="199"/>
        <v>855022</v>
      </c>
      <c r="U1277" s="377">
        <f t="shared" si="199"/>
        <v>778075</v>
      </c>
      <c r="V1277" s="377">
        <f t="shared" si="199"/>
        <v>641413</v>
      </c>
    </row>
    <row r="1278" spans="6:23" s="337" customFormat="1" ht="24" customHeight="1">
      <c r="G1278" s="538" t="s">
        <v>1509</v>
      </c>
      <c r="H1278" s="538"/>
      <c r="I1278" s="538"/>
      <c r="J1278" s="538"/>
      <c r="K1278" s="538"/>
      <c r="L1278" s="465"/>
      <c r="M1278" s="465"/>
      <c r="N1278" s="377">
        <f t="shared" ref="N1278:V1278" si="200">N645</f>
        <v>0</v>
      </c>
      <c r="O1278" s="377">
        <f t="shared" si="200"/>
        <v>0</v>
      </c>
      <c r="P1278" s="378">
        <f t="shared" si="200"/>
        <v>0</v>
      </c>
      <c r="Q1278" s="378">
        <f t="shared" si="200"/>
        <v>0</v>
      </c>
      <c r="R1278" s="377">
        <f t="shared" si="200"/>
        <v>206340</v>
      </c>
      <c r="S1278" s="377">
        <f t="shared" si="200"/>
        <v>845690</v>
      </c>
      <c r="T1278" s="377">
        <f t="shared" si="200"/>
        <v>972800</v>
      </c>
      <c r="U1278" s="377">
        <f t="shared" si="200"/>
        <v>667280</v>
      </c>
      <c r="V1278" s="377">
        <f t="shared" si="200"/>
        <v>107160</v>
      </c>
    </row>
    <row r="1279" spans="6:23" s="337" customFormat="1" ht="24" customHeight="1">
      <c r="G1279" s="538" t="s">
        <v>1510</v>
      </c>
      <c r="H1279" s="538"/>
      <c r="I1279" s="538"/>
      <c r="J1279" s="538"/>
      <c r="K1279" s="538"/>
      <c r="L1279" s="465"/>
      <c r="M1279" s="465"/>
      <c r="N1279" s="377">
        <f t="shared" ref="N1279:V1279" si="201">N730</f>
        <v>0</v>
      </c>
      <c r="O1279" s="377">
        <f t="shared" si="201"/>
        <v>0</v>
      </c>
      <c r="P1279" s="378">
        <f t="shared" si="201"/>
        <v>0</v>
      </c>
      <c r="Q1279" s="378">
        <f t="shared" si="201"/>
        <v>0</v>
      </c>
      <c r="R1279" s="377">
        <f t="shared" si="201"/>
        <v>0</v>
      </c>
      <c r="S1279" s="377">
        <f t="shared" si="201"/>
        <v>343640</v>
      </c>
      <c r="T1279" s="377">
        <f t="shared" si="201"/>
        <v>186580</v>
      </c>
      <c r="U1279" s="377">
        <f t="shared" si="201"/>
        <v>342950</v>
      </c>
      <c r="V1279" s="377">
        <f t="shared" si="201"/>
        <v>0</v>
      </c>
    </row>
    <row r="1280" spans="6:23" s="337" customFormat="1" ht="24" customHeight="1">
      <c r="L1280" s="451"/>
      <c r="M1280" s="451"/>
      <c r="N1280" s="377"/>
      <c r="O1280" s="418"/>
      <c r="P1280" s="378"/>
      <c r="Q1280" s="378"/>
      <c r="R1280" s="418"/>
      <c r="S1280" s="418"/>
      <c r="T1280" s="418"/>
      <c r="U1280" s="418"/>
      <c r="V1280" s="418"/>
    </row>
    <row r="1281" spans="12:23" s="337" customFormat="1" ht="24" customHeight="1">
      <c r="L1281" s="451"/>
      <c r="M1281" s="463"/>
      <c r="N1281" s="359"/>
      <c r="O1281" s="419"/>
      <c r="P1281" s="360"/>
      <c r="Q1281" s="491"/>
      <c r="R1281" s="419"/>
      <c r="S1281" s="419"/>
      <c r="T1281" s="419"/>
      <c r="U1281" s="419"/>
      <c r="V1281" s="419"/>
    </row>
    <row r="1282" spans="12:23" s="337" customFormat="1" ht="24" customHeight="1">
      <c r="L1282" s="451"/>
      <c r="M1282" s="463"/>
      <c r="N1282" s="359"/>
      <c r="O1282" s="419"/>
      <c r="P1282" s="360"/>
      <c r="Q1282" s="491"/>
      <c r="R1282" s="419"/>
      <c r="S1282" s="419"/>
      <c r="T1282" s="419"/>
      <c r="U1282" s="419"/>
      <c r="V1282" s="419"/>
    </row>
    <row r="1283" spans="12:23" s="337" customFormat="1" ht="24" customHeight="1">
      <c r="L1283" s="451"/>
      <c r="M1283" s="463"/>
      <c r="N1283" s="377"/>
      <c r="O1283" s="418"/>
      <c r="P1283" s="378"/>
      <c r="Q1283" s="492"/>
      <c r="R1283" s="418"/>
      <c r="S1283" s="418"/>
      <c r="T1283" s="418"/>
      <c r="U1283" s="418"/>
      <c r="V1283" s="418"/>
      <c r="W1283" s="465"/>
    </row>
    <row r="1284" spans="12:23" s="337" customFormat="1" ht="24" customHeight="1">
      <c r="L1284" s="451"/>
      <c r="M1284" s="463"/>
      <c r="N1284" s="377"/>
      <c r="O1284" s="418"/>
      <c r="P1284" s="378"/>
      <c r="Q1284" s="492"/>
      <c r="R1284" s="418"/>
      <c r="S1284" s="418"/>
      <c r="T1284" s="418"/>
      <c r="U1284" s="418"/>
      <c r="V1284" s="418"/>
      <c r="W1284" s="465"/>
    </row>
    <row r="1285" spans="12:23" s="337" customFormat="1" ht="24" customHeight="1">
      <c r="L1285" s="451"/>
      <c r="M1285" s="463"/>
      <c r="N1285" s="377"/>
      <c r="O1285" s="418"/>
      <c r="P1285" s="378"/>
      <c r="Q1285" s="492"/>
      <c r="R1285" s="418"/>
      <c r="S1285" s="418"/>
      <c r="T1285" s="418"/>
      <c r="U1285" s="418"/>
      <c r="V1285" s="418"/>
      <c r="W1285" s="465"/>
    </row>
    <row r="1286" spans="12:23" s="337" customFormat="1" ht="24" customHeight="1">
      <c r="L1286" s="451"/>
      <c r="M1286" s="463"/>
      <c r="N1286" s="377"/>
      <c r="O1286" s="418"/>
      <c r="P1286" s="378"/>
      <c r="Q1286" s="492"/>
      <c r="R1286" s="418"/>
      <c r="S1286" s="418"/>
      <c r="T1286" s="418"/>
      <c r="U1286" s="418"/>
      <c r="V1286" s="418"/>
      <c r="W1286" s="465"/>
    </row>
    <row r="1287" spans="12:23" s="337" customFormat="1" ht="24" customHeight="1">
      <c r="L1287" s="451"/>
      <c r="M1287" s="463"/>
      <c r="N1287" s="377"/>
      <c r="O1287" s="418"/>
      <c r="P1287" s="378"/>
      <c r="Q1287" s="492"/>
      <c r="R1287" s="418"/>
      <c r="S1287" s="418"/>
      <c r="T1287" s="418"/>
      <c r="U1287" s="418"/>
      <c r="V1287" s="418"/>
      <c r="W1287" s="465"/>
    </row>
    <row r="1288" spans="12:23" s="337" customFormat="1" ht="24" customHeight="1">
      <c r="L1288" s="463"/>
      <c r="M1288" s="463"/>
      <c r="N1288" s="377"/>
      <c r="O1288" s="418"/>
      <c r="P1288" s="378"/>
      <c r="Q1288" s="492"/>
      <c r="R1288" s="418"/>
      <c r="S1288" s="418"/>
      <c r="T1288" s="418"/>
      <c r="U1288" s="418"/>
      <c r="V1288" s="418"/>
      <c r="W1288" s="465"/>
    </row>
    <row r="1289" spans="12:23" s="337" customFormat="1" ht="24" customHeight="1">
      <c r="L1289" s="463"/>
      <c r="M1289" s="463"/>
      <c r="N1289" s="377"/>
      <c r="O1289" s="418"/>
      <c r="P1289" s="378"/>
      <c r="Q1289" s="492"/>
      <c r="R1289" s="418"/>
      <c r="S1289" s="418"/>
      <c r="T1289" s="418"/>
      <c r="U1289" s="418"/>
      <c r="V1289" s="418"/>
      <c r="W1289" s="465"/>
    </row>
    <row r="1290" spans="12:23" s="337" customFormat="1" ht="24" customHeight="1">
      <c r="L1290" s="463"/>
      <c r="M1290" s="463"/>
      <c r="N1290" s="377"/>
      <c r="O1290" s="418"/>
      <c r="P1290" s="378"/>
      <c r="Q1290" s="492"/>
      <c r="R1290" s="418"/>
      <c r="S1290" s="418"/>
      <c r="T1290" s="418"/>
      <c r="U1290" s="418"/>
      <c r="V1290" s="418"/>
      <c r="W1290" s="465"/>
    </row>
    <row r="1291" spans="12:23" s="337" customFormat="1" ht="24" customHeight="1">
      <c r="L1291" s="463"/>
      <c r="M1291" s="463"/>
      <c r="N1291" s="377"/>
      <c r="O1291" s="418"/>
      <c r="P1291" s="378"/>
      <c r="Q1291" s="492"/>
      <c r="R1291" s="418"/>
      <c r="S1291" s="418"/>
      <c r="T1291" s="418"/>
      <c r="U1291" s="418"/>
      <c r="V1291" s="418"/>
      <c r="W1291" s="465"/>
    </row>
    <row r="1292" spans="12:23" s="337" customFormat="1" ht="24" customHeight="1">
      <c r="L1292" s="463"/>
      <c r="M1292" s="463"/>
      <c r="N1292" s="377"/>
      <c r="O1292" s="418"/>
      <c r="P1292" s="378"/>
      <c r="Q1292" s="492"/>
      <c r="R1292" s="418"/>
      <c r="S1292" s="418"/>
      <c r="T1292" s="418"/>
      <c r="U1292" s="418"/>
      <c r="V1292" s="418"/>
      <c r="W1292" s="465"/>
    </row>
    <row r="1293" spans="12:23" s="337" customFormat="1" ht="24" customHeight="1">
      <c r="L1293" s="463"/>
      <c r="M1293" s="463"/>
      <c r="N1293" s="377"/>
      <c r="O1293" s="418"/>
      <c r="P1293" s="378"/>
      <c r="Q1293" s="492"/>
      <c r="R1293" s="418"/>
      <c r="S1293" s="418"/>
      <c r="T1293" s="418"/>
      <c r="U1293" s="418"/>
      <c r="V1293" s="418"/>
      <c r="W1293" s="465"/>
    </row>
    <row r="1294" spans="12:23" s="337" customFormat="1" ht="24" customHeight="1">
      <c r="L1294" s="463"/>
      <c r="M1294" s="463"/>
      <c r="N1294" s="377"/>
      <c r="O1294" s="418"/>
      <c r="P1294" s="378"/>
      <c r="Q1294" s="492"/>
      <c r="R1294" s="418"/>
      <c r="S1294" s="418"/>
      <c r="T1294" s="418"/>
      <c r="U1294" s="418"/>
      <c r="V1294" s="418"/>
      <c r="W1294" s="465"/>
    </row>
    <row r="1295" spans="12:23" s="337" customFormat="1" ht="24" customHeight="1">
      <c r="L1295" s="463"/>
      <c r="M1295" s="463"/>
      <c r="N1295" s="377"/>
      <c r="O1295" s="418"/>
      <c r="P1295" s="378"/>
      <c r="Q1295" s="492"/>
      <c r="R1295" s="418"/>
      <c r="S1295" s="418"/>
      <c r="T1295" s="418"/>
      <c r="U1295" s="418"/>
      <c r="V1295" s="418"/>
      <c r="W1295" s="465"/>
    </row>
    <row r="1296" spans="12:23" s="337" customFormat="1" ht="24" customHeight="1">
      <c r="L1296" s="463"/>
      <c r="M1296" s="463"/>
      <c r="N1296" s="377"/>
      <c r="O1296" s="418"/>
      <c r="P1296" s="378"/>
      <c r="Q1296" s="492"/>
      <c r="R1296" s="418"/>
      <c r="S1296" s="418"/>
      <c r="T1296" s="418"/>
      <c r="U1296" s="418"/>
      <c r="V1296" s="418"/>
      <c r="W1296" s="465"/>
    </row>
    <row r="1297" spans="12:23" s="337" customFormat="1" ht="24" customHeight="1">
      <c r="L1297" s="463"/>
      <c r="M1297" s="463"/>
      <c r="N1297" s="377"/>
      <c r="O1297" s="418"/>
      <c r="P1297" s="378"/>
      <c r="Q1297" s="492"/>
      <c r="R1297" s="418"/>
      <c r="S1297" s="418"/>
      <c r="T1297" s="418"/>
      <c r="U1297" s="418"/>
      <c r="V1297" s="418"/>
      <c r="W1297" s="465"/>
    </row>
    <row r="1298" spans="12:23" s="337" customFormat="1" ht="24" customHeight="1">
      <c r="L1298" s="463"/>
      <c r="M1298" s="463"/>
      <c r="N1298" s="377"/>
      <c r="O1298" s="418"/>
      <c r="P1298" s="378"/>
      <c r="Q1298" s="492"/>
      <c r="R1298" s="418"/>
      <c r="S1298" s="418"/>
      <c r="T1298" s="418"/>
      <c r="U1298" s="418"/>
      <c r="V1298" s="418"/>
      <c r="W1298" s="465"/>
    </row>
    <row r="1299" spans="12:23" s="337" customFormat="1" ht="24" customHeight="1">
      <c r="L1299" s="463"/>
      <c r="M1299" s="463"/>
      <c r="N1299" s="377"/>
      <c r="O1299" s="418"/>
      <c r="P1299" s="378"/>
      <c r="Q1299" s="492"/>
      <c r="R1299" s="418"/>
      <c r="S1299" s="418"/>
      <c r="T1299" s="418"/>
      <c r="U1299" s="418"/>
      <c r="V1299" s="418"/>
      <c r="W1299" s="465"/>
    </row>
    <row r="1300" spans="12:23" s="337" customFormat="1" ht="24" customHeight="1">
      <c r="L1300" s="463"/>
      <c r="M1300" s="463"/>
      <c r="N1300" s="377"/>
      <c r="O1300" s="418"/>
      <c r="P1300" s="378"/>
      <c r="Q1300" s="492"/>
      <c r="R1300" s="418"/>
      <c r="S1300" s="418"/>
      <c r="T1300" s="418"/>
      <c r="U1300" s="418"/>
      <c r="V1300" s="418"/>
      <c r="W1300" s="465"/>
    </row>
    <row r="1301" spans="12:23" s="337" customFormat="1" ht="24" customHeight="1">
      <c r="L1301" s="463"/>
      <c r="M1301" s="463"/>
      <c r="N1301" s="377"/>
      <c r="O1301" s="418"/>
      <c r="P1301" s="378"/>
      <c r="Q1301" s="492"/>
      <c r="R1301" s="418"/>
      <c r="S1301" s="418"/>
      <c r="T1301" s="418"/>
      <c r="U1301" s="418"/>
      <c r="V1301" s="418"/>
      <c r="W1301" s="465"/>
    </row>
    <row r="1302" spans="12:23" s="337" customFormat="1" ht="24" customHeight="1">
      <c r="L1302" s="463"/>
      <c r="M1302" s="463"/>
      <c r="N1302" s="377"/>
      <c r="O1302" s="418"/>
      <c r="P1302" s="378"/>
      <c r="Q1302" s="492"/>
      <c r="R1302" s="418"/>
      <c r="S1302" s="418"/>
      <c r="T1302" s="418"/>
      <c r="U1302" s="418"/>
      <c r="V1302" s="418"/>
      <c r="W1302" s="465"/>
    </row>
    <row r="1303" spans="12:23" s="337" customFormat="1" ht="24" customHeight="1">
      <c r="L1303" s="463"/>
      <c r="M1303" s="463"/>
      <c r="N1303" s="377"/>
      <c r="O1303" s="418"/>
      <c r="P1303" s="378"/>
      <c r="Q1303" s="492"/>
      <c r="R1303" s="418"/>
      <c r="S1303" s="418"/>
      <c r="T1303" s="418"/>
      <c r="U1303" s="418"/>
      <c r="V1303" s="418"/>
      <c r="W1303" s="465"/>
    </row>
    <row r="1304" spans="12:23" s="337" customFormat="1" ht="24" customHeight="1">
      <c r="L1304" s="463"/>
      <c r="M1304" s="463"/>
      <c r="N1304" s="377"/>
      <c r="O1304" s="418"/>
      <c r="P1304" s="378"/>
      <c r="Q1304" s="492"/>
      <c r="R1304" s="418"/>
      <c r="S1304" s="418"/>
      <c r="T1304" s="418"/>
      <c r="U1304" s="418"/>
      <c r="V1304" s="418"/>
      <c r="W1304" s="465"/>
    </row>
    <row r="1305" spans="12:23" s="337" customFormat="1" ht="24" customHeight="1">
      <c r="L1305" s="463"/>
      <c r="M1305" s="463"/>
      <c r="N1305" s="377"/>
      <c r="O1305" s="418"/>
      <c r="P1305" s="378"/>
      <c r="Q1305" s="492"/>
      <c r="R1305" s="418"/>
      <c r="S1305" s="418"/>
      <c r="T1305" s="418"/>
      <c r="U1305" s="418"/>
      <c r="V1305" s="418"/>
      <c r="W1305" s="465"/>
    </row>
    <row r="1306" spans="12:23" s="337" customFormat="1" ht="24" customHeight="1">
      <c r="L1306" s="463"/>
      <c r="M1306" s="463"/>
      <c r="N1306" s="377"/>
      <c r="O1306" s="418"/>
      <c r="P1306" s="378"/>
      <c r="Q1306" s="492"/>
      <c r="R1306" s="418"/>
      <c r="S1306" s="418"/>
      <c r="T1306" s="418"/>
      <c r="U1306" s="418"/>
      <c r="V1306" s="418"/>
      <c r="W1306" s="465"/>
    </row>
    <row r="1307" spans="12:23" s="337" customFormat="1" ht="24" customHeight="1">
      <c r="L1307" s="463"/>
      <c r="M1307" s="463"/>
      <c r="N1307" s="377"/>
      <c r="O1307" s="418"/>
      <c r="P1307" s="378"/>
      <c r="Q1307" s="492"/>
      <c r="R1307" s="418"/>
      <c r="S1307" s="418"/>
      <c r="T1307" s="418"/>
      <c r="U1307" s="418"/>
      <c r="V1307" s="418"/>
      <c r="W1307" s="465"/>
    </row>
    <row r="1308" spans="12:23" s="337" customFormat="1" ht="24" customHeight="1">
      <c r="L1308" s="463"/>
      <c r="M1308" s="463"/>
      <c r="N1308" s="377"/>
      <c r="O1308" s="418"/>
      <c r="P1308" s="378"/>
      <c r="Q1308" s="492"/>
      <c r="R1308" s="418"/>
      <c r="S1308" s="418"/>
      <c r="T1308" s="418"/>
      <c r="U1308" s="418"/>
      <c r="V1308" s="418"/>
      <c r="W1308" s="465"/>
    </row>
    <row r="1309" spans="12:23" s="337" customFormat="1" ht="24" customHeight="1">
      <c r="L1309" s="463"/>
      <c r="M1309" s="463"/>
      <c r="N1309" s="377"/>
      <c r="O1309" s="418"/>
      <c r="P1309" s="378"/>
      <c r="Q1309" s="492"/>
      <c r="R1309" s="418"/>
      <c r="S1309" s="418"/>
      <c r="T1309" s="418"/>
      <c r="U1309" s="418"/>
      <c r="V1309" s="418"/>
      <c r="W1309" s="465"/>
    </row>
    <row r="1310" spans="12:23" s="337" customFormat="1" ht="24" customHeight="1">
      <c r="L1310" s="463"/>
      <c r="M1310" s="463"/>
      <c r="N1310" s="377"/>
      <c r="O1310" s="418"/>
      <c r="P1310" s="378"/>
      <c r="Q1310" s="492"/>
      <c r="R1310" s="418"/>
      <c r="S1310" s="418"/>
      <c r="T1310" s="418"/>
      <c r="U1310" s="418"/>
      <c r="V1310" s="418"/>
      <c r="W1310" s="465"/>
    </row>
    <row r="1311" spans="12:23" s="337" customFormat="1" ht="15" customHeight="1">
      <c r="L1311" s="463"/>
      <c r="M1311" s="463"/>
      <c r="N1311" s="377"/>
      <c r="O1311" s="418"/>
      <c r="P1311" s="378"/>
      <c r="Q1311" s="492"/>
      <c r="R1311" s="418"/>
      <c r="S1311" s="418"/>
      <c r="T1311" s="418"/>
      <c r="U1311" s="418"/>
      <c r="V1311" s="418"/>
      <c r="W1311" s="465"/>
    </row>
    <row r="1312" spans="12:23" s="337" customFormat="1" ht="15" customHeight="1">
      <c r="L1312" s="463"/>
      <c r="M1312" s="463"/>
      <c r="N1312" s="377"/>
      <c r="O1312" s="418"/>
      <c r="P1312" s="378"/>
      <c r="Q1312" s="492"/>
      <c r="R1312" s="418"/>
      <c r="S1312" s="418"/>
      <c r="T1312" s="418"/>
      <c r="U1312" s="418"/>
      <c r="V1312" s="418"/>
      <c r="W1312" s="465"/>
    </row>
    <row r="1313" spans="1:23" s="337" customFormat="1" ht="15" customHeight="1">
      <c r="L1313" s="463"/>
      <c r="M1313" s="463"/>
      <c r="N1313" s="377"/>
      <c r="O1313" s="418"/>
      <c r="P1313" s="378"/>
      <c r="Q1313" s="492"/>
      <c r="R1313" s="418"/>
      <c r="S1313" s="418"/>
      <c r="T1313" s="418"/>
      <c r="U1313" s="418"/>
      <c r="V1313" s="418"/>
      <c r="W1313" s="465"/>
    </row>
    <row r="1314" spans="1:23" s="337" customFormat="1" ht="15" customHeight="1">
      <c r="L1314" s="463"/>
      <c r="M1314" s="463"/>
      <c r="N1314" s="377"/>
      <c r="O1314" s="418"/>
      <c r="P1314" s="378"/>
      <c r="Q1314" s="492"/>
      <c r="R1314" s="418"/>
      <c r="S1314" s="418"/>
      <c r="T1314" s="418"/>
      <c r="U1314" s="418"/>
      <c r="V1314" s="418"/>
      <c r="W1314" s="465"/>
    </row>
    <row r="1315" spans="1:23" s="337" customFormat="1" ht="15" customHeight="1">
      <c r="L1315" s="463"/>
      <c r="M1315" s="463"/>
      <c r="N1315" s="377"/>
      <c r="O1315" s="418"/>
      <c r="P1315" s="378"/>
      <c r="Q1315" s="492"/>
      <c r="R1315" s="418"/>
      <c r="S1315" s="418"/>
      <c r="T1315" s="418"/>
      <c r="U1315" s="418"/>
      <c r="V1315" s="418"/>
      <c r="W1315" s="465"/>
    </row>
    <row r="1316" spans="1:23" s="337" customFormat="1" ht="15" customHeight="1">
      <c r="L1316" s="463"/>
      <c r="M1316" s="463"/>
      <c r="N1316" s="377"/>
      <c r="O1316" s="418"/>
      <c r="P1316" s="378"/>
      <c r="Q1316" s="492"/>
      <c r="R1316" s="418"/>
      <c r="S1316" s="418"/>
      <c r="T1316" s="418"/>
      <c r="U1316" s="418"/>
      <c r="V1316" s="418"/>
      <c r="W1316" s="465"/>
    </row>
    <row r="1317" spans="1:23" s="337" customFormat="1" ht="15" customHeight="1">
      <c r="L1317" s="463"/>
      <c r="M1317" s="463"/>
      <c r="N1317" s="377"/>
      <c r="O1317" s="418"/>
      <c r="P1317" s="378"/>
      <c r="Q1317" s="492"/>
      <c r="R1317" s="418"/>
      <c r="S1317" s="418"/>
      <c r="T1317" s="418"/>
      <c r="U1317" s="418"/>
      <c r="V1317" s="418"/>
      <c r="W1317" s="465"/>
    </row>
    <row r="1318" spans="1:23" s="337" customFormat="1" ht="15" customHeight="1">
      <c r="L1318" s="463"/>
      <c r="M1318" s="463"/>
      <c r="N1318" s="377"/>
      <c r="O1318" s="418"/>
      <c r="P1318" s="378"/>
      <c r="Q1318" s="492"/>
      <c r="R1318" s="418"/>
      <c r="S1318" s="418"/>
      <c r="T1318" s="418"/>
      <c r="U1318" s="418"/>
      <c r="V1318" s="418"/>
      <c r="W1318" s="465"/>
    </row>
    <row r="1319" spans="1:23" s="337" customFormat="1" ht="15" customHeight="1">
      <c r="L1319" s="463"/>
      <c r="M1319" s="463"/>
      <c r="N1319" s="377"/>
      <c r="O1319" s="418"/>
      <c r="P1319" s="378"/>
      <c r="Q1319" s="492"/>
      <c r="R1319" s="418"/>
      <c r="S1319" s="418"/>
      <c r="T1319" s="418"/>
      <c r="U1319" s="418"/>
      <c r="V1319" s="418"/>
      <c r="W1319" s="465"/>
    </row>
    <row r="1320" spans="1:23" s="337" customFormat="1" ht="15" customHeight="1">
      <c r="L1320" s="463"/>
      <c r="M1320" s="463"/>
      <c r="N1320" s="377"/>
      <c r="O1320" s="418"/>
      <c r="P1320" s="378"/>
      <c r="Q1320" s="492"/>
      <c r="R1320" s="418"/>
      <c r="S1320" s="418"/>
      <c r="T1320" s="418"/>
      <c r="U1320" s="418"/>
      <c r="V1320" s="418"/>
      <c r="W1320" s="465"/>
    </row>
    <row r="1321" spans="1:23" s="337" customFormat="1" ht="15" customHeight="1">
      <c r="L1321" s="463"/>
      <c r="M1321" s="463"/>
      <c r="N1321" s="377"/>
      <c r="O1321" s="418"/>
      <c r="P1321" s="378"/>
      <c r="Q1321" s="492"/>
      <c r="R1321" s="418"/>
      <c r="S1321" s="418"/>
      <c r="T1321" s="418"/>
      <c r="U1321" s="418"/>
      <c r="V1321" s="418"/>
      <c r="W1321" s="465"/>
    </row>
    <row r="1322" spans="1:23" s="337" customFormat="1" ht="15" customHeight="1">
      <c r="N1322" s="377"/>
      <c r="O1322" s="418"/>
      <c r="P1322" s="378"/>
      <c r="Q1322" s="492"/>
      <c r="R1322" s="418"/>
      <c r="S1322" s="418"/>
      <c r="T1322" s="418"/>
      <c r="U1322" s="418"/>
      <c r="V1322" s="418"/>
      <c r="W1322" s="465"/>
    </row>
    <row r="1323" spans="1:23" ht="15" customHeight="1">
      <c r="A1323" s="337"/>
      <c r="B1323" s="337"/>
      <c r="C1323" s="337"/>
      <c r="D1323" s="337"/>
      <c r="E1323" s="337"/>
      <c r="F1323" s="337"/>
      <c r="G1323" s="337"/>
      <c r="H1323" s="337"/>
      <c r="I1323" s="337"/>
      <c r="J1323" s="337"/>
      <c r="K1323" s="337"/>
      <c r="L1323" s="335"/>
      <c r="M1323" s="335"/>
      <c r="N1323" s="283"/>
      <c r="O1323" s="329"/>
      <c r="P1323" s="284"/>
      <c r="Q1323" s="330"/>
      <c r="R1323" s="329"/>
      <c r="S1323" s="329"/>
      <c r="T1323" s="329"/>
      <c r="U1323" s="329"/>
      <c r="V1323" s="329"/>
      <c r="W1323" s="281"/>
    </row>
    <row r="1324" spans="1:23" ht="15" customHeight="1">
      <c r="A1324" s="337"/>
      <c r="B1324" s="337"/>
      <c r="C1324" s="337"/>
      <c r="D1324" s="337"/>
      <c r="E1324" s="337"/>
      <c r="F1324" s="337"/>
      <c r="G1324" s="337"/>
      <c r="H1324" s="337"/>
      <c r="I1324" s="337"/>
      <c r="J1324" s="337"/>
      <c r="K1324" s="337"/>
      <c r="L1324" s="335"/>
      <c r="M1324" s="335"/>
      <c r="N1324" s="283"/>
      <c r="O1324" s="329"/>
      <c r="P1324" s="284"/>
      <c r="Q1324" s="330"/>
      <c r="R1324" s="329"/>
      <c r="S1324" s="329"/>
      <c r="T1324" s="329"/>
      <c r="U1324" s="329"/>
      <c r="V1324" s="329"/>
      <c r="W1324" s="281"/>
    </row>
    <row r="1325" spans="1:23" ht="15" customHeight="1">
      <c r="A1325" s="337"/>
      <c r="B1325" s="337"/>
      <c r="C1325" s="337"/>
      <c r="D1325" s="337"/>
      <c r="E1325" s="337"/>
      <c r="F1325" s="337"/>
      <c r="G1325" s="337"/>
      <c r="H1325" s="337"/>
      <c r="I1325" s="337"/>
      <c r="J1325" s="337"/>
      <c r="K1325" s="337"/>
      <c r="L1325" s="335"/>
      <c r="M1325" s="335"/>
      <c r="N1325" s="281"/>
      <c r="O1325" s="281"/>
      <c r="P1325" s="331"/>
      <c r="Q1325" s="331"/>
      <c r="R1325" s="281"/>
      <c r="S1325" s="281"/>
      <c r="T1325" s="281"/>
      <c r="U1325" s="281"/>
      <c r="V1325" s="281"/>
      <c r="W1325" s="281"/>
    </row>
    <row r="1326" spans="1:23" ht="15" customHeight="1">
      <c r="A1326" s="337"/>
      <c r="B1326" s="337"/>
      <c r="C1326" s="337"/>
      <c r="D1326" s="337"/>
      <c r="E1326" s="337"/>
      <c r="F1326" s="337"/>
      <c r="G1326" s="337"/>
      <c r="H1326" s="337"/>
      <c r="I1326" s="337"/>
      <c r="J1326" s="337"/>
      <c r="K1326" s="337"/>
      <c r="L1326" s="335"/>
      <c r="M1326" s="335"/>
      <c r="N1326" s="281"/>
      <c r="O1326" s="281"/>
      <c r="P1326" s="331"/>
      <c r="Q1326" s="331"/>
      <c r="R1326" s="281"/>
      <c r="S1326" s="281"/>
      <c r="T1326" s="281"/>
      <c r="U1326" s="281"/>
      <c r="V1326" s="281"/>
      <c r="W1326" s="281"/>
    </row>
    <row r="1327" spans="1:23" ht="15" customHeight="1">
      <c r="A1327" s="337"/>
      <c r="B1327" s="337"/>
      <c r="C1327" s="337"/>
      <c r="D1327" s="337"/>
      <c r="E1327" s="337"/>
      <c r="F1327" s="337"/>
      <c r="G1327" s="337"/>
      <c r="H1327" s="337"/>
      <c r="I1327" s="337"/>
      <c r="J1327" s="337"/>
      <c r="K1327" s="337"/>
      <c r="L1327" s="335"/>
      <c r="M1327" s="335"/>
    </row>
    <row r="1328" spans="1:23" ht="12.75" customHeight="1">
      <c r="A1328" s="337"/>
      <c r="B1328" s="337"/>
      <c r="C1328" s="337"/>
      <c r="D1328" s="337"/>
      <c r="E1328" s="337"/>
      <c r="F1328" s="337"/>
      <c r="G1328" s="337"/>
      <c r="H1328" s="337"/>
      <c r="I1328" s="337"/>
      <c r="J1328" s="337"/>
      <c r="K1328" s="337"/>
      <c r="L1328" s="335"/>
      <c r="M1328" s="335"/>
    </row>
  </sheetData>
  <sortState ref="A36:H45">
    <sortCondition ref="A36:A45"/>
  </sortState>
  <mergeCells count="50">
    <mergeCell ref="G1278:K1278"/>
    <mergeCell ref="G1279:K1279"/>
    <mergeCell ref="D813:K813"/>
    <mergeCell ref="J1149:J1159"/>
    <mergeCell ref="J1167:J1177"/>
    <mergeCell ref="I1222:J1222"/>
    <mergeCell ref="D1108:K1108"/>
    <mergeCell ref="D1086:K1086"/>
    <mergeCell ref="D1063:K1063"/>
    <mergeCell ref="D967:K967"/>
    <mergeCell ref="G1277:K1277"/>
    <mergeCell ref="I1228:J1228"/>
    <mergeCell ref="I1230:J1230"/>
    <mergeCell ref="I1233:J1233"/>
    <mergeCell ref="A1218:F1218"/>
    <mergeCell ref="F1269:K1269"/>
    <mergeCell ref="I1251:J1251"/>
    <mergeCell ref="I1257:J1257"/>
    <mergeCell ref="I1262:J1262"/>
    <mergeCell ref="I1235:J1235"/>
    <mergeCell ref="F1244:K1244"/>
    <mergeCell ref="A1251:F1251"/>
    <mergeCell ref="G1276:K1276"/>
    <mergeCell ref="D503:K503"/>
    <mergeCell ref="D504:K504"/>
    <mergeCell ref="C548:K548"/>
    <mergeCell ref="C550:K550"/>
    <mergeCell ref="C552:K552"/>
    <mergeCell ref="I1234:J1234"/>
    <mergeCell ref="I1226:J1226"/>
    <mergeCell ref="G1270:K1270"/>
    <mergeCell ref="F283:K283"/>
    <mergeCell ref="D86:K86"/>
    <mergeCell ref="D692:K692"/>
    <mergeCell ref="D690:K690"/>
    <mergeCell ref="D594:K594"/>
    <mergeCell ref="F481:K481"/>
    <mergeCell ref="D87:K87"/>
    <mergeCell ref="D88:K88"/>
    <mergeCell ref="D89:K89"/>
    <mergeCell ref="F483:K483"/>
    <mergeCell ref="D495:K495"/>
    <mergeCell ref="D496:K496"/>
    <mergeCell ref="D497:K497"/>
    <mergeCell ref="L3:M3"/>
    <mergeCell ref="A7:K7"/>
    <mergeCell ref="D5:F5"/>
    <mergeCell ref="D439:K439"/>
    <mergeCell ref="D376:K376"/>
    <mergeCell ref="D49:K49"/>
  </mergeCells>
  <pageMargins left="0" right="0" top="0.5" bottom="0.25" header="0" footer="0"/>
  <pageSetup scale="65" fitToHeight="20" orientation="landscape" horizontalDpi="4294967293" r:id="rId1"/>
  <headerFooter alignWithMargins="0"/>
  <rowBreaks count="36" manualBreakCount="36">
    <brk id="70" max="21" man="1"/>
    <brk id="110" max="21" man="1"/>
    <brk id="133" max="21" man="1"/>
    <brk id="145" max="21" man="1"/>
    <brk id="169" max="21" man="1"/>
    <brk id="215" max="21" man="1"/>
    <brk id="245" max="21" man="1"/>
    <brk id="276" max="21" man="1"/>
    <brk id="284" max="21" man="1"/>
    <brk id="335" max="21" man="1"/>
    <brk id="352" max="21" man="1"/>
    <brk id="369" max="21" man="1"/>
    <brk id="399" max="21" man="1"/>
    <brk id="407" max="21" man="1"/>
    <brk id="423" max="21" man="1"/>
    <brk id="453" max="21" man="1"/>
    <brk id="486" max="21" man="1"/>
    <brk id="519" max="21" man="1"/>
    <brk id="554" max="21" man="1"/>
    <brk id="582" max="21" man="1"/>
    <brk id="675" max="21" man="1"/>
    <brk id="768" max="21" man="1"/>
    <brk id="797" max="21" man="1"/>
    <brk id="804" max="21" man="1"/>
    <brk id="897" max="21" man="1"/>
    <brk id="953" max="21" man="1"/>
    <brk id="1035" max="21" man="1"/>
    <brk id="1059" max="21" man="1"/>
    <brk id="1082" max="21" man="1"/>
    <brk id="1104" max="21" man="1"/>
    <brk id="1127" max="21" man="1"/>
    <brk id="1146" max="21" man="1"/>
    <brk id="1184" max="21" man="1"/>
    <brk id="1200" max="21" man="1"/>
    <brk id="1217" max="21" man="1"/>
    <brk id="1250"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Budget Summary</vt:lpstr>
      <vt:lpstr>Budget Summary by Category</vt:lpstr>
      <vt:lpstr>Fund Balance History</vt:lpstr>
      <vt:lpstr>Fund Balance Summary</vt:lpstr>
      <vt:lpstr>Gen Fd Cover Sheets</vt:lpstr>
      <vt:lpstr>Fund Cover Sheets</vt:lpstr>
      <vt:lpstr>Budget Detail FY 2013-18</vt:lpstr>
      <vt:lpstr>'Budget Detail FY 2013-18'!Print_Area</vt:lpstr>
      <vt:lpstr>'Budget Summary'!Print_Area</vt:lpstr>
      <vt:lpstr>'Budget Summary by Category'!Print_Area</vt:lpstr>
      <vt:lpstr>'Fund Balance History'!Print_Area</vt:lpstr>
      <vt:lpstr>'Fund Balance Summary'!Print_Area</vt:lpstr>
      <vt:lpstr>'Fund Cover Sheets'!Print_Area</vt:lpstr>
      <vt:lpstr>'Gen Fd Cover Sheets'!Print_Area</vt:lpstr>
      <vt:lpstr>'Budget Detail FY 2013-18'!Print_Titles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Crystal Decisions</dc:creator>
  <dc:description>Powered by Crystal</dc:description>
  <cp:lastModifiedBy>Rob Fredrickson</cp:lastModifiedBy>
  <cp:lastPrinted>2013-04-10T21:53:37Z</cp:lastPrinted>
  <dcterms:created xsi:type="dcterms:W3CDTF">2010-07-13T03:18:21Z</dcterms:created>
  <dcterms:modified xsi:type="dcterms:W3CDTF">2013-04-11T18:49:51Z</dcterms:modified>
</cp:coreProperties>
</file>